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My Drive\JohnR\Projects\Finished\UPME\2021-12-16_FECOC+ FASE-2.1\Resultados F.E\0. FE Definitivos\"/>
    </mc:Choice>
  </mc:AlternateContent>
  <bookViews>
    <workbookView xWindow="19200" yWindow="0" windowWidth="19200" windowHeight="15600"/>
  </bookViews>
  <sheets>
    <sheet name="Datos vehículos" sheetId="1" r:id="rId1"/>
    <sheet name="Temperaturas cárter" sheetId="2" r:id="rId2"/>
    <sheet name="Cargas 1999" sheetId="6" r:id="rId3"/>
    <sheet name="Enlaces" sheetId="9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9" i="2" l="1"/>
  <c r="F49" i="2"/>
  <c r="G48" i="2"/>
  <c r="F48" i="2"/>
  <c r="G47" i="2"/>
  <c r="F47" i="2"/>
  <c r="G46" i="2"/>
  <c r="F46" i="2"/>
  <c r="G45" i="2"/>
  <c r="F45" i="2"/>
  <c r="G44" i="2"/>
  <c r="F44" i="2"/>
  <c r="G43" i="2"/>
  <c r="F43" i="2"/>
  <c r="G42" i="2"/>
  <c r="F42" i="2"/>
  <c r="G41" i="2"/>
  <c r="F41" i="2"/>
  <c r="G40" i="2"/>
  <c r="F40" i="2"/>
  <c r="G39" i="2"/>
  <c r="F39" i="2"/>
  <c r="G38" i="2"/>
  <c r="F38" i="2"/>
  <c r="O14" i="1"/>
  <c r="G29" i="2" l="1"/>
  <c r="F29" i="2"/>
  <c r="G28" i="2"/>
  <c r="G27" i="2"/>
  <c r="F27" i="2"/>
  <c r="F18" i="2"/>
  <c r="O8" i="1"/>
  <c r="O6" i="1"/>
  <c r="O4" i="1"/>
  <c r="G26" i="2"/>
  <c r="F26" i="2"/>
  <c r="G25" i="2"/>
  <c r="F25" i="2"/>
  <c r="G24" i="2"/>
  <c r="F24" i="2"/>
  <c r="O7" i="1"/>
  <c r="O5" i="1"/>
  <c r="O3" i="1"/>
  <c r="G22" i="2"/>
  <c r="F22" i="2"/>
  <c r="G21" i="2"/>
  <c r="F21" i="2"/>
  <c r="G20" i="2"/>
  <c r="F20" i="2"/>
  <c r="G19" i="2"/>
  <c r="F19" i="2"/>
  <c r="G18" i="2"/>
  <c r="G17" i="2"/>
  <c r="F17" i="2"/>
  <c r="G16" i="2"/>
  <c r="F16" i="2"/>
  <c r="E3" i="6"/>
  <c r="E2" i="6"/>
  <c r="G15" i="2"/>
  <c r="F15" i="2"/>
  <c r="G14" i="2"/>
  <c r="F14" i="2"/>
  <c r="G13" i="2"/>
  <c r="F13" i="2"/>
  <c r="F11" i="2"/>
  <c r="G11" i="2"/>
  <c r="G10" i="2"/>
  <c r="F4" i="2"/>
  <c r="F7" i="2"/>
  <c r="F8" i="2"/>
  <c r="F9" i="2"/>
  <c r="F10" i="2"/>
  <c r="G8" i="2"/>
  <c r="G7" i="2"/>
  <c r="G9" i="2"/>
  <c r="G4" i="2"/>
</calcChain>
</file>

<file path=xl/sharedStrings.xml><?xml version="1.0" encoding="utf-8"?>
<sst xmlns="http://schemas.openxmlformats.org/spreadsheetml/2006/main" count="308" uniqueCount="106">
  <si>
    <t>PLACA</t>
  </si>
  <si>
    <t>MODELO</t>
  </si>
  <si>
    <t>MARCA</t>
  </si>
  <si>
    <t>LINEA</t>
  </si>
  <si>
    <t>CAPACIDAD (TON)</t>
  </si>
  <si>
    <t>CILINDRAJE (CC)</t>
  </si>
  <si>
    <t>PROPIETARIO</t>
  </si>
  <si>
    <t>SNL907</t>
  </si>
  <si>
    <t>CHEVROLET</t>
  </si>
  <si>
    <t>NKR</t>
  </si>
  <si>
    <t>FURGON</t>
  </si>
  <si>
    <t>VEHICULO</t>
  </si>
  <si>
    <t>COORDINADORA MERCANTIL</t>
  </si>
  <si>
    <t>CAMION</t>
  </si>
  <si>
    <t>CARROCERIA</t>
  </si>
  <si>
    <t>COMBUSTIBLE</t>
  </si>
  <si>
    <t>DIESEL</t>
  </si>
  <si>
    <t>WOL096</t>
  </si>
  <si>
    <t>ESTACAS</t>
  </si>
  <si>
    <t>NPR</t>
  </si>
  <si>
    <t>CAMACHO VILLAMIL CARLOS ALIRIO</t>
  </si>
  <si>
    <t>TRN645</t>
  </si>
  <si>
    <t>No medida</t>
  </si>
  <si>
    <t>TIPO DE CICLO</t>
  </si>
  <si>
    <t>FECHA</t>
  </si>
  <si>
    <t>Camiones</t>
  </si>
  <si>
    <t>Buses</t>
  </si>
  <si>
    <t>HORA</t>
  </si>
  <si>
    <t>TEMPERATURA EN CÁRTER</t>
  </si>
  <si>
    <t>ANTES DEL CICLO</t>
  </si>
  <si>
    <t>DESPUÉS DEL CICLO</t>
  </si>
  <si>
    <t>TDY821</t>
  </si>
  <si>
    <t>FTR</t>
  </si>
  <si>
    <t>CICLO</t>
  </si>
  <si>
    <t>NOTAS</t>
  </si>
  <si>
    <t># DEL CICLO COMPLETADO</t>
  </si>
  <si>
    <t>TIPO DE PRUEBA</t>
  </si>
  <si>
    <t>BANCO DINAMOMÉTRICO</t>
  </si>
  <si>
    <t>CARRETERA</t>
  </si>
  <si>
    <t>C3S2</t>
  </si>
  <si>
    <t>CARGA</t>
  </si>
  <si>
    <t>C3S3</t>
  </si>
  <si>
    <t>VIAJES CARGADOS</t>
  </si>
  <si>
    <t>% VIAJES CARGADOS</t>
  </si>
  <si>
    <t>CARGA/VIAJE</t>
  </si>
  <si>
    <t>TRI494</t>
  </si>
  <si>
    <t>MACK</t>
  </si>
  <si>
    <t>TRACTOCAMION</t>
  </si>
  <si>
    <t>Tractocamiones</t>
  </si>
  <si>
    <t>CARGA APROXIMADA DE PRUEBA (Ton)</t>
  </si>
  <si>
    <t>KMZ371</t>
  </si>
  <si>
    <t>AN64TX</t>
  </si>
  <si>
    <t>SRS</t>
  </si>
  <si>
    <t>POSTRATAMIENTO</t>
  </si>
  <si>
    <t>No</t>
  </si>
  <si>
    <t>SCR</t>
  </si>
  <si>
    <t>9400i</t>
  </si>
  <si>
    <t>TRK015</t>
  </si>
  <si>
    <t>INTERNATIONAL</t>
  </si>
  <si>
    <t>Medición libre</t>
  </si>
  <si>
    <t>CXU613E</t>
  </si>
  <si>
    <t>LUGAR DE LA PRUEBA</t>
  </si>
  <si>
    <t>Anillo vial</t>
  </si>
  <si>
    <t>ICP</t>
  </si>
  <si>
    <t>Piedecuesta</t>
  </si>
  <si>
    <t>Floridablanca - Girón</t>
  </si>
  <si>
    <t>CIUDAD DE LA PRUEBA</t>
  </si>
  <si>
    <t>KMZ366</t>
  </si>
  <si>
    <t>HFC1035KD</t>
  </si>
  <si>
    <t>JAC</t>
  </si>
  <si>
    <t>SPM584</t>
  </si>
  <si>
    <t>DIAZ RIVERA ALFREDO</t>
  </si>
  <si>
    <t>UFB627</t>
  </si>
  <si>
    <t>FORD</t>
  </si>
  <si>
    <t>CARGO 1721</t>
  </si>
  <si>
    <t>DANIEL ANTONIO PACHON ATEHORTUA</t>
  </si>
  <si>
    <t>https://www.mintransporte.gov.co/descargar.php?idFile=13364</t>
  </si>
  <si>
    <t>https://www.mintransporte.gov.co/descargar.php?idFile=4314</t>
  </si>
  <si>
    <t>Operación transporte</t>
  </si>
  <si>
    <t>Carga</t>
  </si>
  <si>
    <t>http://automotoralopez.com/img/camiones_0k/jac/fichaHFC-1040dc.pdf</t>
  </si>
  <si>
    <t>Ficha técnica JAC</t>
  </si>
  <si>
    <t>Ficha técnica FORD</t>
  </si>
  <si>
    <t>https://www.ford.com.ve/content/dam/Ford/website-assets/latam/ve/nameplate/cargo-1721/Cargo-1721_brochure.pdf</t>
  </si>
  <si>
    <t>DATOS</t>
  </si>
  <si>
    <t>https://www.macktrucks.com.co/-/media/files/brochures/anthem/anthem-brochure-eurov---spanish.pdf</t>
  </si>
  <si>
    <t>Ficha técnica MACK AN64TX</t>
  </si>
  <si>
    <t>https://dealers.rewebmkt.com/files/20200303071034y2dsu-ficha-te-cnica-anthem.pdf</t>
  </si>
  <si>
    <t>EURO EMISIONES</t>
  </si>
  <si>
    <t>V</t>
  </si>
  <si>
    <t>II</t>
  </si>
  <si>
    <t>HINO</t>
  </si>
  <si>
    <t>Ficha técnica Hino GH8J</t>
  </si>
  <si>
    <t>https://www.hino.com.co/hino/site/docs/20200922/20200922235213/gh8j_camion_largo_min.pdf</t>
  </si>
  <si>
    <t>https://www.hino.com.co/hino/site/docs/20200922/20200922235112/gh8j_cargo_min.pdf</t>
  </si>
  <si>
    <t>GQV282</t>
  </si>
  <si>
    <t>ANA RUBY RUIZ HERNANDEZ</t>
  </si>
  <si>
    <t>GH8JM8A (CARGO)</t>
  </si>
  <si>
    <t>GQV026</t>
  </si>
  <si>
    <t>FVR</t>
  </si>
  <si>
    <t>IV</t>
  </si>
  <si>
    <t>ELIAS BUENAHORA MUÑOZ</t>
  </si>
  <si>
    <t>Partículas medidas con Dekati ELPI+ a partir de este vehículo.</t>
  </si>
  <si>
    <t>Ficha técnica Chevrolet FVR</t>
  </si>
  <si>
    <t>https://www.busesycamioneschevrolet.com.co/wp-content/uploads/2017/11/FVR-CORTO-EURO-IV-Baja.pdf</t>
  </si>
  <si>
    <t>https://www.busesycamioneschevrolet.com.co/wp-content/uploads/2017/11/FVR-FORWARD-LARGO-Baja.pdf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</si>
</sst>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h:mm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14" fontId="0" fillId="0" borderId="1" xfId="0" applyNumberFormat="1" applyBorder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20" fontId="0" fillId="0" borderId="6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4" borderId="1" xfId="0" applyFill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/>
    <xf numFmtId="0" fontId="0" fillId="0" borderId="1" xfId="0" applyBorder="1" applyAlignment="1">
      <alignment horizontal="center" vertical="center"/>
    </xf>
    <xf numFmtId="14" fontId="0" fillId="0" borderId="3" xfId="0" applyNumberFormat="1" applyBorder="1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4" fontId="0" fillId="0" borderId="7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0" fillId="5" borderId="1" xfId="0" applyFill="1" applyBorder="1" applyAlignment="1">
      <alignment horizontal="left" vertical="center"/>
    </xf>
    <xf numFmtId="0" fontId="0" fillId="5" borderId="0" xfId="0" applyFill="1" applyAlignment="1">
      <alignment horizontal="center"/>
    </xf>
    <xf numFmtId="10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18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R16" sqref="R16"/>
    </sheetView>
  </sheetViews>
  <sheetFormatPr defaultColWidth="9.109375" defaultRowHeight="14.4" x14ac:dyDescent="0.3"/>
  <cols>
    <col min="1" max="1" width="8.109375" style="1" bestFit="1" customWidth="1"/>
    <col min="2" max="2" width="15.44140625" style="1" bestFit="1" customWidth="1"/>
    <col min="3" max="3" width="15.5546875" style="1" bestFit="1" customWidth="1"/>
    <col min="4" max="4" width="13.5546875" style="1" bestFit="1" customWidth="1"/>
    <col min="5" max="5" width="12.33203125" style="1" bestFit="1" customWidth="1"/>
    <col min="6" max="6" width="17.5546875" style="1" bestFit="1" customWidth="1"/>
    <col min="7" max="7" width="15.109375" style="1" bestFit="1" customWidth="1"/>
    <col min="8" max="8" width="8.88671875" style="1" bestFit="1" customWidth="1"/>
    <col min="9" max="9" width="17.33203125" style="1" bestFit="1" customWidth="1"/>
    <col min="10" max="10" width="36.33203125" style="1" bestFit="1" customWidth="1"/>
    <col min="11" max="11" width="16.44140625" style="1" bestFit="1" customWidth="1"/>
    <col min="12" max="12" width="21" style="1" bestFit="1" customWidth="1"/>
    <col min="13" max="13" width="20.109375" style="1" bestFit="1" customWidth="1"/>
    <col min="14" max="14" width="23.88671875" style="1" bestFit="1" customWidth="1"/>
    <col min="15" max="15" width="36.109375" style="1" bestFit="1" customWidth="1"/>
    <col min="16" max="16" width="36.109375" style="1" customWidth="1"/>
    <col min="17" max="17" width="23" style="1" bestFit="1" customWidth="1"/>
    <col min="18" max="18" width="55.44140625" style="1" bestFit="1" customWidth="1"/>
    <col min="19" max="16384" width="9.109375" style="1"/>
  </cols>
  <sheetData>
    <row r="1" spans="1:89" x14ac:dyDescent="0.3">
      <c r="A1" s="47" t="s">
        <v>84</v>
      </c>
      <c r="B1" s="47"/>
      <c r="C1" s="47"/>
      <c r="D1" s="47"/>
      <c r="E1" s="47"/>
      <c r="F1" s="47"/>
      <c r="G1" s="47"/>
      <c r="H1" s="47"/>
      <c r="I1" s="47"/>
      <c r="J1" s="47"/>
      <c r="K1" s="28"/>
      <c r="L1" s="23"/>
      <c r="M1" s="20"/>
      <c r="N1" s="11"/>
      <c r="O1" s="12"/>
      <c r="P1" s="13"/>
      <c r="Q1" s="2"/>
      <c r="R1" s="9"/>
    </row>
    <row r="2" spans="1:89" x14ac:dyDescent="0.3">
      <c r="A2" s="2" t="s">
        <v>0</v>
      </c>
      <c r="B2" s="2" t="s">
        <v>2</v>
      </c>
      <c r="C2" s="2" t="s">
        <v>11</v>
      </c>
      <c r="D2" s="2" t="s">
        <v>15</v>
      </c>
      <c r="E2" s="2" t="s">
        <v>14</v>
      </c>
      <c r="F2" s="2" t="s">
        <v>3</v>
      </c>
      <c r="G2" s="2" t="s">
        <v>5</v>
      </c>
      <c r="H2" s="2" t="s">
        <v>1</v>
      </c>
      <c r="I2" s="2" t="s">
        <v>4</v>
      </c>
      <c r="J2" s="2" t="s">
        <v>6</v>
      </c>
      <c r="K2" s="28" t="s">
        <v>88</v>
      </c>
      <c r="L2" s="23" t="s">
        <v>66</v>
      </c>
      <c r="M2" s="20" t="s">
        <v>61</v>
      </c>
      <c r="N2" s="20" t="s">
        <v>36</v>
      </c>
      <c r="O2" s="12" t="s">
        <v>49</v>
      </c>
      <c r="P2" s="13" t="s">
        <v>53</v>
      </c>
      <c r="Q2" s="2" t="s">
        <v>33</v>
      </c>
      <c r="R2" s="9" t="s">
        <v>34</v>
      </c>
    </row>
    <row r="3" spans="1:89" s="56" customFormat="1" x14ac:dyDescent="0.3">
      <c r="A3" s="51" t="s">
        <v>7</v>
      </c>
      <c r="B3" s="51" t="s">
        <v>8</v>
      </c>
      <c r="C3" s="51" t="s">
        <v>13</v>
      </c>
      <c r="D3" s="51" t="s">
        <v>16</v>
      </c>
      <c r="E3" s="51" t="s">
        <v>10</v>
      </c>
      <c r="F3" s="51" t="s">
        <v>9</v>
      </c>
      <c r="G3" s="51">
        <v>2771</v>
      </c>
      <c r="H3" s="51">
        <v>2006</v>
      </c>
      <c r="I3" s="51">
        <v>2.8460000000000001</v>
      </c>
      <c r="J3" s="51" t="s">
        <v>12</v>
      </c>
      <c r="K3" s="51" t="s">
        <v>90</v>
      </c>
      <c r="L3" s="51" t="s">
        <v>64</v>
      </c>
      <c r="M3" s="51" t="s">
        <v>63</v>
      </c>
      <c r="N3" s="52" t="s">
        <v>37</v>
      </c>
      <c r="O3" s="51">
        <f t="shared" ref="O3:O8" si="0">0.6*I3</f>
        <v>1.7076</v>
      </c>
      <c r="P3" s="51" t="s">
        <v>54</v>
      </c>
      <c r="Q3" s="53" t="s">
        <v>25</v>
      </c>
      <c r="R3" s="55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7"/>
      <c r="BZ3" s="37"/>
      <c r="CA3" s="37"/>
      <c r="CB3" s="37"/>
      <c r="CC3" s="37"/>
      <c r="CD3" s="37"/>
      <c r="CE3" s="37"/>
      <c r="CF3" s="37"/>
      <c r="CG3" s="37"/>
      <c r="CH3" s="37"/>
      <c r="CI3" s="37"/>
      <c r="CJ3" s="37"/>
      <c r="CK3" s="37"/>
    </row>
    <row r="4" spans="1:89" s="56" customFormat="1" x14ac:dyDescent="0.3">
      <c r="A4" s="51" t="s">
        <v>7</v>
      </c>
      <c r="B4" s="51" t="s">
        <v>8</v>
      </c>
      <c r="C4" s="51" t="s">
        <v>13</v>
      </c>
      <c r="D4" s="51" t="s">
        <v>16</v>
      </c>
      <c r="E4" s="51" t="s">
        <v>10</v>
      </c>
      <c r="F4" s="51" t="s">
        <v>9</v>
      </c>
      <c r="G4" s="51">
        <v>2771</v>
      </c>
      <c r="H4" s="51">
        <v>2006</v>
      </c>
      <c r="I4" s="51">
        <v>2.8460000000000001</v>
      </c>
      <c r="J4" s="51" t="s">
        <v>12</v>
      </c>
      <c r="K4" s="51" t="s">
        <v>90</v>
      </c>
      <c r="L4" s="51" t="s">
        <v>64</v>
      </c>
      <c r="M4" s="51" t="s">
        <v>63</v>
      </c>
      <c r="N4" s="51" t="s">
        <v>37</v>
      </c>
      <c r="O4" s="51">
        <f t="shared" si="0"/>
        <v>1.7076</v>
      </c>
      <c r="P4" s="51" t="s">
        <v>54</v>
      </c>
      <c r="Q4" s="54" t="s">
        <v>26</v>
      </c>
      <c r="R4" s="55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7"/>
      <c r="BZ4" s="37"/>
      <c r="CA4" s="37"/>
      <c r="CB4" s="37"/>
      <c r="CC4" s="37"/>
      <c r="CD4" s="37"/>
      <c r="CE4" s="37"/>
      <c r="CF4" s="37"/>
      <c r="CG4" s="37"/>
      <c r="CH4" s="37"/>
      <c r="CI4" s="37"/>
      <c r="CJ4" s="37"/>
      <c r="CK4" s="37"/>
    </row>
    <row r="5" spans="1:89" s="56" customFormat="1" x14ac:dyDescent="0.3">
      <c r="A5" s="51" t="s">
        <v>21</v>
      </c>
      <c r="B5" s="51" t="s">
        <v>8</v>
      </c>
      <c r="C5" s="51" t="s">
        <v>13</v>
      </c>
      <c r="D5" s="51" t="s">
        <v>16</v>
      </c>
      <c r="E5" s="51" t="s">
        <v>10</v>
      </c>
      <c r="F5" s="51" t="s">
        <v>9</v>
      </c>
      <c r="G5" s="51">
        <v>2999</v>
      </c>
      <c r="H5" s="51">
        <v>2016</v>
      </c>
      <c r="I5" s="51">
        <v>3.1</v>
      </c>
      <c r="J5" s="51" t="s">
        <v>12</v>
      </c>
      <c r="K5" s="51" t="s">
        <v>100</v>
      </c>
      <c r="L5" s="51" t="s">
        <v>64</v>
      </c>
      <c r="M5" s="51" t="s">
        <v>63</v>
      </c>
      <c r="N5" s="51" t="s">
        <v>37</v>
      </c>
      <c r="O5" s="51">
        <f t="shared" si="0"/>
        <v>1.8599999999999999</v>
      </c>
      <c r="P5" s="51" t="s">
        <v>54</v>
      </c>
      <c r="Q5" s="53" t="s">
        <v>25</v>
      </c>
      <c r="R5" s="55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7"/>
      <c r="BZ5" s="37"/>
      <c r="CA5" s="37"/>
      <c r="CB5" s="37"/>
      <c r="CC5" s="37"/>
      <c r="CD5" s="37"/>
      <c r="CE5" s="37"/>
      <c r="CF5" s="37"/>
      <c r="CG5" s="37"/>
      <c r="CH5" s="37"/>
      <c r="CI5" s="37"/>
      <c r="CJ5" s="37"/>
      <c r="CK5" s="37"/>
    </row>
    <row r="6" spans="1:89" s="56" customFormat="1" x14ac:dyDescent="0.3">
      <c r="A6" s="51" t="s">
        <v>21</v>
      </c>
      <c r="B6" s="51" t="s">
        <v>8</v>
      </c>
      <c r="C6" s="51" t="s">
        <v>13</v>
      </c>
      <c r="D6" s="51" t="s">
        <v>16</v>
      </c>
      <c r="E6" s="51" t="s">
        <v>10</v>
      </c>
      <c r="F6" s="51" t="s">
        <v>9</v>
      </c>
      <c r="G6" s="51">
        <v>2999</v>
      </c>
      <c r="H6" s="51">
        <v>2016</v>
      </c>
      <c r="I6" s="51">
        <v>3.1</v>
      </c>
      <c r="J6" s="51" t="s">
        <v>12</v>
      </c>
      <c r="K6" s="51" t="s">
        <v>100</v>
      </c>
      <c r="L6" s="51" t="s">
        <v>64</v>
      </c>
      <c r="M6" s="51" t="s">
        <v>63</v>
      </c>
      <c r="N6" s="51" t="s">
        <v>37</v>
      </c>
      <c r="O6" s="51">
        <f t="shared" si="0"/>
        <v>1.8599999999999999</v>
      </c>
      <c r="P6" s="51" t="s">
        <v>54</v>
      </c>
      <c r="Q6" s="54" t="s">
        <v>26</v>
      </c>
      <c r="R6" s="55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/>
      <c r="CJ6" s="37"/>
      <c r="CK6" s="37"/>
    </row>
    <row r="7" spans="1:89" x14ac:dyDescent="0.3">
      <c r="A7" s="19" t="s">
        <v>17</v>
      </c>
      <c r="B7" s="19" t="s">
        <v>8</v>
      </c>
      <c r="C7" s="19" t="s">
        <v>13</v>
      </c>
      <c r="D7" s="19" t="s">
        <v>16</v>
      </c>
      <c r="E7" s="19" t="s">
        <v>18</v>
      </c>
      <c r="F7" s="19" t="s">
        <v>19</v>
      </c>
      <c r="G7" s="19">
        <v>5193</v>
      </c>
      <c r="H7" s="19">
        <v>2018</v>
      </c>
      <c r="I7" s="19">
        <v>4.8</v>
      </c>
      <c r="J7" s="19" t="s">
        <v>20</v>
      </c>
      <c r="K7" s="36" t="s">
        <v>100</v>
      </c>
      <c r="L7" s="22" t="s">
        <v>64</v>
      </c>
      <c r="M7" s="22" t="s">
        <v>63</v>
      </c>
      <c r="N7" s="19" t="s">
        <v>37</v>
      </c>
      <c r="O7" s="19">
        <f t="shared" si="0"/>
        <v>2.88</v>
      </c>
      <c r="P7" s="19" t="s">
        <v>54</v>
      </c>
      <c r="Q7" s="5" t="s">
        <v>25</v>
      </c>
      <c r="R7" s="2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</row>
    <row r="8" spans="1:89" x14ac:dyDescent="0.3">
      <c r="A8" s="22" t="s">
        <v>17</v>
      </c>
      <c r="B8" s="19" t="s">
        <v>8</v>
      </c>
      <c r="C8" s="19" t="s">
        <v>13</v>
      </c>
      <c r="D8" s="19" t="s">
        <v>16</v>
      </c>
      <c r="E8" s="19" t="s">
        <v>18</v>
      </c>
      <c r="F8" s="19" t="s">
        <v>19</v>
      </c>
      <c r="G8" s="19">
        <v>5193</v>
      </c>
      <c r="H8" s="19">
        <v>2018</v>
      </c>
      <c r="I8" s="19">
        <v>4.8</v>
      </c>
      <c r="J8" s="19" t="s">
        <v>20</v>
      </c>
      <c r="K8" s="36" t="s">
        <v>100</v>
      </c>
      <c r="L8" s="22" t="s">
        <v>64</v>
      </c>
      <c r="M8" s="22" t="s">
        <v>63</v>
      </c>
      <c r="N8" s="19" t="s">
        <v>37</v>
      </c>
      <c r="O8" s="19">
        <f t="shared" si="0"/>
        <v>2.88</v>
      </c>
      <c r="P8" s="19" t="s">
        <v>54</v>
      </c>
      <c r="Q8" s="3" t="s">
        <v>26</v>
      </c>
      <c r="R8" s="2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</row>
    <row r="9" spans="1:89" s="56" customFormat="1" x14ac:dyDescent="0.3">
      <c r="A9" s="54" t="s">
        <v>31</v>
      </c>
      <c r="B9" s="54" t="s">
        <v>8</v>
      </c>
      <c r="C9" s="54" t="s">
        <v>13</v>
      </c>
      <c r="D9" s="54" t="s">
        <v>16</v>
      </c>
      <c r="E9" s="54" t="s">
        <v>10</v>
      </c>
      <c r="F9" s="54" t="s">
        <v>32</v>
      </c>
      <c r="G9" s="54">
        <v>7790</v>
      </c>
      <c r="H9" s="54">
        <v>2012</v>
      </c>
      <c r="I9" s="54">
        <v>10</v>
      </c>
      <c r="J9" s="54" t="s">
        <v>12</v>
      </c>
      <c r="K9" s="54" t="s">
        <v>90</v>
      </c>
      <c r="L9" s="54" t="s">
        <v>65</v>
      </c>
      <c r="M9" s="54" t="s">
        <v>62</v>
      </c>
      <c r="N9" s="54" t="s">
        <v>38</v>
      </c>
      <c r="O9" s="54">
        <v>3.5</v>
      </c>
      <c r="P9" s="54" t="s">
        <v>54</v>
      </c>
      <c r="Q9" s="54" t="s">
        <v>25</v>
      </c>
      <c r="R9" s="55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7"/>
      <c r="CK9" s="37"/>
    </row>
    <row r="10" spans="1:89" s="56" customFormat="1" x14ac:dyDescent="0.3">
      <c r="A10" s="54" t="s">
        <v>45</v>
      </c>
      <c r="B10" s="54" t="s">
        <v>46</v>
      </c>
      <c r="C10" s="54" t="s">
        <v>47</v>
      </c>
      <c r="D10" s="54" t="s">
        <v>16</v>
      </c>
      <c r="E10" s="54" t="s">
        <v>52</v>
      </c>
      <c r="F10" s="54" t="s">
        <v>60</v>
      </c>
      <c r="G10" s="54">
        <v>13000</v>
      </c>
      <c r="H10" s="54">
        <v>2012</v>
      </c>
      <c r="I10" s="54">
        <v>30</v>
      </c>
      <c r="J10" s="54" t="s">
        <v>12</v>
      </c>
      <c r="K10" s="54" t="s">
        <v>90</v>
      </c>
      <c r="L10" s="54" t="s">
        <v>65</v>
      </c>
      <c r="M10" s="54" t="s">
        <v>62</v>
      </c>
      <c r="N10" s="54" t="s">
        <v>38</v>
      </c>
      <c r="O10" s="54">
        <v>10</v>
      </c>
      <c r="P10" s="54" t="s">
        <v>54</v>
      </c>
      <c r="Q10" s="54" t="s">
        <v>48</v>
      </c>
      <c r="R10" s="21" t="s">
        <v>102</v>
      </c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</row>
    <row r="11" spans="1:89" s="56" customFormat="1" x14ac:dyDescent="0.3">
      <c r="A11" s="54" t="s">
        <v>50</v>
      </c>
      <c r="B11" s="54" t="s">
        <v>46</v>
      </c>
      <c r="C11" s="54" t="s">
        <v>47</v>
      </c>
      <c r="D11" s="54" t="s">
        <v>16</v>
      </c>
      <c r="E11" s="54" t="s">
        <v>52</v>
      </c>
      <c r="F11" s="54" t="s">
        <v>51</v>
      </c>
      <c r="G11" s="54">
        <v>12777</v>
      </c>
      <c r="H11" s="54">
        <v>2020</v>
      </c>
      <c r="I11" s="54">
        <v>35</v>
      </c>
      <c r="J11" s="54" t="s">
        <v>12</v>
      </c>
      <c r="K11" s="54" t="s">
        <v>89</v>
      </c>
      <c r="L11" s="54" t="s">
        <v>65</v>
      </c>
      <c r="M11" s="54" t="s">
        <v>62</v>
      </c>
      <c r="N11" s="54" t="s">
        <v>38</v>
      </c>
      <c r="O11" s="54">
        <v>10</v>
      </c>
      <c r="P11" s="54" t="s">
        <v>55</v>
      </c>
      <c r="Q11" s="54" t="s">
        <v>48</v>
      </c>
      <c r="R11" s="55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7"/>
      <c r="CC11" s="37"/>
      <c r="CD11" s="37"/>
      <c r="CE11" s="37"/>
      <c r="CF11" s="37"/>
      <c r="CG11" s="37"/>
      <c r="CH11" s="37"/>
      <c r="CI11" s="37"/>
      <c r="CJ11" s="37"/>
      <c r="CK11" s="37"/>
    </row>
    <row r="12" spans="1:89" s="56" customFormat="1" x14ac:dyDescent="0.3">
      <c r="A12" s="54" t="s">
        <v>57</v>
      </c>
      <c r="B12" s="54" t="s">
        <v>58</v>
      </c>
      <c r="C12" s="54" t="s">
        <v>47</v>
      </c>
      <c r="D12" s="54" t="s">
        <v>16</v>
      </c>
      <c r="E12" s="54" t="s">
        <v>52</v>
      </c>
      <c r="F12" s="54" t="s">
        <v>56</v>
      </c>
      <c r="G12" s="54">
        <v>14945</v>
      </c>
      <c r="H12" s="54">
        <v>2013</v>
      </c>
      <c r="I12" s="54">
        <v>35</v>
      </c>
      <c r="J12" s="54" t="s">
        <v>12</v>
      </c>
      <c r="K12" s="54"/>
      <c r="L12" s="54" t="s">
        <v>65</v>
      </c>
      <c r="M12" s="54" t="s">
        <v>62</v>
      </c>
      <c r="N12" s="54" t="s">
        <v>38</v>
      </c>
      <c r="O12" s="54">
        <v>10</v>
      </c>
      <c r="P12" s="54" t="s">
        <v>54</v>
      </c>
      <c r="Q12" s="54" t="s">
        <v>48</v>
      </c>
      <c r="R12" s="55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7"/>
      <c r="BB12" s="37"/>
      <c r="BC12" s="37"/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7"/>
      <c r="BZ12" s="37"/>
      <c r="CA12" s="37"/>
      <c r="CB12" s="37"/>
      <c r="CC12" s="37"/>
      <c r="CD12" s="37"/>
      <c r="CE12" s="37"/>
      <c r="CF12" s="37"/>
      <c r="CG12" s="37"/>
      <c r="CH12" s="37"/>
      <c r="CI12" s="37"/>
      <c r="CJ12" s="37"/>
      <c r="CK12" s="37"/>
    </row>
    <row r="13" spans="1:89" s="56" customFormat="1" x14ac:dyDescent="0.3">
      <c r="A13" s="54" t="s">
        <v>67</v>
      </c>
      <c r="B13" s="54" t="s">
        <v>46</v>
      </c>
      <c r="C13" s="54" t="s">
        <v>47</v>
      </c>
      <c r="D13" s="54" t="s">
        <v>16</v>
      </c>
      <c r="E13" s="54" t="s">
        <v>52</v>
      </c>
      <c r="F13" s="54" t="s">
        <v>51</v>
      </c>
      <c r="G13" s="54">
        <v>12777</v>
      </c>
      <c r="H13" s="54">
        <v>2020</v>
      </c>
      <c r="I13" s="54">
        <v>35</v>
      </c>
      <c r="J13" s="54" t="s">
        <v>12</v>
      </c>
      <c r="K13" s="54" t="s">
        <v>89</v>
      </c>
      <c r="L13" s="54" t="s">
        <v>65</v>
      </c>
      <c r="M13" s="54" t="s">
        <v>62</v>
      </c>
      <c r="N13" s="54" t="s">
        <v>38</v>
      </c>
      <c r="O13" s="54">
        <v>10</v>
      </c>
      <c r="P13" s="54" t="s">
        <v>55</v>
      </c>
      <c r="Q13" s="54" t="s">
        <v>48</v>
      </c>
      <c r="R13" s="55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7"/>
      <c r="BZ13" s="37"/>
      <c r="CA13" s="37"/>
      <c r="CB13" s="37"/>
      <c r="CC13" s="37"/>
      <c r="CD13" s="37"/>
      <c r="CE13" s="37"/>
      <c r="CF13" s="37"/>
      <c r="CG13" s="37"/>
      <c r="CH13" s="37"/>
      <c r="CI13" s="37"/>
      <c r="CJ13" s="37"/>
      <c r="CK13" s="37"/>
    </row>
    <row r="14" spans="1:89" x14ac:dyDescent="0.3">
      <c r="A14" s="3" t="s">
        <v>70</v>
      </c>
      <c r="B14" s="3" t="s">
        <v>69</v>
      </c>
      <c r="C14" s="3" t="s">
        <v>13</v>
      </c>
      <c r="D14" s="3" t="s">
        <v>16</v>
      </c>
      <c r="E14" s="3" t="s">
        <v>18</v>
      </c>
      <c r="F14" s="3" t="s">
        <v>68</v>
      </c>
      <c r="G14" s="3">
        <v>2771</v>
      </c>
      <c r="H14" s="3">
        <v>2011</v>
      </c>
      <c r="I14" s="3">
        <v>1.91</v>
      </c>
      <c r="J14" s="3" t="s">
        <v>71</v>
      </c>
      <c r="K14" s="3"/>
      <c r="L14" s="3" t="s">
        <v>64</v>
      </c>
      <c r="M14" s="3" t="s">
        <v>63</v>
      </c>
      <c r="N14" s="3" t="s">
        <v>37</v>
      </c>
      <c r="O14" s="3">
        <f>0.6*I14</f>
        <v>1.1459999999999999</v>
      </c>
      <c r="P14" s="3" t="s">
        <v>54</v>
      </c>
      <c r="Q14" s="3" t="s">
        <v>25</v>
      </c>
      <c r="R14" s="10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7"/>
      <c r="BZ14" s="37"/>
      <c r="CA14" s="37"/>
      <c r="CB14" s="37"/>
      <c r="CC14" s="37"/>
      <c r="CD14" s="37"/>
      <c r="CE14" s="37"/>
      <c r="CF14" s="37"/>
      <c r="CG14" s="37"/>
      <c r="CH14" s="37"/>
      <c r="CI14" s="37"/>
      <c r="CJ14" s="37"/>
      <c r="CK14" s="37"/>
    </row>
    <row r="15" spans="1:89" x14ac:dyDescent="0.3">
      <c r="A15" s="3" t="s">
        <v>70</v>
      </c>
      <c r="B15" s="3" t="s">
        <v>69</v>
      </c>
      <c r="C15" s="3" t="s">
        <v>13</v>
      </c>
      <c r="D15" s="3" t="s">
        <v>16</v>
      </c>
      <c r="E15" s="3" t="s">
        <v>18</v>
      </c>
      <c r="F15" s="3" t="s">
        <v>68</v>
      </c>
      <c r="G15" s="3">
        <v>2771</v>
      </c>
      <c r="H15" s="3">
        <v>2011</v>
      </c>
      <c r="I15" s="4">
        <v>1.91</v>
      </c>
      <c r="J15" s="3" t="s">
        <v>71</v>
      </c>
      <c r="K15" s="3"/>
      <c r="L15" s="3" t="s">
        <v>64</v>
      </c>
      <c r="M15" s="3" t="s">
        <v>63</v>
      </c>
      <c r="N15" s="3" t="s">
        <v>37</v>
      </c>
      <c r="O15" s="3">
        <v>1.1100000000000001</v>
      </c>
      <c r="P15" s="3" t="s">
        <v>54</v>
      </c>
      <c r="Q15" s="3" t="s">
        <v>26</v>
      </c>
      <c r="R15" s="10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7"/>
      <c r="BZ15" s="37"/>
      <c r="CA15" s="37"/>
      <c r="CB15" s="37"/>
      <c r="CC15" s="37"/>
      <c r="CD15" s="37"/>
      <c r="CE15" s="37"/>
      <c r="CF15" s="37"/>
      <c r="CG15" s="37"/>
      <c r="CH15" s="37"/>
      <c r="CI15" s="37"/>
      <c r="CJ15" s="37"/>
      <c r="CK15" s="37"/>
    </row>
    <row r="16" spans="1:89" x14ac:dyDescent="0.3">
      <c r="A16" s="3" t="s">
        <v>72</v>
      </c>
      <c r="B16" s="3" t="s">
        <v>73</v>
      </c>
      <c r="C16" s="3" t="s">
        <v>13</v>
      </c>
      <c r="D16" s="3" t="s">
        <v>16</v>
      </c>
      <c r="E16" s="3" t="s">
        <v>10</v>
      </c>
      <c r="F16" s="3" t="s">
        <v>74</v>
      </c>
      <c r="G16" s="3">
        <v>8270</v>
      </c>
      <c r="H16" s="3">
        <v>2005</v>
      </c>
      <c r="I16" s="4">
        <v>10.5</v>
      </c>
      <c r="J16" s="3" t="s">
        <v>75</v>
      </c>
      <c r="K16" s="3" t="s">
        <v>90</v>
      </c>
      <c r="L16" s="3" t="s">
        <v>65</v>
      </c>
      <c r="M16" s="3" t="s">
        <v>62</v>
      </c>
      <c r="N16" s="3" t="s">
        <v>38</v>
      </c>
      <c r="O16" s="3">
        <v>4.5</v>
      </c>
      <c r="P16" s="3" t="s">
        <v>54</v>
      </c>
      <c r="Q16" s="3" t="s">
        <v>25</v>
      </c>
      <c r="R16" s="10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7"/>
      <c r="BZ16" s="37"/>
      <c r="CA16" s="37"/>
      <c r="CB16" s="37"/>
      <c r="CC16" s="37"/>
      <c r="CD16" s="37"/>
      <c r="CE16" s="37"/>
      <c r="CF16" s="37"/>
      <c r="CG16" s="37"/>
      <c r="CH16" s="37"/>
      <c r="CI16" s="37"/>
      <c r="CJ16" s="37"/>
      <c r="CK16" s="37"/>
    </row>
    <row r="17" spans="1:18" x14ac:dyDescent="0.3">
      <c r="A17" s="3" t="s">
        <v>95</v>
      </c>
      <c r="B17" s="3" t="s">
        <v>91</v>
      </c>
      <c r="C17" s="3" t="s">
        <v>13</v>
      </c>
      <c r="D17" s="3" t="s">
        <v>16</v>
      </c>
      <c r="E17" s="3" t="s">
        <v>18</v>
      </c>
      <c r="F17" s="3" t="s">
        <v>97</v>
      </c>
      <c r="G17" s="3">
        <v>7684</v>
      </c>
      <c r="H17" s="3">
        <v>2022</v>
      </c>
      <c r="I17" s="4">
        <v>11.39</v>
      </c>
      <c r="J17" s="3" t="s">
        <v>96</v>
      </c>
      <c r="K17" s="3" t="s">
        <v>100</v>
      </c>
      <c r="L17" s="3" t="s">
        <v>65</v>
      </c>
      <c r="M17" s="3" t="s">
        <v>62</v>
      </c>
      <c r="N17" s="3" t="s">
        <v>38</v>
      </c>
      <c r="O17" s="3">
        <v>4.5</v>
      </c>
      <c r="P17" s="3" t="s">
        <v>55</v>
      </c>
      <c r="Q17" s="3" t="s">
        <v>25</v>
      </c>
      <c r="R17" s="10"/>
    </row>
    <row r="18" spans="1:18" x14ac:dyDescent="0.3">
      <c r="A18" s="3" t="s">
        <v>98</v>
      </c>
      <c r="B18" s="3" t="s">
        <v>8</v>
      </c>
      <c r="C18" s="3" t="s">
        <v>13</v>
      </c>
      <c r="D18" s="3" t="s">
        <v>16</v>
      </c>
      <c r="E18" s="3" t="s">
        <v>18</v>
      </c>
      <c r="F18" s="3" t="s">
        <v>99</v>
      </c>
      <c r="G18" s="3">
        <v>7790</v>
      </c>
      <c r="H18" s="3">
        <v>2021</v>
      </c>
      <c r="I18" s="4">
        <v>11.475</v>
      </c>
      <c r="J18" s="3" t="s">
        <v>101</v>
      </c>
      <c r="K18" s="3" t="s">
        <v>100</v>
      </c>
      <c r="L18" s="3" t="s">
        <v>65</v>
      </c>
      <c r="M18" s="3" t="s">
        <v>62</v>
      </c>
      <c r="N18" s="3" t="s">
        <v>38</v>
      </c>
      <c r="O18" s="3">
        <v>4.5</v>
      </c>
      <c r="P18" s="3" t="s">
        <v>54</v>
      </c>
      <c r="Q18" s="3" t="s">
        <v>25</v>
      </c>
      <c r="R18" s="10"/>
    </row>
  </sheetData>
  <mergeCells count="1">
    <mergeCell ref="A1:J1"/>
  </mergeCells>
  <phoneticPr fontId="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workbookViewId="0">
      <selection activeCell="C49" sqref="C49"/>
    </sheetView>
  </sheetViews>
  <sheetFormatPr defaultColWidth="11.5546875" defaultRowHeight="14.4" x14ac:dyDescent="0.3"/>
  <cols>
    <col min="1" max="1" width="8.109375" style="16" bestFit="1" customWidth="1"/>
    <col min="2" max="2" width="10.6640625" style="16" bestFit="1" customWidth="1"/>
    <col min="3" max="3" width="6.109375" style="16" bestFit="1" customWidth="1"/>
    <col min="4" max="4" width="24.33203125" style="16" bestFit="1" customWidth="1"/>
    <col min="5" max="5" width="14.88671875" style="16" bestFit="1" customWidth="1"/>
    <col min="6" max="6" width="15.88671875" style="16" bestFit="1" customWidth="1"/>
    <col min="7" max="7" width="18.109375" style="16" bestFit="1" customWidth="1"/>
    <col min="8" max="8" width="13.88671875" style="16" bestFit="1" customWidth="1"/>
  </cols>
  <sheetData>
    <row r="1" spans="1:8" x14ac:dyDescent="0.3">
      <c r="A1" s="48"/>
      <c r="B1" s="49"/>
      <c r="C1" s="49"/>
      <c r="D1" s="49"/>
      <c r="E1" s="50"/>
      <c r="F1" s="47" t="s">
        <v>28</v>
      </c>
      <c r="G1" s="47"/>
      <c r="H1" s="24"/>
    </row>
    <row r="2" spans="1:8" x14ac:dyDescent="0.3">
      <c r="A2" s="26" t="s">
        <v>0</v>
      </c>
      <c r="B2" s="26" t="s">
        <v>24</v>
      </c>
      <c r="C2" s="26" t="s">
        <v>27</v>
      </c>
      <c r="D2" s="26" t="s">
        <v>35</v>
      </c>
      <c r="E2" s="26" t="s">
        <v>23</v>
      </c>
      <c r="F2" s="26" t="s">
        <v>29</v>
      </c>
      <c r="G2" s="26" t="s">
        <v>30</v>
      </c>
      <c r="H2" s="26" t="s">
        <v>34</v>
      </c>
    </row>
    <row r="3" spans="1:8" x14ac:dyDescent="0.3">
      <c r="A3" s="39" t="s">
        <v>17</v>
      </c>
      <c r="B3" s="25">
        <v>44425</v>
      </c>
      <c r="C3" s="6">
        <v>0.77916666666666667</v>
      </c>
      <c r="D3" s="24">
        <v>1</v>
      </c>
      <c r="E3" s="39" t="s">
        <v>25</v>
      </c>
      <c r="F3" s="24" t="s">
        <v>22</v>
      </c>
      <c r="G3" s="24" t="s">
        <v>22</v>
      </c>
      <c r="H3" s="24"/>
    </row>
    <row r="4" spans="1:8" x14ac:dyDescent="0.3">
      <c r="A4" s="39"/>
      <c r="B4" s="42">
        <v>44426</v>
      </c>
      <c r="C4" s="6">
        <v>0.64583333333333337</v>
      </c>
      <c r="D4" s="24">
        <v>2</v>
      </c>
      <c r="E4" s="39"/>
      <c r="F4" s="24">
        <f>(188+195+183)/3</f>
        <v>188.66666666666666</v>
      </c>
      <c r="G4" s="24">
        <f>(228+224+232)/3</f>
        <v>228</v>
      </c>
      <c r="H4" s="24"/>
    </row>
    <row r="5" spans="1:8" x14ac:dyDescent="0.3">
      <c r="A5" s="39"/>
      <c r="B5" s="42"/>
      <c r="C5" s="6">
        <v>0.70347222222222217</v>
      </c>
      <c r="D5" s="24">
        <v>3</v>
      </c>
      <c r="E5" s="39"/>
      <c r="F5" s="31" t="s">
        <v>22</v>
      </c>
      <c r="G5" s="31" t="s">
        <v>22</v>
      </c>
      <c r="H5" s="24"/>
    </row>
    <row r="6" spans="1:8" x14ac:dyDescent="0.3">
      <c r="A6" s="39"/>
      <c r="B6" s="42"/>
      <c r="C6" s="6">
        <v>0.76388888888888884</v>
      </c>
      <c r="D6" s="24">
        <v>4</v>
      </c>
      <c r="E6" s="39"/>
      <c r="F6" s="31" t="s">
        <v>22</v>
      </c>
      <c r="G6" s="31" t="s">
        <v>22</v>
      </c>
      <c r="H6" s="24"/>
    </row>
    <row r="7" spans="1:8" x14ac:dyDescent="0.3">
      <c r="A7" s="39"/>
      <c r="B7" s="42">
        <v>44427</v>
      </c>
      <c r="C7" s="6">
        <v>0.63888888888888895</v>
      </c>
      <c r="D7" s="24">
        <v>1</v>
      </c>
      <c r="E7" s="39" t="s">
        <v>26</v>
      </c>
      <c r="F7" s="24">
        <f>(186+191+193)/3</f>
        <v>190</v>
      </c>
      <c r="G7" s="24">
        <f>(235+238+243)/3</f>
        <v>238.66666666666666</v>
      </c>
      <c r="H7" s="24"/>
    </row>
    <row r="8" spans="1:8" x14ac:dyDescent="0.3">
      <c r="A8" s="39"/>
      <c r="B8" s="42"/>
      <c r="C8" s="6">
        <v>0.68263888888888891</v>
      </c>
      <c r="D8" s="24">
        <v>2</v>
      </c>
      <c r="E8" s="39"/>
      <c r="F8" s="24">
        <f>(187+192+189)/3</f>
        <v>189.33333333333334</v>
      </c>
      <c r="G8" s="24">
        <f>(235+242+237)/3</f>
        <v>238</v>
      </c>
      <c r="H8" s="24"/>
    </row>
    <row r="9" spans="1:8" x14ac:dyDescent="0.3">
      <c r="A9" s="39"/>
      <c r="B9" s="42"/>
      <c r="C9" s="6">
        <v>0.73541666666666661</v>
      </c>
      <c r="D9" s="24">
        <v>3</v>
      </c>
      <c r="E9" s="39"/>
      <c r="F9" s="24">
        <f>(189+188+185)/3</f>
        <v>187.33333333333334</v>
      </c>
      <c r="G9" s="24">
        <f>(248+244+246)/3</f>
        <v>246</v>
      </c>
      <c r="H9" s="24"/>
    </row>
    <row r="10" spans="1:8" x14ac:dyDescent="0.3">
      <c r="A10" s="39"/>
      <c r="B10" s="42"/>
      <c r="C10" s="6">
        <v>0.78472222222222221</v>
      </c>
      <c r="D10" s="24">
        <v>4</v>
      </c>
      <c r="E10" s="39"/>
      <c r="F10" s="24">
        <f>(198+197+196)/3</f>
        <v>197</v>
      </c>
      <c r="G10" s="24">
        <f>(265+266+267)/3</f>
        <v>266</v>
      </c>
      <c r="H10" s="24"/>
    </row>
    <row r="11" spans="1:8" x14ac:dyDescent="0.3">
      <c r="A11" s="39"/>
      <c r="B11" s="42"/>
      <c r="C11" s="6">
        <v>0.83472222222222225</v>
      </c>
      <c r="D11" s="24">
        <v>5</v>
      </c>
      <c r="E11" s="39"/>
      <c r="F11" s="24">
        <f>(188+193+195)/3</f>
        <v>192</v>
      </c>
      <c r="G11" s="24">
        <f>(259+263+262)/3</f>
        <v>261.33333333333331</v>
      </c>
      <c r="H11" s="24"/>
    </row>
    <row r="12" spans="1:8" x14ac:dyDescent="0.3">
      <c r="A12" s="39" t="s">
        <v>31</v>
      </c>
      <c r="B12" s="25">
        <v>44433</v>
      </c>
      <c r="C12" s="6">
        <v>0.99930555555555556</v>
      </c>
      <c r="D12" s="24">
        <v>1</v>
      </c>
      <c r="E12" s="39" t="s">
        <v>25</v>
      </c>
      <c r="F12" s="24" t="s">
        <v>22</v>
      </c>
      <c r="G12" s="24" t="s">
        <v>22</v>
      </c>
      <c r="H12" s="24"/>
    </row>
    <row r="13" spans="1:8" x14ac:dyDescent="0.3">
      <c r="A13" s="39"/>
      <c r="B13" s="42">
        <v>44434</v>
      </c>
      <c r="C13" s="6">
        <v>0.89583333333333337</v>
      </c>
      <c r="D13" s="24">
        <v>2</v>
      </c>
      <c r="E13" s="39"/>
      <c r="F13" s="24">
        <f>(194.5+192.5+200)/3</f>
        <v>195.66666666666666</v>
      </c>
      <c r="G13" s="24">
        <f>(219+219+225)/3</f>
        <v>221</v>
      </c>
      <c r="H13" s="24"/>
    </row>
    <row r="14" spans="1:8" x14ac:dyDescent="0.3">
      <c r="A14" s="39"/>
      <c r="B14" s="42"/>
      <c r="C14" s="6">
        <v>0.98263888888888884</v>
      </c>
      <c r="D14" s="24">
        <v>3</v>
      </c>
      <c r="E14" s="39"/>
      <c r="F14" s="24">
        <f>(195+198+205)/3</f>
        <v>199.33333333333334</v>
      </c>
      <c r="G14" s="24">
        <f>(225+226+231)/3</f>
        <v>227.33333333333334</v>
      </c>
      <c r="H14" s="24"/>
    </row>
    <row r="15" spans="1:8" x14ac:dyDescent="0.3">
      <c r="A15" s="39"/>
      <c r="B15" s="25">
        <v>44435</v>
      </c>
      <c r="C15" s="8">
        <v>3.4722222222222224E-2</v>
      </c>
      <c r="D15" s="24">
        <v>4</v>
      </c>
      <c r="E15" s="39"/>
      <c r="F15" s="24">
        <f>(193+193+193.5)/3</f>
        <v>193.16666666666666</v>
      </c>
      <c r="G15" s="24">
        <f>(229+229+232)/3</f>
        <v>230</v>
      </c>
      <c r="H15" s="24"/>
    </row>
    <row r="16" spans="1:8" x14ac:dyDescent="0.3">
      <c r="A16" s="39" t="s">
        <v>45</v>
      </c>
      <c r="B16" s="40">
        <v>44442</v>
      </c>
      <c r="C16" s="6">
        <v>0.89583333333333337</v>
      </c>
      <c r="D16" s="14">
        <v>1</v>
      </c>
      <c r="E16" s="39" t="s">
        <v>48</v>
      </c>
      <c r="F16" s="24">
        <f>(248+241+256)/3</f>
        <v>248.33333333333334</v>
      </c>
      <c r="G16" s="24">
        <f>(292+296+302)/3</f>
        <v>296.66666666666669</v>
      </c>
      <c r="H16" s="24"/>
    </row>
    <row r="17" spans="1:8" x14ac:dyDescent="0.3">
      <c r="A17" s="39"/>
      <c r="B17" s="41"/>
      <c r="C17" s="6">
        <v>0.94791666666666663</v>
      </c>
      <c r="D17" s="14">
        <v>2</v>
      </c>
      <c r="E17" s="39"/>
      <c r="F17" s="24">
        <f>(269+279+286)/3</f>
        <v>278</v>
      </c>
      <c r="G17" s="24">
        <f>(287+286+295)/3</f>
        <v>289.33333333333331</v>
      </c>
      <c r="H17" s="24"/>
    </row>
    <row r="18" spans="1:8" x14ac:dyDescent="0.3">
      <c r="A18" s="39"/>
      <c r="B18" s="25">
        <v>44443</v>
      </c>
      <c r="C18" s="6">
        <v>6.9444444444444441E-3</v>
      </c>
      <c r="D18" s="14">
        <v>3</v>
      </c>
      <c r="E18" s="39"/>
      <c r="F18" s="17">
        <f>(274+271+280)/3</f>
        <v>275</v>
      </c>
      <c r="G18" s="17">
        <f>(266+273+272)/3</f>
        <v>270.33333333333331</v>
      </c>
      <c r="H18" s="24"/>
    </row>
    <row r="19" spans="1:8" x14ac:dyDescent="0.3">
      <c r="A19" s="43" t="s">
        <v>50</v>
      </c>
      <c r="B19" s="25">
        <v>44447</v>
      </c>
      <c r="C19" s="15">
        <v>0.94444444444444453</v>
      </c>
      <c r="D19" s="24">
        <v>1</v>
      </c>
      <c r="E19" s="43" t="s">
        <v>48</v>
      </c>
      <c r="F19" s="24">
        <f>(227+231+222)/3</f>
        <v>226.66666666666666</v>
      </c>
      <c r="G19" s="24">
        <f>(281+289+292)/3</f>
        <v>287.33333333333331</v>
      </c>
      <c r="H19" s="24"/>
    </row>
    <row r="20" spans="1:8" x14ac:dyDescent="0.3">
      <c r="A20" s="44"/>
      <c r="B20" s="42">
        <v>44448</v>
      </c>
      <c r="C20" s="6">
        <v>0.91319444444444453</v>
      </c>
      <c r="D20" s="24">
        <v>2</v>
      </c>
      <c r="E20" s="44"/>
      <c r="F20" s="24">
        <f>(232+245+249)/3</f>
        <v>242</v>
      </c>
      <c r="G20" s="24">
        <f>(256+262+248)/3</f>
        <v>255.33333333333334</v>
      </c>
      <c r="H20" s="24"/>
    </row>
    <row r="21" spans="1:8" x14ac:dyDescent="0.3">
      <c r="A21" s="44"/>
      <c r="B21" s="42"/>
      <c r="C21" s="6">
        <v>0.97222222222222221</v>
      </c>
      <c r="D21" s="24">
        <v>3</v>
      </c>
      <c r="E21" s="44"/>
      <c r="F21" s="17">
        <f>(229+238+250)/3</f>
        <v>239</v>
      </c>
      <c r="G21" s="17">
        <f>(218+233+237)/3</f>
        <v>229.33333333333334</v>
      </c>
      <c r="H21" s="24"/>
    </row>
    <row r="22" spans="1:8" x14ac:dyDescent="0.3">
      <c r="A22" s="45"/>
      <c r="B22" s="25">
        <v>44449</v>
      </c>
      <c r="C22" s="6">
        <v>2.0833333333333332E-2</v>
      </c>
      <c r="D22" s="24">
        <v>4</v>
      </c>
      <c r="E22" s="45"/>
      <c r="F22" s="18">
        <f>(159.5+182+175)/3</f>
        <v>172.16666666666666</v>
      </c>
      <c r="G22" s="24">
        <f>(225+241+251)/3</f>
        <v>239</v>
      </c>
      <c r="H22" s="24"/>
    </row>
    <row r="23" spans="1:8" x14ac:dyDescent="0.3">
      <c r="A23" s="39" t="s">
        <v>57</v>
      </c>
      <c r="B23" s="40">
        <v>44454</v>
      </c>
      <c r="C23" s="6">
        <v>0.9555555555555556</v>
      </c>
      <c r="D23" s="24">
        <v>1</v>
      </c>
      <c r="E23" s="43" t="s">
        <v>48</v>
      </c>
      <c r="F23" s="24" t="s">
        <v>22</v>
      </c>
      <c r="G23" s="24" t="s">
        <v>22</v>
      </c>
      <c r="H23" s="24" t="s">
        <v>59</v>
      </c>
    </row>
    <row r="24" spans="1:8" x14ac:dyDescent="0.3">
      <c r="A24" s="39"/>
      <c r="B24" s="41"/>
      <c r="C24" s="6">
        <v>0.98263888888888884</v>
      </c>
      <c r="D24" s="24">
        <v>2</v>
      </c>
      <c r="E24" s="44"/>
      <c r="F24" s="24">
        <f>(201+209+206)/3</f>
        <v>205.33333333333334</v>
      </c>
      <c r="G24" s="24">
        <f>(285+282+267)/3</f>
        <v>278</v>
      </c>
      <c r="H24" s="24"/>
    </row>
    <row r="25" spans="1:8" x14ac:dyDescent="0.3">
      <c r="A25" s="39"/>
      <c r="B25" s="42">
        <v>44455</v>
      </c>
      <c r="C25" s="6">
        <v>3.125E-2</v>
      </c>
      <c r="D25" s="24">
        <v>3</v>
      </c>
      <c r="E25" s="44"/>
      <c r="F25" s="24">
        <f>(190+194+195)/3</f>
        <v>193</v>
      </c>
      <c r="G25" s="24">
        <f>(280+271+285)/3</f>
        <v>278.66666666666669</v>
      </c>
      <c r="H25" s="24"/>
    </row>
    <row r="26" spans="1:8" x14ac:dyDescent="0.3">
      <c r="A26" s="39"/>
      <c r="B26" s="42"/>
      <c r="C26" s="6">
        <v>7.8472222222222221E-2</v>
      </c>
      <c r="D26" s="24">
        <v>4</v>
      </c>
      <c r="E26" s="45"/>
      <c r="F26" s="24">
        <f>(205+206+200)/3</f>
        <v>203.66666666666666</v>
      </c>
      <c r="G26" s="24">
        <f>(269+276+285)/3</f>
        <v>276.66666666666669</v>
      </c>
      <c r="H26" s="24"/>
    </row>
    <row r="27" spans="1:8" x14ac:dyDescent="0.3">
      <c r="A27" s="39" t="s">
        <v>67</v>
      </c>
      <c r="B27" s="7">
        <v>44460</v>
      </c>
      <c r="C27" s="6">
        <v>0.98611111111111116</v>
      </c>
      <c r="D27" s="24">
        <v>1</v>
      </c>
      <c r="E27" s="39" t="s">
        <v>48</v>
      </c>
      <c r="F27" s="24">
        <f>(211+220+232)/3</f>
        <v>221</v>
      </c>
      <c r="G27" s="24">
        <f>(289+300+295)/3</f>
        <v>294.66666666666669</v>
      </c>
      <c r="H27" s="24"/>
    </row>
    <row r="28" spans="1:8" x14ac:dyDescent="0.3">
      <c r="A28" s="39"/>
      <c r="B28" s="40">
        <v>44461</v>
      </c>
      <c r="C28" s="6">
        <v>2.4305555555555556E-2</v>
      </c>
      <c r="D28" s="24">
        <v>2</v>
      </c>
      <c r="E28" s="39"/>
      <c r="F28" s="24" t="s">
        <v>22</v>
      </c>
      <c r="G28" s="24">
        <f>(279+292+278)/3</f>
        <v>283</v>
      </c>
      <c r="H28" s="24"/>
    </row>
    <row r="29" spans="1:8" x14ac:dyDescent="0.3">
      <c r="A29" s="39"/>
      <c r="B29" s="41"/>
      <c r="C29" s="6">
        <v>7.6388888888888895E-2</v>
      </c>
      <c r="D29" s="24">
        <v>3</v>
      </c>
      <c r="E29" s="39"/>
      <c r="F29" s="24">
        <f>(242+235+251)/3</f>
        <v>242.66666666666666</v>
      </c>
      <c r="G29" s="24">
        <f>(265+267+270)/3</f>
        <v>267.33333333333331</v>
      </c>
      <c r="H29" s="24"/>
    </row>
    <row r="30" spans="1:8" x14ac:dyDescent="0.3">
      <c r="A30" s="39" t="s">
        <v>70</v>
      </c>
      <c r="B30" s="40">
        <v>44467</v>
      </c>
      <c r="C30" s="6">
        <v>0.7402777777777777</v>
      </c>
      <c r="D30" s="29">
        <v>1</v>
      </c>
      <c r="E30" s="39" t="s">
        <v>25</v>
      </c>
      <c r="F30" s="31" t="s">
        <v>22</v>
      </c>
      <c r="G30" s="31" t="s">
        <v>22</v>
      </c>
      <c r="H30" s="29"/>
    </row>
    <row r="31" spans="1:8" x14ac:dyDescent="0.3">
      <c r="A31" s="39"/>
      <c r="B31" s="46"/>
      <c r="C31" s="6">
        <v>0.79652777777777783</v>
      </c>
      <c r="D31" s="29">
        <v>2</v>
      </c>
      <c r="E31" s="39"/>
      <c r="F31" s="31" t="s">
        <v>22</v>
      </c>
      <c r="G31" s="31" t="s">
        <v>22</v>
      </c>
      <c r="H31" s="29"/>
    </row>
    <row r="32" spans="1:8" x14ac:dyDescent="0.3">
      <c r="A32" s="39"/>
      <c r="B32" s="41"/>
      <c r="C32" s="6">
        <v>0.84305555555555556</v>
      </c>
      <c r="D32" s="29">
        <v>3</v>
      </c>
      <c r="E32" s="39"/>
      <c r="F32" s="31" t="s">
        <v>22</v>
      </c>
      <c r="G32" s="31" t="s">
        <v>22</v>
      </c>
      <c r="H32" s="29"/>
    </row>
    <row r="33" spans="1:8" x14ac:dyDescent="0.3">
      <c r="A33" s="39"/>
      <c r="B33" s="40">
        <v>44468</v>
      </c>
      <c r="C33" s="6">
        <v>0.68402777777777779</v>
      </c>
      <c r="D33" s="29">
        <v>4</v>
      </c>
      <c r="E33" s="39"/>
      <c r="F33" s="31" t="s">
        <v>22</v>
      </c>
      <c r="G33" s="31" t="s">
        <v>22</v>
      </c>
      <c r="H33" s="29"/>
    </row>
    <row r="34" spans="1:8" x14ac:dyDescent="0.3">
      <c r="A34" s="39"/>
      <c r="B34" s="46"/>
      <c r="C34" s="6">
        <v>0.7680555555555556</v>
      </c>
      <c r="D34" s="29">
        <v>1</v>
      </c>
      <c r="E34" s="39" t="s">
        <v>26</v>
      </c>
      <c r="F34" s="31" t="s">
        <v>22</v>
      </c>
      <c r="G34" s="31" t="s">
        <v>22</v>
      </c>
      <c r="H34" s="29"/>
    </row>
    <row r="35" spans="1:8" x14ac:dyDescent="0.3">
      <c r="A35" s="39"/>
      <c r="B35" s="41"/>
      <c r="C35" s="6">
        <v>0.80972222222222223</v>
      </c>
      <c r="D35" s="29">
        <v>2</v>
      </c>
      <c r="E35" s="39"/>
      <c r="F35" s="31" t="s">
        <v>22</v>
      </c>
      <c r="G35" s="31" t="s">
        <v>22</v>
      </c>
      <c r="H35" s="29"/>
    </row>
    <row r="36" spans="1:8" x14ac:dyDescent="0.3">
      <c r="A36" s="39"/>
      <c r="B36" s="40">
        <v>44469</v>
      </c>
      <c r="C36" s="6">
        <v>0.65069444444444446</v>
      </c>
      <c r="D36" s="29">
        <v>3</v>
      </c>
      <c r="E36" s="39"/>
      <c r="F36" s="31" t="s">
        <v>22</v>
      </c>
      <c r="G36" s="31" t="s">
        <v>22</v>
      </c>
      <c r="H36" s="29"/>
    </row>
    <row r="37" spans="1:8" x14ac:dyDescent="0.3">
      <c r="A37" s="39"/>
      <c r="B37" s="41"/>
      <c r="C37" s="6">
        <v>0.70000000000000007</v>
      </c>
      <c r="D37" s="29">
        <v>4</v>
      </c>
      <c r="E37" s="39"/>
      <c r="F37" s="31" t="s">
        <v>22</v>
      </c>
      <c r="G37" s="31" t="s">
        <v>22</v>
      </c>
      <c r="H37" s="29"/>
    </row>
    <row r="38" spans="1:8" x14ac:dyDescent="0.3">
      <c r="A38" s="39" t="s">
        <v>72</v>
      </c>
      <c r="B38" s="40">
        <v>44475</v>
      </c>
      <c r="C38" s="6">
        <v>0.94236111111111109</v>
      </c>
      <c r="D38" s="30">
        <v>1</v>
      </c>
      <c r="E38" s="39" t="s">
        <v>25</v>
      </c>
      <c r="F38" s="30">
        <f>(193+191+194)/3</f>
        <v>192.66666666666666</v>
      </c>
      <c r="G38" s="30">
        <f>(205+205+207)/3</f>
        <v>205.66666666666666</v>
      </c>
      <c r="H38" s="30"/>
    </row>
    <row r="39" spans="1:8" x14ac:dyDescent="0.3">
      <c r="A39" s="39"/>
      <c r="B39" s="41"/>
      <c r="C39" s="6">
        <v>0.9868055555555556</v>
      </c>
      <c r="D39" s="30">
        <v>2</v>
      </c>
      <c r="E39" s="39"/>
      <c r="F39" s="30">
        <f>(191+193+194)/3</f>
        <v>192.66666666666666</v>
      </c>
      <c r="G39" s="30">
        <f>(205+207+208)/3</f>
        <v>206.66666666666666</v>
      </c>
      <c r="H39" s="30"/>
    </row>
    <row r="40" spans="1:8" x14ac:dyDescent="0.3">
      <c r="A40" s="39"/>
      <c r="B40" s="40">
        <v>44476</v>
      </c>
      <c r="C40" s="6">
        <v>3.888888888888889E-2</v>
      </c>
      <c r="D40" s="30">
        <v>3</v>
      </c>
      <c r="E40" s="39"/>
      <c r="F40" s="30">
        <f>(194+194+197)/3</f>
        <v>195</v>
      </c>
      <c r="G40" s="30">
        <f>(245+244+247)/3</f>
        <v>245.33333333333334</v>
      </c>
      <c r="H40" s="30"/>
    </row>
    <row r="41" spans="1:8" x14ac:dyDescent="0.3">
      <c r="A41" s="39"/>
      <c r="B41" s="41"/>
      <c r="C41" s="6">
        <v>9.0277777777777776E-2</v>
      </c>
      <c r="D41" s="30">
        <v>4</v>
      </c>
      <c r="E41" s="39"/>
      <c r="F41" s="30">
        <f>(193+194+200)/3</f>
        <v>195.66666666666666</v>
      </c>
      <c r="G41" s="30">
        <f>(251+252+259)/3</f>
        <v>254</v>
      </c>
      <c r="H41" s="30"/>
    </row>
    <row r="42" spans="1:8" x14ac:dyDescent="0.3">
      <c r="A42" s="39" t="s">
        <v>95</v>
      </c>
      <c r="B42" s="40">
        <v>44482</v>
      </c>
      <c r="C42" s="6">
        <v>0.92291666666666661</v>
      </c>
      <c r="D42" s="32">
        <v>1</v>
      </c>
      <c r="E42" s="39" t="s">
        <v>25</v>
      </c>
      <c r="F42" s="32">
        <f>(207+210+215)/3</f>
        <v>210.66666666666666</v>
      </c>
      <c r="G42" s="32">
        <f>(241+244+247)/3</f>
        <v>244</v>
      </c>
      <c r="H42" s="32"/>
    </row>
    <row r="43" spans="1:8" x14ac:dyDescent="0.3">
      <c r="A43" s="39"/>
      <c r="B43" s="41"/>
      <c r="C43" s="6">
        <v>0.97152777777777777</v>
      </c>
      <c r="D43" s="32">
        <v>2</v>
      </c>
      <c r="E43" s="39"/>
      <c r="F43" s="32">
        <f>(196+203+211)/3</f>
        <v>203.33333333333334</v>
      </c>
      <c r="G43" s="32">
        <f>(249+249+250)/3</f>
        <v>249.33333333333334</v>
      </c>
      <c r="H43" s="32"/>
    </row>
    <row r="44" spans="1:8" x14ac:dyDescent="0.3">
      <c r="A44" s="39"/>
      <c r="B44" s="40">
        <v>44483</v>
      </c>
      <c r="C44" s="6">
        <v>1.8055555555555557E-2</v>
      </c>
      <c r="D44" s="32">
        <v>3</v>
      </c>
      <c r="E44" s="39"/>
      <c r="F44" s="32">
        <f>(211+223+227)/3</f>
        <v>220.33333333333334</v>
      </c>
      <c r="G44" s="32">
        <f>(231+228+236)/3</f>
        <v>231.66666666666666</v>
      </c>
      <c r="H44" s="32"/>
    </row>
    <row r="45" spans="1:8" x14ac:dyDescent="0.3">
      <c r="A45" s="39"/>
      <c r="B45" s="41"/>
      <c r="C45" s="6">
        <v>7.013888888888889E-2</v>
      </c>
      <c r="D45" s="32">
        <v>4</v>
      </c>
      <c r="E45" s="39"/>
      <c r="F45" s="32">
        <f>(191+197+204)/3</f>
        <v>197.33333333333334</v>
      </c>
      <c r="G45" s="32">
        <f>(222+226+227)/3</f>
        <v>225</v>
      </c>
      <c r="H45" s="32"/>
    </row>
    <row r="46" spans="1:8" x14ac:dyDescent="0.3">
      <c r="A46" s="43" t="s">
        <v>98</v>
      </c>
      <c r="B46" s="42">
        <v>44489</v>
      </c>
      <c r="C46" s="6">
        <v>0.88888888888888884</v>
      </c>
      <c r="D46" s="34">
        <v>1</v>
      </c>
      <c r="E46" s="39" t="s">
        <v>25</v>
      </c>
      <c r="F46" s="34">
        <f>(195+208+209)/3</f>
        <v>204</v>
      </c>
      <c r="G46" s="34">
        <f>(250+250+264)/3</f>
        <v>254.66666666666666</v>
      </c>
      <c r="H46" s="34"/>
    </row>
    <row r="47" spans="1:8" x14ac:dyDescent="0.3">
      <c r="A47" s="44"/>
      <c r="B47" s="42"/>
      <c r="C47" s="6">
        <v>0.93402777777777779</v>
      </c>
      <c r="D47" s="34">
        <v>2</v>
      </c>
      <c r="E47" s="39"/>
      <c r="F47" s="34">
        <f>(206+207+214)/3</f>
        <v>209</v>
      </c>
      <c r="G47" s="34">
        <f>(244+257+248)/3</f>
        <v>249.66666666666666</v>
      </c>
      <c r="H47" s="34" t="s">
        <v>59</v>
      </c>
    </row>
    <row r="48" spans="1:8" x14ac:dyDescent="0.3">
      <c r="A48" s="44"/>
      <c r="B48" s="42"/>
      <c r="C48" s="6">
        <v>0.96666666666666667</v>
      </c>
      <c r="D48" s="34">
        <v>3</v>
      </c>
      <c r="E48" s="39"/>
      <c r="F48" s="34">
        <f>(214+210+218)/3</f>
        <v>214</v>
      </c>
      <c r="G48" s="34">
        <f>(228+239+242)/3</f>
        <v>236.33333333333334</v>
      </c>
      <c r="H48" s="34"/>
    </row>
    <row r="49" spans="1:8" x14ac:dyDescent="0.3">
      <c r="A49" s="45"/>
      <c r="B49" s="35">
        <v>44490</v>
      </c>
      <c r="C49" s="6">
        <v>0.51388888888888895</v>
      </c>
      <c r="D49" s="34">
        <v>4</v>
      </c>
      <c r="E49" s="39"/>
      <c r="F49" s="34">
        <f>(210+211+219)/3</f>
        <v>213.33333333333334</v>
      </c>
      <c r="G49" s="34">
        <f>(220+220+227)/3</f>
        <v>222.33333333333334</v>
      </c>
      <c r="H49" s="34"/>
    </row>
  </sheetData>
  <mergeCells count="40">
    <mergeCell ref="A16:A18"/>
    <mergeCell ref="E16:E18"/>
    <mergeCell ref="B16:B17"/>
    <mergeCell ref="B20:B21"/>
    <mergeCell ref="A23:A26"/>
    <mergeCell ref="B23:B24"/>
    <mergeCell ref="B25:B26"/>
    <mergeCell ref="E23:E26"/>
    <mergeCell ref="E19:E22"/>
    <mergeCell ref="A19:A22"/>
    <mergeCell ref="F1:G1"/>
    <mergeCell ref="E3:E6"/>
    <mergeCell ref="E7:E11"/>
    <mergeCell ref="A3:A11"/>
    <mergeCell ref="E12:E15"/>
    <mergeCell ref="A12:A15"/>
    <mergeCell ref="B7:B11"/>
    <mergeCell ref="B4:B6"/>
    <mergeCell ref="B13:B14"/>
    <mergeCell ref="A1:E1"/>
    <mergeCell ref="A27:A29"/>
    <mergeCell ref="E27:E29"/>
    <mergeCell ref="B28:B29"/>
    <mergeCell ref="B30:B32"/>
    <mergeCell ref="B33:B35"/>
    <mergeCell ref="E30:E33"/>
    <mergeCell ref="E34:E37"/>
    <mergeCell ref="A30:A37"/>
    <mergeCell ref="B36:B37"/>
    <mergeCell ref="A38:A41"/>
    <mergeCell ref="E38:E41"/>
    <mergeCell ref="B38:B39"/>
    <mergeCell ref="B40:B41"/>
    <mergeCell ref="E46:E49"/>
    <mergeCell ref="B46:B48"/>
    <mergeCell ref="A46:A49"/>
    <mergeCell ref="A42:A45"/>
    <mergeCell ref="E42:E45"/>
    <mergeCell ref="B42:B43"/>
    <mergeCell ref="B44:B45"/>
  </mergeCells>
  <phoneticPr fontId="2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workbookViewId="0">
      <selection activeCell="D7" sqref="D7"/>
    </sheetView>
  </sheetViews>
  <sheetFormatPr defaultColWidth="11.5546875" defaultRowHeight="14.4" x14ac:dyDescent="0.3"/>
  <cols>
    <col min="2" max="2" width="9" style="16" bestFit="1" customWidth="1"/>
    <col min="3" max="3" width="17.33203125" style="16" bestFit="1" customWidth="1"/>
    <col min="4" max="4" width="19.33203125" style="16" bestFit="1" customWidth="1"/>
    <col min="5" max="5" width="12.88671875" style="16" bestFit="1" customWidth="1"/>
  </cols>
  <sheetData>
    <row r="1" spans="1:5" x14ac:dyDescent="0.3">
      <c r="A1" s="3"/>
      <c r="B1" s="38" t="s">
        <v>40</v>
      </c>
      <c r="C1" s="38" t="s">
        <v>42</v>
      </c>
      <c r="D1" s="38" t="s">
        <v>43</v>
      </c>
      <c r="E1" s="38" t="s">
        <v>44</v>
      </c>
    </row>
    <row r="2" spans="1:5" x14ac:dyDescent="0.3">
      <c r="A2" s="3" t="s">
        <v>39</v>
      </c>
      <c r="B2" s="38">
        <v>20371991</v>
      </c>
      <c r="C2" s="38">
        <v>799516</v>
      </c>
      <c r="D2" s="57">
        <v>0.66859999999999997</v>
      </c>
      <c r="E2" s="38">
        <f>B2/C2</f>
        <v>25.48040439465877</v>
      </c>
    </row>
    <row r="3" spans="1:5" x14ac:dyDescent="0.3">
      <c r="A3" s="3" t="s">
        <v>41</v>
      </c>
      <c r="B3" s="38">
        <v>30630875</v>
      </c>
      <c r="C3" s="38">
        <v>1057255</v>
      </c>
      <c r="D3" s="57">
        <v>0.72760000000000002</v>
      </c>
      <c r="E3" s="38">
        <f>B3/C3</f>
        <v>28.972078637603985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8"/>
  <sheetViews>
    <sheetView workbookViewId="0">
      <selection activeCell="C11" sqref="C11"/>
    </sheetView>
  </sheetViews>
  <sheetFormatPr defaultColWidth="11.5546875" defaultRowHeight="14.4" x14ac:dyDescent="0.3"/>
  <cols>
    <col min="1" max="1" width="25.5546875" bestFit="1" customWidth="1"/>
  </cols>
  <sheetData>
    <row r="2" spans="1:11" x14ac:dyDescent="0.3">
      <c r="A2" t="s">
        <v>78</v>
      </c>
      <c r="B2" t="s">
        <v>77</v>
      </c>
    </row>
    <row r="3" spans="1:11" x14ac:dyDescent="0.3">
      <c r="A3" t="s">
        <v>79</v>
      </c>
      <c r="B3" t="s">
        <v>76</v>
      </c>
    </row>
    <row r="4" spans="1:11" x14ac:dyDescent="0.3">
      <c r="A4" t="s">
        <v>81</v>
      </c>
      <c r="B4" t="s">
        <v>80</v>
      </c>
    </row>
    <row r="5" spans="1:11" x14ac:dyDescent="0.3">
      <c r="A5" t="s">
        <v>82</v>
      </c>
      <c r="B5" t="s">
        <v>83</v>
      </c>
    </row>
    <row r="6" spans="1:11" x14ac:dyDescent="0.3">
      <c r="A6" t="s">
        <v>86</v>
      </c>
      <c r="B6" t="s">
        <v>87</v>
      </c>
      <c r="I6" t="s">
        <v>85</v>
      </c>
    </row>
    <row r="7" spans="1:11" x14ac:dyDescent="0.3">
      <c r="A7" t="s">
        <v>92</v>
      </c>
      <c r="B7" t="s">
        <v>94</v>
      </c>
      <c r="I7" s="33" t="s">
        <v>93</v>
      </c>
    </row>
    <row r="8" spans="1:11" x14ac:dyDescent="0.3">
      <c r="A8" t="s">
        <v>103</v>
      </c>
      <c r="B8" t="s">
        <v>104</v>
      </c>
      <c r="K8" t="s">
        <v>105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Datos vehículos</vt:lpstr>
      <vt:lpstr>Temperaturas cárter</vt:lpstr>
      <vt:lpstr>Cargas 1999</vt:lpstr>
      <vt:lpstr>Enlaces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Mateo Vélez</dc:creator>
  <cp:lastModifiedBy>john</cp:lastModifiedBy>
  <dcterms:created xsi:type="dcterms:W3CDTF">2015-06-05T18:19:34Z</dcterms:created>
  <dcterms:modified xsi:type="dcterms:W3CDTF">2022-01-26T16:43:34Z</dcterms:modified>
</cp:coreProperties>
</file>