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Tables/pivotTable2.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worksheets/sheet1.xml" ContentType="application/vnd.openxmlformats-officedocument.spreadsheetml.worksheet+xml"/>
  <Override PartName="/xl/worksheets/sheet16.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drawings/drawing2.xml" ContentType="application/vnd.openxmlformats-officedocument.drawing+xml"/>
  <Override PartName="/xl/worksheets/sheet14.xml" ContentType="application/vnd.openxmlformats-officedocument.spreadsheetml.worksheet+xml"/>
  <Override PartName="/xl/worksheets/sheet15.xml" ContentType="application/vnd.openxmlformats-officedocument.spreadsheetml.worksheet+xml"/>
  <Override PartName="/xl/worksheets/sheet19.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charts/colors1.xml" ContentType="application/vnd.ms-office.chartcolorstyle+xml"/>
  <Override PartName="/xl/charts/style1.xml" ContentType="application/vnd.ms-office.chartstyle+xml"/>
  <Override PartName="/xl/charts/chart1.xml" ContentType="application/vnd.openxmlformats-officedocument.drawingml.chart+xml"/>
  <Override PartName="/xl/worksheets/sheet6.xml" ContentType="application/vnd.openxmlformats-officedocument.spreadsheetml.worksheet+xml"/>
  <Override PartName="/xl/drawings/drawing1.xml" ContentType="application/vnd.openxmlformats-officedocument.drawing+xml"/>
  <Override PartName="/xl/worksheets/sheet8.xml" ContentType="application/vnd.openxmlformats-officedocument.spreadsheetml.worksheet+xml"/>
  <Override PartName="/xl/worksheets/sheet7.xml" ContentType="application/vnd.openxmlformats-officedocument.spreadsheetml.worksheet+xml"/>
  <Override PartName="/xl/pivotTables/pivotTable1.xml" ContentType="application/vnd.openxmlformats-officedocument.spreadsheetml.pivotTable+xml"/>
  <Override PartName="/xl/worksheets/sheet10.xml" ContentType="application/vnd.openxmlformats-officedocument.spreadsheetml.worksheet+xml"/>
  <Override PartName="/xl/pivotCache/pivotCacheRecords2.xml" ContentType="application/vnd.openxmlformats-officedocument.spreadsheetml.pivotCacheRecords+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pivotCache/pivotCacheDefinition1.xml" ContentType="application/vnd.openxmlformats-officedocument.spreadsheetml.pivotCacheDefinitio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crojas\1 PLANEACIÓN\Planes de Acción\PA 2021\Trim 2\"/>
    </mc:Choice>
  </mc:AlternateContent>
  <bookViews>
    <workbookView xWindow="0" yWindow="0" windowWidth="20490" windowHeight="7155" activeTab="1"/>
  </bookViews>
  <sheets>
    <sheet name="Hoja1" sheetId="19" r:id="rId1"/>
    <sheet name="PA 2021" sheetId="1" r:id="rId2"/>
    <sheet name="INSTRUCTIVO" sheetId="2" r:id="rId3"/>
    <sheet name="Indicadores" sheetId="3" r:id="rId4"/>
    <sheet name="Graf" sheetId="4" r:id="rId5"/>
    <sheet name="1er Trim 21" sheetId="5" r:id="rId6"/>
    <sheet name="2do Trim 21 ACUMULADO" sheetId="6" r:id="rId7"/>
    <sheet name="Query Trimestral" sheetId="7" r:id="rId8"/>
    <sheet name="Tabla dinámica 1" sheetId="8" r:id="rId9"/>
    <sheet name="Área y Dependencia" sheetId="9" r:id="rId10"/>
    <sheet name="Metas sectoriales" sheetId="10" state="hidden" r:id="rId11"/>
    <sheet name="Tipo de Indicador" sheetId="11" state="hidden" r:id="rId12"/>
    <sheet name="Meses" sheetId="12" r:id="rId13"/>
    <sheet name="MIPG" sheetId="13" state="hidden" r:id="rId14"/>
    <sheet name="Planes Institucionales" sheetId="14" state="hidden" r:id="rId15"/>
    <sheet name="Procesos" sheetId="15" state="hidden" r:id="rId16"/>
    <sheet name="Objetivos Estratégicos" sheetId="16" state="hidden" r:id="rId17"/>
    <sheet name="CONTROL DE CAMBIOS" sheetId="17" state="hidden" r:id="rId18"/>
    <sheet name="Proyectos de Inversión" sheetId="18" state="hidden" r:id="rId19"/>
  </sheets>
  <definedNames>
    <definedName name="_xlnm._FilterDatabase" localSheetId="1" hidden="1">'PA 2021'!$A$3:$AI$507</definedName>
    <definedName name="_xlnm.Print_Area" localSheetId="1">'PA 2021'!$A$1:$U$507</definedName>
    <definedName name="Z_7AC71A28_8353_4463_A205_B23B34754A54_.wvu.FilterData" localSheetId="1" hidden="1">'PA 2021'!$A$3:$AB$441</definedName>
  </definedNames>
  <calcPr calcId="152511"/>
  <customWorkbookViews>
    <customWorkbookView name="Filtro 1" guid="{7AC71A28-8353-4463-A205-B23B34754A54}" maximized="1" windowWidth="0" windowHeight="0" activeSheetId="0"/>
  </customWorkbookViews>
  <pivotCaches>
    <pivotCache cacheId="1" r:id="rId20"/>
    <pivotCache cacheId="7" r:id="rId21"/>
  </pivotCaches>
</workbook>
</file>

<file path=xl/calcChain.xml><?xml version="1.0" encoding="utf-8"?>
<calcChain xmlns="http://schemas.openxmlformats.org/spreadsheetml/2006/main">
  <c r="AB507" i="1" l="1"/>
  <c r="AB506" i="1"/>
  <c r="AB505" i="1"/>
  <c r="AB504" i="1"/>
  <c r="AB503" i="1"/>
  <c r="AB502" i="1"/>
  <c r="AB501" i="1"/>
  <c r="AB500" i="1"/>
  <c r="AB499" i="1"/>
  <c r="AB498" i="1"/>
  <c r="AB497" i="1"/>
  <c r="AB496" i="1"/>
  <c r="AB495" i="1"/>
  <c r="AB494" i="1"/>
  <c r="AB493" i="1"/>
  <c r="AB492" i="1"/>
  <c r="AB491" i="1"/>
  <c r="AB490" i="1"/>
  <c r="AB489" i="1"/>
  <c r="AB488" i="1"/>
  <c r="AB487" i="1"/>
  <c r="AB486" i="1"/>
  <c r="AB485" i="1"/>
  <c r="AB484" i="1"/>
  <c r="AB483" i="1"/>
  <c r="AB482" i="1"/>
  <c r="AB481" i="1"/>
  <c r="AB480" i="1"/>
  <c r="AB479" i="1"/>
  <c r="AB478" i="1"/>
  <c r="AB477" i="1"/>
  <c r="AB476" i="1"/>
  <c r="AB475" i="1"/>
  <c r="AB474" i="1"/>
  <c r="AB473" i="1"/>
  <c r="AB472" i="1"/>
  <c r="AB471" i="1"/>
  <c r="AB470" i="1"/>
  <c r="AB469" i="1"/>
  <c r="AB468" i="1"/>
  <c r="AB467" i="1"/>
  <c r="AB466" i="1"/>
  <c r="AB465" i="1"/>
  <c r="AB464" i="1"/>
  <c r="AB463" i="1"/>
  <c r="AB462" i="1"/>
  <c r="AB461" i="1"/>
  <c r="AB460" i="1"/>
  <c r="AB459" i="1"/>
  <c r="AB458" i="1"/>
  <c r="AB457" i="1"/>
  <c r="AB456" i="1"/>
  <c r="AB455" i="1"/>
  <c r="AB454" i="1"/>
  <c r="AB453" i="1"/>
  <c r="AB452" i="1"/>
  <c r="AB451" i="1"/>
  <c r="AB450" i="1"/>
  <c r="AB449" i="1"/>
  <c r="AB448" i="1"/>
  <c r="AB447" i="1"/>
  <c r="AB446" i="1"/>
  <c r="AB445" i="1"/>
  <c r="AB444" i="1"/>
  <c r="AB443" i="1"/>
  <c r="AB442" i="1"/>
  <c r="AB441" i="1"/>
  <c r="AB440" i="1"/>
  <c r="AB439" i="1"/>
  <c r="AB438" i="1"/>
  <c r="AB437" i="1"/>
  <c r="AB436" i="1"/>
  <c r="AB435" i="1"/>
  <c r="AB434" i="1"/>
  <c r="AB433" i="1"/>
  <c r="AB432" i="1"/>
  <c r="AB431" i="1"/>
  <c r="AB430" i="1"/>
  <c r="AB429" i="1"/>
  <c r="AB428" i="1"/>
  <c r="AB427" i="1"/>
  <c r="AB426" i="1"/>
  <c r="AB425" i="1"/>
  <c r="AB424" i="1"/>
  <c r="AB423" i="1"/>
  <c r="AB422" i="1"/>
  <c r="AB421" i="1"/>
  <c r="AB420" i="1"/>
  <c r="AB419" i="1"/>
  <c r="AB418" i="1"/>
  <c r="AB417" i="1"/>
  <c r="AB416" i="1"/>
  <c r="AB415" i="1"/>
  <c r="AB414" i="1"/>
  <c r="AB413" i="1"/>
  <c r="AD507" i="1" l="1"/>
  <c r="AC507" i="1"/>
  <c r="Z507" i="1"/>
  <c r="Y507" i="1"/>
  <c r="X507" i="1"/>
  <c r="W507" i="1"/>
  <c r="AD506" i="1"/>
  <c r="AC506" i="1"/>
  <c r="Z506" i="1"/>
  <c r="Y506" i="1"/>
  <c r="X506" i="1"/>
  <c r="W506" i="1"/>
  <c r="AD505" i="1"/>
  <c r="AC505" i="1"/>
  <c r="Z505" i="1"/>
  <c r="Y505" i="1"/>
  <c r="X505" i="1"/>
  <c r="W505" i="1"/>
  <c r="AD504" i="1"/>
  <c r="AC504" i="1"/>
  <c r="Z504" i="1"/>
  <c r="Y504" i="1"/>
  <c r="X504" i="1"/>
  <c r="W504" i="1"/>
  <c r="AD503" i="1"/>
  <c r="AC503" i="1"/>
  <c r="Z503" i="1"/>
  <c r="Y503" i="1"/>
  <c r="X503" i="1"/>
  <c r="W503" i="1"/>
  <c r="AD502" i="1"/>
  <c r="AC502" i="1"/>
  <c r="Z502" i="1"/>
  <c r="Y502" i="1"/>
  <c r="X502" i="1"/>
  <c r="W502" i="1"/>
  <c r="AD501" i="1"/>
  <c r="AC501" i="1"/>
  <c r="Z501" i="1"/>
  <c r="Y501" i="1"/>
  <c r="X501" i="1"/>
  <c r="W501" i="1"/>
  <c r="AD500" i="1"/>
  <c r="AC500" i="1"/>
  <c r="Z500" i="1"/>
  <c r="Y500" i="1"/>
  <c r="X500" i="1"/>
  <c r="W500" i="1"/>
  <c r="AD499" i="1"/>
  <c r="AC499" i="1"/>
  <c r="Z499" i="1"/>
  <c r="Y499" i="1"/>
  <c r="X499" i="1"/>
  <c r="W499" i="1"/>
  <c r="AD498" i="1"/>
  <c r="AC498" i="1"/>
  <c r="Z498" i="1"/>
  <c r="Y498" i="1"/>
  <c r="X498" i="1"/>
  <c r="W498" i="1"/>
  <c r="AD497" i="1"/>
  <c r="AC497" i="1"/>
  <c r="Z497" i="1"/>
  <c r="Y497" i="1"/>
  <c r="X497" i="1"/>
  <c r="W497" i="1"/>
  <c r="AD496" i="1"/>
  <c r="AC496" i="1"/>
  <c r="Z496" i="1"/>
  <c r="Y496" i="1"/>
  <c r="X496" i="1"/>
  <c r="W496" i="1"/>
  <c r="AD495" i="1"/>
  <c r="AC495" i="1"/>
  <c r="Z495" i="1"/>
  <c r="Y495" i="1"/>
  <c r="X495" i="1"/>
  <c r="W495" i="1"/>
  <c r="AD494" i="1"/>
  <c r="AC494" i="1"/>
  <c r="Z494" i="1"/>
  <c r="Y494" i="1"/>
  <c r="X494" i="1"/>
  <c r="W494" i="1"/>
  <c r="AD493" i="1"/>
  <c r="AC493" i="1"/>
  <c r="Z493" i="1"/>
  <c r="Y493" i="1"/>
  <c r="X493" i="1"/>
  <c r="W493" i="1"/>
  <c r="AD492" i="1"/>
  <c r="AC492" i="1"/>
  <c r="Z492" i="1"/>
  <c r="Y492" i="1"/>
  <c r="X492" i="1"/>
  <c r="W492" i="1"/>
  <c r="AD491" i="1"/>
  <c r="AC491" i="1"/>
  <c r="Z491" i="1"/>
  <c r="Y491" i="1"/>
  <c r="X491" i="1"/>
  <c r="W491" i="1"/>
  <c r="AD490" i="1"/>
  <c r="AC490" i="1"/>
  <c r="Z490" i="1"/>
  <c r="Y490" i="1"/>
  <c r="X490" i="1"/>
  <c r="W490" i="1"/>
  <c r="AD489" i="1"/>
  <c r="AC489" i="1"/>
  <c r="Z489" i="1"/>
  <c r="Y489" i="1"/>
  <c r="X489" i="1"/>
  <c r="W489" i="1"/>
  <c r="AD488" i="1"/>
  <c r="AC488" i="1"/>
  <c r="Z488" i="1"/>
  <c r="Y488" i="1"/>
  <c r="X488" i="1"/>
  <c r="W488" i="1"/>
  <c r="AD487" i="1"/>
  <c r="AC487" i="1"/>
  <c r="Z487" i="1"/>
  <c r="Y487" i="1"/>
  <c r="X487" i="1"/>
  <c r="W487" i="1"/>
  <c r="AD486" i="1"/>
  <c r="AC486" i="1"/>
  <c r="Z486" i="1"/>
  <c r="Y486" i="1"/>
  <c r="X486" i="1"/>
  <c r="W486" i="1"/>
  <c r="AD485" i="1"/>
  <c r="AC485" i="1"/>
  <c r="Z485" i="1"/>
  <c r="Y485" i="1"/>
  <c r="X485" i="1"/>
  <c r="W485" i="1"/>
  <c r="AD484" i="1"/>
  <c r="AC484" i="1"/>
  <c r="Z484" i="1"/>
  <c r="Y484" i="1"/>
  <c r="X484" i="1"/>
  <c r="W484" i="1"/>
  <c r="AD483" i="1"/>
  <c r="AC483" i="1"/>
  <c r="Z483" i="1"/>
  <c r="Y483" i="1"/>
  <c r="X483" i="1"/>
  <c r="W483" i="1"/>
  <c r="AD482" i="1"/>
  <c r="AC482" i="1"/>
  <c r="Z482" i="1"/>
  <c r="Y482" i="1"/>
  <c r="X482" i="1"/>
  <c r="W482" i="1"/>
  <c r="AD481" i="1"/>
  <c r="AC481" i="1"/>
  <c r="Z481" i="1"/>
  <c r="Y481" i="1"/>
  <c r="X481" i="1"/>
  <c r="W481" i="1"/>
  <c r="AD480" i="1"/>
  <c r="AC480" i="1"/>
  <c r="Z480" i="1"/>
  <c r="Y480" i="1"/>
  <c r="X480" i="1"/>
  <c r="W480" i="1"/>
  <c r="AD479" i="1"/>
  <c r="AC479" i="1"/>
  <c r="Z479" i="1"/>
  <c r="Y479" i="1"/>
  <c r="X479" i="1"/>
  <c r="W479" i="1"/>
  <c r="AD478" i="1"/>
  <c r="AC478" i="1"/>
  <c r="Z478" i="1"/>
  <c r="Y478" i="1"/>
  <c r="X478" i="1"/>
  <c r="W478" i="1"/>
  <c r="AD477" i="1"/>
  <c r="AC477" i="1"/>
  <c r="Z477" i="1"/>
  <c r="Y477" i="1"/>
  <c r="X477" i="1"/>
  <c r="W477" i="1"/>
  <c r="AD476" i="1"/>
  <c r="AC476" i="1"/>
  <c r="Z476" i="1"/>
  <c r="Y476" i="1"/>
  <c r="X476" i="1"/>
  <c r="W476" i="1"/>
  <c r="AD475" i="1"/>
  <c r="AC475" i="1"/>
  <c r="Z475" i="1"/>
  <c r="Y475" i="1"/>
  <c r="X475" i="1"/>
  <c r="W475" i="1"/>
  <c r="AD474" i="1"/>
  <c r="AC474" i="1"/>
  <c r="Z474" i="1"/>
  <c r="Y474" i="1"/>
  <c r="X474" i="1"/>
  <c r="W474" i="1"/>
  <c r="AD473" i="1"/>
  <c r="AC473" i="1"/>
  <c r="Z473" i="1"/>
  <c r="Y473" i="1"/>
  <c r="X473" i="1"/>
  <c r="W473" i="1"/>
  <c r="AD472" i="1"/>
  <c r="AC472" i="1"/>
  <c r="Z472" i="1"/>
  <c r="Y472" i="1"/>
  <c r="X472" i="1"/>
  <c r="W472" i="1"/>
  <c r="AD471" i="1"/>
  <c r="AC471" i="1"/>
  <c r="Z471" i="1"/>
  <c r="Y471" i="1"/>
  <c r="X471" i="1"/>
  <c r="W471" i="1"/>
  <c r="AD470" i="1"/>
  <c r="AC470" i="1"/>
  <c r="Z470" i="1"/>
  <c r="Y470" i="1"/>
  <c r="X470" i="1"/>
  <c r="W470" i="1"/>
  <c r="AD469" i="1"/>
  <c r="AC469" i="1"/>
  <c r="Z469" i="1"/>
  <c r="Y469" i="1"/>
  <c r="X469" i="1"/>
  <c r="W469" i="1"/>
  <c r="AD468" i="1"/>
  <c r="AC468" i="1"/>
  <c r="Z468" i="1"/>
  <c r="Y468" i="1"/>
  <c r="X468" i="1"/>
  <c r="W468" i="1"/>
  <c r="AD467" i="1"/>
  <c r="AC467" i="1"/>
  <c r="Z467" i="1"/>
  <c r="Y467" i="1"/>
  <c r="X467" i="1"/>
  <c r="W467" i="1"/>
  <c r="AD466" i="1"/>
  <c r="AC466" i="1"/>
  <c r="Z466" i="1"/>
  <c r="Y466" i="1"/>
  <c r="X466" i="1"/>
  <c r="W466" i="1"/>
  <c r="AD465" i="1"/>
  <c r="AC465" i="1"/>
  <c r="Z465" i="1"/>
  <c r="Y465" i="1"/>
  <c r="X465" i="1"/>
  <c r="W465" i="1"/>
  <c r="AD464" i="1"/>
  <c r="AC464" i="1"/>
  <c r="Z464" i="1"/>
  <c r="Y464" i="1"/>
  <c r="X464" i="1"/>
  <c r="W464" i="1"/>
  <c r="AD463" i="1"/>
  <c r="AC463" i="1"/>
  <c r="Z463" i="1"/>
  <c r="Y463" i="1"/>
  <c r="X463" i="1"/>
  <c r="W463" i="1"/>
  <c r="AD462" i="1"/>
  <c r="AC462" i="1"/>
  <c r="Z462" i="1"/>
  <c r="Y462" i="1"/>
  <c r="X462" i="1"/>
  <c r="W462" i="1"/>
  <c r="AD461" i="1"/>
  <c r="AC461" i="1"/>
  <c r="Z461" i="1"/>
  <c r="Y461" i="1"/>
  <c r="X461" i="1"/>
  <c r="W461" i="1"/>
  <c r="AD460" i="1"/>
  <c r="AC460" i="1"/>
  <c r="Z460" i="1"/>
  <c r="Y460" i="1"/>
  <c r="X460" i="1"/>
  <c r="W460" i="1"/>
  <c r="AD459" i="1"/>
  <c r="AC459" i="1"/>
  <c r="Z459" i="1"/>
  <c r="Y459" i="1"/>
  <c r="X459" i="1"/>
  <c r="W459" i="1"/>
  <c r="AD458" i="1"/>
  <c r="AC458" i="1"/>
  <c r="Z458" i="1"/>
  <c r="Y458" i="1"/>
  <c r="X458" i="1"/>
  <c r="W458" i="1"/>
  <c r="AD457" i="1"/>
  <c r="AC457" i="1"/>
  <c r="Z457" i="1"/>
  <c r="Y457" i="1"/>
  <c r="X457" i="1"/>
  <c r="W457" i="1"/>
  <c r="AD456" i="1"/>
  <c r="AC456" i="1"/>
  <c r="Z456" i="1"/>
  <c r="Y456" i="1"/>
  <c r="X456" i="1"/>
  <c r="W456" i="1"/>
  <c r="AD455" i="1"/>
  <c r="AC455" i="1"/>
  <c r="Z455" i="1"/>
  <c r="Y455" i="1"/>
  <c r="X455" i="1"/>
  <c r="W455" i="1"/>
  <c r="AD454" i="1"/>
  <c r="AC454" i="1"/>
  <c r="Z454" i="1"/>
  <c r="Y454" i="1"/>
  <c r="X454" i="1"/>
  <c r="W454" i="1"/>
  <c r="AD453" i="1"/>
  <c r="AC453" i="1"/>
  <c r="Z453" i="1"/>
  <c r="Y453" i="1"/>
  <c r="X453" i="1"/>
  <c r="W453" i="1"/>
  <c r="AD452" i="1"/>
  <c r="AC452" i="1"/>
  <c r="Z452" i="1"/>
  <c r="Y452" i="1"/>
  <c r="X452" i="1"/>
  <c r="W452" i="1"/>
  <c r="AD451" i="1"/>
  <c r="AC451" i="1"/>
  <c r="Z451" i="1"/>
  <c r="Y451" i="1"/>
  <c r="X451" i="1"/>
  <c r="W451" i="1"/>
  <c r="AD450" i="1"/>
  <c r="AC450" i="1"/>
  <c r="Z450" i="1"/>
  <c r="Y450" i="1"/>
  <c r="X450" i="1"/>
  <c r="W450" i="1"/>
  <c r="AD449" i="1"/>
  <c r="AC449" i="1"/>
  <c r="Z449" i="1"/>
  <c r="Y449" i="1"/>
  <c r="X449" i="1"/>
  <c r="W449" i="1"/>
  <c r="AD448" i="1"/>
  <c r="AC448" i="1"/>
  <c r="Z448" i="1"/>
  <c r="Y448" i="1"/>
  <c r="X448" i="1"/>
  <c r="W448" i="1"/>
  <c r="AD447" i="1"/>
  <c r="AC447" i="1"/>
  <c r="Z447" i="1"/>
  <c r="Y447" i="1"/>
  <c r="X447" i="1"/>
  <c r="W447" i="1"/>
  <c r="AD446" i="1"/>
  <c r="AC446" i="1"/>
  <c r="Z446" i="1"/>
  <c r="Y446" i="1"/>
  <c r="X446" i="1"/>
  <c r="W446" i="1"/>
  <c r="AD445" i="1"/>
  <c r="AC445" i="1"/>
  <c r="Z445" i="1"/>
  <c r="Y445" i="1"/>
  <c r="X445" i="1"/>
  <c r="W445" i="1"/>
  <c r="AD444" i="1"/>
  <c r="AC444" i="1"/>
  <c r="Z444" i="1"/>
  <c r="Y444" i="1"/>
  <c r="X444" i="1"/>
  <c r="W444" i="1"/>
  <c r="AD443" i="1"/>
  <c r="AC443" i="1"/>
  <c r="Z443" i="1"/>
  <c r="Y443" i="1"/>
  <c r="X443" i="1"/>
  <c r="W443" i="1"/>
  <c r="AD442" i="1"/>
  <c r="AC442" i="1"/>
  <c r="Z442" i="1"/>
  <c r="Y442" i="1"/>
  <c r="X442" i="1"/>
  <c r="W442" i="1"/>
  <c r="AD441" i="1"/>
  <c r="AC441" i="1"/>
  <c r="Z441" i="1"/>
  <c r="Y441" i="1"/>
  <c r="X441" i="1"/>
  <c r="W441" i="1"/>
  <c r="AD440" i="1"/>
  <c r="AC440" i="1"/>
  <c r="Z440" i="1"/>
  <c r="Y440" i="1"/>
  <c r="X440" i="1"/>
  <c r="W440" i="1"/>
  <c r="AD439" i="1"/>
  <c r="AC439" i="1"/>
  <c r="Z439" i="1"/>
  <c r="Y439" i="1"/>
  <c r="X439" i="1"/>
  <c r="W439" i="1"/>
  <c r="AD438" i="1"/>
  <c r="AC438" i="1"/>
  <c r="Z438" i="1"/>
  <c r="Y438" i="1"/>
  <c r="X438" i="1"/>
  <c r="W438" i="1"/>
  <c r="AD437" i="1"/>
  <c r="AC437" i="1"/>
  <c r="Z437" i="1"/>
  <c r="Y437" i="1"/>
  <c r="X437" i="1"/>
  <c r="W437" i="1"/>
  <c r="AD436" i="1"/>
  <c r="AC436" i="1"/>
  <c r="Z436" i="1"/>
  <c r="Y436" i="1"/>
  <c r="X436" i="1"/>
  <c r="W436" i="1"/>
  <c r="AD435" i="1"/>
  <c r="AC435" i="1"/>
  <c r="Z435" i="1"/>
  <c r="Y435" i="1"/>
  <c r="X435" i="1"/>
  <c r="W435" i="1"/>
  <c r="AD434" i="1"/>
  <c r="AC434" i="1"/>
  <c r="Z434" i="1"/>
  <c r="Y434" i="1"/>
  <c r="X434" i="1"/>
  <c r="W434" i="1"/>
  <c r="AD433" i="1"/>
  <c r="AC433" i="1"/>
  <c r="Z433" i="1"/>
  <c r="Y433" i="1"/>
  <c r="X433" i="1"/>
  <c r="W433" i="1"/>
  <c r="AD432" i="1"/>
  <c r="AC432" i="1"/>
  <c r="Z432" i="1"/>
  <c r="Y432" i="1"/>
  <c r="X432" i="1"/>
  <c r="W432" i="1"/>
  <c r="AD431" i="1"/>
  <c r="AC431" i="1"/>
  <c r="Z431" i="1"/>
  <c r="Y431" i="1"/>
  <c r="X431" i="1"/>
  <c r="W431" i="1"/>
  <c r="AD430" i="1"/>
  <c r="AC430" i="1"/>
  <c r="Z430" i="1"/>
  <c r="Y430" i="1"/>
  <c r="X430" i="1"/>
  <c r="W430" i="1"/>
  <c r="AD429" i="1"/>
  <c r="AC429" i="1"/>
  <c r="Z429" i="1"/>
  <c r="Y429" i="1"/>
  <c r="X429" i="1"/>
  <c r="W429" i="1"/>
  <c r="AD428" i="1"/>
  <c r="AC428" i="1"/>
  <c r="Z428" i="1"/>
  <c r="Y428" i="1"/>
  <c r="X428" i="1"/>
  <c r="W428" i="1"/>
  <c r="AD427" i="1"/>
  <c r="AC427" i="1"/>
  <c r="Z427" i="1"/>
  <c r="Y427" i="1"/>
  <c r="X427" i="1"/>
  <c r="W427" i="1"/>
  <c r="AD426" i="1"/>
  <c r="AC426" i="1"/>
  <c r="Z426" i="1"/>
  <c r="Y426" i="1"/>
  <c r="X426" i="1"/>
  <c r="W426" i="1"/>
  <c r="AD425" i="1"/>
  <c r="AC425" i="1"/>
  <c r="Z425" i="1"/>
  <c r="Y425" i="1"/>
  <c r="X425" i="1"/>
  <c r="W425" i="1"/>
  <c r="AD424" i="1"/>
  <c r="AC424" i="1"/>
  <c r="Z424" i="1"/>
  <c r="Y424" i="1"/>
  <c r="X424" i="1"/>
  <c r="W424" i="1"/>
  <c r="AD423" i="1"/>
  <c r="AC423" i="1"/>
  <c r="Z423" i="1"/>
  <c r="Y423" i="1"/>
  <c r="X423" i="1"/>
  <c r="W423" i="1"/>
  <c r="AD422" i="1"/>
  <c r="AC422" i="1"/>
  <c r="Z422" i="1"/>
  <c r="Y422" i="1"/>
  <c r="X422" i="1"/>
  <c r="W422" i="1"/>
  <c r="AD421" i="1"/>
  <c r="AC421" i="1"/>
  <c r="Z421" i="1"/>
  <c r="Y421" i="1"/>
  <c r="X421" i="1"/>
  <c r="W421" i="1"/>
  <c r="AD420" i="1"/>
  <c r="AC420" i="1"/>
  <c r="Z420" i="1"/>
  <c r="Y420" i="1"/>
  <c r="X420" i="1"/>
  <c r="W420" i="1"/>
  <c r="AD419" i="1"/>
  <c r="AC419" i="1"/>
  <c r="Z419" i="1"/>
  <c r="Y419" i="1"/>
  <c r="X419" i="1"/>
  <c r="W419" i="1"/>
  <c r="AD418" i="1"/>
  <c r="AC418" i="1"/>
  <c r="Z418" i="1"/>
  <c r="Y418" i="1"/>
  <c r="X418" i="1"/>
  <c r="W418" i="1"/>
  <c r="AD417" i="1"/>
  <c r="AC417" i="1"/>
  <c r="Z417" i="1"/>
  <c r="Y417" i="1"/>
  <c r="X417" i="1"/>
  <c r="W417" i="1"/>
  <c r="AD416" i="1"/>
  <c r="AC416" i="1"/>
  <c r="Z416" i="1"/>
  <c r="Y416" i="1"/>
  <c r="X416" i="1"/>
  <c r="W416" i="1"/>
  <c r="AD415" i="1"/>
  <c r="AC415" i="1"/>
  <c r="Z415" i="1"/>
  <c r="Y415" i="1"/>
  <c r="X415" i="1"/>
  <c r="W415" i="1"/>
  <c r="Z414" i="1"/>
  <c r="Y414" i="1"/>
  <c r="X414" i="1"/>
  <c r="W414" i="1"/>
  <c r="Z413" i="1"/>
  <c r="Y413" i="1"/>
  <c r="X413" i="1"/>
  <c r="W413" i="1"/>
  <c r="Z412" i="1"/>
  <c r="Y412" i="1"/>
  <c r="X412" i="1"/>
  <c r="AB412" i="1" s="1"/>
  <c r="W412" i="1"/>
  <c r="Z411" i="1"/>
  <c r="Y411" i="1"/>
  <c r="X411" i="1"/>
  <c r="W411" i="1"/>
  <c r="AB411" i="1" s="1"/>
  <c r="Z410" i="1"/>
  <c r="Y410" i="1"/>
  <c r="X410" i="1"/>
  <c r="W410" i="1"/>
  <c r="AB410" i="1" s="1"/>
  <c r="AD409" i="1"/>
  <c r="AB409" i="1"/>
  <c r="AC409" i="1" s="1"/>
  <c r="Z409" i="1"/>
  <c r="Y409" i="1"/>
  <c r="X409" i="1"/>
  <c r="W409" i="1"/>
  <c r="AC408" i="1"/>
  <c r="Z408" i="1"/>
  <c r="Y408" i="1"/>
  <c r="X408" i="1"/>
  <c r="W408" i="1"/>
  <c r="AB408" i="1" s="1"/>
  <c r="AD408" i="1" s="1"/>
  <c r="AB407" i="1"/>
  <c r="Z407" i="1"/>
  <c r="Y407" i="1"/>
  <c r="X407" i="1"/>
  <c r="W407" i="1"/>
  <c r="AC406" i="1"/>
  <c r="AB406" i="1"/>
  <c r="AD406" i="1" s="1"/>
  <c r="Z406" i="1"/>
  <c r="Y406" i="1"/>
  <c r="X406" i="1"/>
  <c r="W406" i="1"/>
  <c r="Z405" i="1"/>
  <c r="Y405" i="1"/>
  <c r="X405" i="1"/>
  <c r="W405" i="1"/>
  <c r="AB405" i="1" s="1"/>
  <c r="AC404" i="1"/>
  <c r="AB404" i="1"/>
  <c r="AD404" i="1" s="1"/>
  <c r="Z404" i="1"/>
  <c r="Y404" i="1"/>
  <c r="X404" i="1"/>
  <c r="W404" i="1"/>
  <c r="Z403" i="1"/>
  <c r="Y403" i="1"/>
  <c r="X403" i="1"/>
  <c r="W403" i="1"/>
  <c r="AB403" i="1" s="1"/>
  <c r="Z402" i="1"/>
  <c r="Y402" i="1"/>
  <c r="X402" i="1"/>
  <c r="W402" i="1"/>
  <c r="AB402" i="1" s="1"/>
  <c r="AD401" i="1"/>
  <c r="AB401" i="1"/>
  <c r="AC401" i="1" s="1"/>
  <c r="Z401" i="1"/>
  <c r="Y401" i="1"/>
  <c r="X401" i="1"/>
  <c r="W401" i="1"/>
  <c r="AC400" i="1"/>
  <c r="Z400" i="1"/>
  <c r="Y400" i="1"/>
  <c r="X400" i="1"/>
  <c r="W400" i="1"/>
  <c r="AB400" i="1" s="1"/>
  <c r="AD400" i="1" s="1"/>
  <c r="AB399" i="1"/>
  <c r="Z399" i="1"/>
  <c r="Y399" i="1"/>
  <c r="X399" i="1"/>
  <c r="W399" i="1"/>
  <c r="AC398" i="1"/>
  <c r="AB398" i="1"/>
  <c r="AD398" i="1" s="1"/>
  <c r="Z398" i="1"/>
  <c r="Y398" i="1"/>
  <c r="X398" i="1"/>
  <c r="W398" i="1"/>
  <c r="Z397" i="1"/>
  <c r="Y397" i="1"/>
  <c r="X397" i="1"/>
  <c r="W397" i="1"/>
  <c r="Z396" i="1"/>
  <c r="Y396" i="1"/>
  <c r="X396" i="1"/>
  <c r="AB396" i="1" s="1"/>
  <c r="W396" i="1"/>
  <c r="Z395" i="1"/>
  <c r="Y395" i="1"/>
  <c r="X395" i="1"/>
  <c r="W395" i="1"/>
  <c r="AB395" i="1" s="1"/>
  <c r="Z394" i="1"/>
  <c r="Y394" i="1"/>
  <c r="X394" i="1"/>
  <c r="W394" i="1"/>
  <c r="AB394" i="1" s="1"/>
  <c r="AD393" i="1"/>
  <c r="AB393" i="1"/>
  <c r="AC393" i="1" s="1"/>
  <c r="Z393" i="1"/>
  <c r="Y393" i="1"/>
  <c r="X393" i="1"/>
  <c r="W393" i="1"/>
  <c r="AC392" i="1"/>
  <c r="Z392" i="1"/>
  <c r="Y392" i="1"/>
  <c r="X392" i="1"/>
  <c r="W392" i="1"/>
  <c r="AB392" i="1" s="1"/>
  <c r="AD392" i="1" s="1"/>
  <c r="AB391" i="1"/>
  <c r="Z391" i="1"/>
  <c r="Y391" i="1"/>
  <c r="X391" i="1"/>
  <c r="W391" i="1"/>
  <c r="AC390" i="1"/>
  <c r="AB390" i="1"/>
  <c r="AD390" i="1" s="1"/>
  <c r="Z390" i="1"/>
  <c r="Y390" i="1"/>
  <c r="X390" i="1"/>
  <c r="W390" i="1"/>
  <c r="Z389" i="1"/>
  <c r="Y389" i="1"/>
  <c r="X389" i="1"/>
  <c r="W389" i="1"/>
  <c r="AB389" i="1" s="1"/>
  <c r="Z388" i="1"/>
  <c r="Y388" i="1"/>
  <c r="X388" i="1"/>
  <c r="AB388" i="1" s="1"/>
  <c r="W388" i="1"/>
  <c r="Z387" i="1"/>
  <c r="Y387" i="1"/>
  <c r="X387" i="1"/>
  <c r="W387" i="1"/>
  <c r="AB387" i="1" s="1"/>
  <c r="Z386" i="1"/>
  <c r="Y386" i="1"/>
  <c r="X386" i="1"/>
  <c r="W386" i="1"/>
  <c r="AB386" i="1" s="1"/>
  <c r="AD385" i="1"/>
  <c r="AB385" i="1"/>
  <c r="AC385" i="1" s="1"/>
  <c r="Z385" i="1"/>
  <c r="Y385" i="1"/>
  <c r="X385" i="1"/>
  <c r="W385" i="1"/>
  <c r="AC384" i="1"/>
  <c r="Z384" i="1"/>
  <c r="Y384" i="1"/>
  <c r="X384" i="1"/>
  <c r="W384" i="1"/>
  <c r="AB384" i="1" s="1"/>
  <c r="AD384" i="1" s="1"/>
  <c r="AB383" i="1"/>
  <c r="Z383" i="1"/>
  <c r="Y383" i="1"/>
  <c r="X383" i="1"/>
  <c r="W383" i="1"/>
  <c r="AC382" i="1"/>
  <c r="AB382" i="1"/>
  <c r="AD382" i="1" s="1"/>
  <c r="Z382" i="1"/>
  <c r="Y382" i="1"/>
  <c r="X382" i="1"/>
  <c r="W382" i="1"/>
  <c r="Z381" i="1"/>
  <c r="Y381" i="1"/>
  <c r="X381" i="1"/>
  <c r="W381" i="1"/>
  <c r="AB381" i="1" s="1"/>
  <c r="Z380" i="1"/>
  <c r="Y380" i="1"/>
  <c r="X380" i="1"/>
  <c r="AB380" i="1" s="1"/>
  <c r="W380" i="1"/>
  <c r="Z379" i="1"/>
  <c r="Y379" i="1"/>
  <c r="X379" i="1"/>
  <c r="W379" i="1"/>
  <c r="AB379" i="1" s="1"/>
  <c r="Z378" i="1"/>
  <c r="Y378" i="1"/>
  <c r="X378" i="1"/>
  <c r="W378" i="1"/>
  <c r="AB378" i="1" s="1"/>
  <c r="AD377" i="1"/>
  <c r="AB377" i="1"/>
  <c r="AC377" i="1" s="1"/>
  <c r="Z377" i="1"/>
  <c r="Y377" i="1"/>
  <c r="X377" i="1"/>
  <c r="W377" i="1"/>
  <c r="AC376" i="1"/>
  <c r="Z376" i="1"/>
  <c r="Y376" i="1"/>
  <c r="X376" i="1"/>
  <c r="W376" i="1"/>
  <c r="AB376" i="1" s="1"/>
  <c r="AD376" i="1" s="1"/>
  <c r="AB375" i="1"/>
  <c r="Z375" i="1"/>
  <c r="Y375" i="1"/>
  <c r="X375" i="1"/>
  <c r="W375" i="1"/>
  <c r="AC374" i="1"/>
  <c r="AB374" i="1"/>
  <c r="AD374" i="1" s="1"/>
  <c r="Z374" i="1"/>
  <c r="Y374" i="1"/>
  <c r="X374" i="1"/>
  <c r="W374" i="1"/>
  <c r="Z373" i="1"/>
  <c r="Y373" i="1"/>
  <c r="X373" i="1"/>
  <c r="W373" i="1"/>
  <c r="AB373" i="1" s="1"/>
  <c r="Z372" i="1"/>
  <c r="Y372" i="1"/>
  <c r="X372" i="1"/>
  <c r="AB372" i="1" s="1"/>
  <c r="W372" i="1"/>
  <c r="Z371" i="1"/>
  <c r="Y371" i="1"/>
  <c r="X371" i="1"/>
  <c r="W371" i="1"/>
  <c r="AB371" i="1" s="1"/>
  <c r="Z370" i="1"/>
  <c r="Y370" i="1"/>
  <c r="X370" i="1"/>
  <c r="W370" i="1"/>
  <c r="AB370" i="1" s="1"/>
  <c r="Z369" i="1"/>
  <c r="Y369" i="1"/>
  <c r="AB369" i="1" s="1"/>
  <c r="AC369" i="1" s="1"/>
  <c r="X369" i="1"/>
  <c r="W369" i="1"/>
  <c r="AC368" i="1"/>
  <c r="Z368" i="1"/>
  <c r="Y368" i="1"/>
  <c r="X368" i="1"/>
  <c r="W368" i="1"/>
  <c r="AB368" i="1" s="1"/>
  <c r="AD368" i="1" s="1"/>
  <c r="AB367" i="1"/>
  <c r="Z367" i="1"/>
  <c r="Y367" i="1"/>
  <c r="X367" i="1"/>
  <c r="W367" i="1"/>
  <c r="Z366" i="1"/>
  <c r="Y366" i="1"/>
  <c r="X366" i="1"/>
  <c r="AB366" i="1" s="1"/>
  <c r="W366" i="1"/>
  <c r="Z365" i="1"/>
  <c r="Y365" i="1"/>
  <c r="X365" i="1"/>
  <c r="W365" i="1"/>
  <c r="AB365" i="1" s="1"/>
  <c r="Z364" i="1"/>
  <c r="Y364" i="1"/>
  <c r="X364" i="1"/>
  <c r="AB364" i="1" s="1"/>
  <c r="W364" i="1"/>
  <c r="Z363" i="1"/>
  <c r="Y363" i="1"/>
  <c r="X363" i="1"/>
  <c r="W363" i="1"/>
  <c r="AB363" i="1" s="1"/>
  <c r="Z362" i="1"/>
  <c r="Y362" i="1"/>
  <c r="X362" i="1"/>
  <c r="W362" i="1"/>
  <c r="AB362" i="1" s="1"/>
  <c r="Z361" i="1"/>
  <c r="Y361" i="1"/>
  <c r="AB361" i="1" s="1"/>
  <c r="AC361" i="1" s="1"/>
  <c r="X361" i="1"/>
  <c r="W361" i="1"/>
  <c r="Z360" i="1"/>
  <c r="Y360" i="1"/>
  <c r="X360" i="1"/>
  <c r="W360" i="1"/>
  <c r="AB360" i="1" s="1"/>
  <c r="AD360" i="1" s="1"/>
  <c r="AB359" i="1"/>
  <c r="Z359" i="1"/>
  <c r="Y359" i="1"/>
  <c r="X359" i="1"/>
  <c r="W359" i="1"/>
  <c r="Z358" i="1"/>
  <c r="Y358" i="1"/>
  <c r="X358" i="1"/>
  <c r="W358" i="1"/>
  <c r="Z357" i="1"/>
  <c r="Y357" i="1"/>
  <c r="X357" i="1"/>
  <c r="W357" i="1"/>
  <c r="Z356" i="1"/>
  <c r="Y356" i="1"/>
  <c r="X356" i="1"/>
  <c r="AB356" i="1" s="1"/>
  <c r="W356" i="1"/>
  <c r="Z355" i="1"/>
  <c r="Y355" i="1"/>
  <c r="X355" i="1"/>
  <c r="W355" i="1"/>
  <c r="AB355" i="1" s="1"/>
  <c r="Z354" i="1"/>
  <c r="Y354" i="1"/>
  <c r="X354" i="1"/>
  <c r="W354" i="1"/>
  <c r="AB354" i="1" s="1"/>
  <c r="AD353" i="1"/>
  <c r="Z353" i="1"/>
  <c r="Y353" i="1"/>
  <c r="AB353" i="1" s="1"/>
  <c r="AC353" i="1" s="1"/>
  <c r="X353" i="1"/>
  <c r="W353" i="1"/>
  <c r="Z352" i="1"/>
  <c r="Y352" i="1"/>
  <c r="X352" i="1"/>
  <c r="W352" i="1"/>
  <c r="AB352" i="1" s="1"/>
  <c r="AD352" i="1" s="1"/>
  <c r="AB351" i="1"/>
  <c r="Z351" i="1"/>
  <c r="Y351" i="1"/>
  <c r="X351" i="1"/>
  <c r="W351" i="1"/>
  <c r="Z350" i="1"/>
  <c r="Y350" i="1"/>
  <c r="X350" i="1"/>
  <c r="AB350" i="1" s="1"/>
  <c r="W350" i="1"/>
  <c r="Z349" i="1"/>
  <c r="Y349" i="1"/>
  <c r="X349" i="1"/>
  <c r="W349" i="1"/>
  <c r="AB349" i="1" s="1"/>
  <c r="AC349" i="1" s="1"/>
  <c r="Z348" i="1"/>
  <c r="Y348" i="1"/>
  <c r="X348" i="1"/>
  <c r="AB348" i="1" s="1"/>
  <c r="AD348" i="1" s="1"/>
  <c r="W348" i="1"/>
  <c r="Z347" i="1"/>
  <c r="Y347" i="1"/>
  <c r="X347" i="1"/>
  <c r="W347" i="1"/>
  <c r="AB347" i="1" s="1"/>
  <c r="Z346" i="1"/>
  <c r="Y346" i="1"/>
  <c r="X346" i="1"/>
  <c r="W346" i="1"/>
  <c r="AB346" i="1" s="1"/>
  <c r="Z345" i="1"/>
  <c r="Y345" i="1"/>
  <c r="AB345" i="1" s="1"/>
  <c r="AC345" i="1" s="1"/>
  <c r="X345" i="1"/>
  <c r="W345" i="1"/>
  <c r="Z344" i="1"/>
  <c r="Y344" i="1"/>
  <c r="X344" i="1"/>
  <c r="W344" i="1"/>
  <c r="AB344" i="1" s="1"/>
  <c r="AD344" i="1" s="1"/>
  <c r="AB343" i="1"/>
  <c r="Z343" i="1"/>
  <c r="Y343" i="1"/>
  <c r="X343" i="1"/>
  <c r="W343" i="1"/>
  <c r="Z342" i="1"/>
  <c r="Y342" i="1"/>
  <c r="X342" i="1"/>
  <c r="AB342" i="1" s="1"/>
  <c r="W342" i="1"/>
  <c r="AD341" i="1"/>
  <c r="Z341" i="1"/>
  <c r="Y341" i="1"/>
  <c r="X341" i="1"/>
  <c r="W341" i="1"/>
  <c r="AB341" i="1" s="1"/>
  <c r="AC341" i="1" s="1"/>
  <c r="Z340" i="1"/>
  <c r="Y340" i="1"/>
  <c r="X340" i="1"/>
  <c r="AB340" i="1" s="1"/>
  <c r="AD340" i="1" s="1"/>
  <c r="W340" i="1"/>
  <c r="Z339" i="1"/>
  <c r="Y339" i="1"/>
  <c r="X339" i="1"/>
  <c r="W339" i="1"/>
  <c r="AB339" i="1" s="1"/>
  <c r="AC338" i="1"/>
  <c r="Z338" i="1"/>
  <c r="Y338" i="1"/>
  <c r="X338" i="1"/>
  <c r="W338" i="1"/>
  <c r="AB338" i="1" s="1"/>
  <c r="AD338" i="1" s="1"/>
  <c r="AB337" i="1"/>
  <c r="AC337" i="1" s="1"/>
  <c r="Z337" i="1"/>
  <c r="Y337" i="1"/>
  <c r="X337" i="1"/>
  <c r="W337" i="1"/>
  <c r="Z336" i="1"/>
  <c r="Y336" i="1"/>
  <c r="X336" i="1"/>
  <c r="W336" i="1"/>
  <c r="AB336" i="1" s="1"/>
  <c r="AD336" i="1" s="1"/>
  <c r="Z335" i="1"/>
  <c r="Y335" i="1"/>
  <c r="X335" i="1"/>
  <c r="W335" i="1"/>
  <c r="AB335" i="1" s="1"/>
  <c r="Z334" i="1"/>
  <c r="Y334" i="1"/>
  <c r="X334" i="1"/>
  <c r="W334" i="1"/>
  <c r="Z333" i="1"/>
  <c r="Y333" i="1"/>
  <c r="X333" i="1"/>
  <c r="W333" i="1"/>
  <c r="AB333" i="1" s="1"/>
  <c r="Z332" i="1"/>
  <c r="Y332" i="1"/>
  <c r="X332" i="1"/>
  <c r="AB332" i="1" s="1"/>
  <c r="AD332" i="1" s="1"/>
  <c r="W332" i="1"/>
  <c r="Z331" i="1"/>
  <c r="Y331" i="1"/>
  <c r="X331" i="1"/>
  <c r="AB331" i="1" s="1"/>
  <c r="W331" i="1"/>
  <c r="Z330" i="1"/>
  <c r="Y330" i="1"/>
  <c r="X330" i="1"/>
  <c r="W330" i="1"/>
  <c r="AB330" i="1" s="1"/>
  <c r="Z329" i="1"/>
  <c r="Y329" i="1"/>
  <c r="X329" i="1"/>
  <c r="W329" i="1"/>
  <c r="AB329" i="1" s="1"/>
  <c r="AC328" i="1"/>
  <c r="Z328" i="1"/>
  <c r="Y328" i="1"/>
  <c r="X328" i="1"/>
  <c r="W328" i="1"/>
  <c r="AB328" i="1" s="1"/>
  <c r="AD328" i="1" s="1"/>
  <c r="AC327" i="1"/>
  <c r="AB327" i="1"/>
  <c r="AD327" i="1" s="1"/>
  <c r="Z327" i="1"/>
  <c r="Y327" i="1"/>
  <c r="X327" i="1"/>
  <c r="W327" i="1"/>
  <c r="Z326" i="1"/>
  <c r="Y326" i="1"/>
  <c r="X326" i="1"/>
  <c r="AB326" i="1" s="1"/>
  <c r="W326" i="1"/>
  <c r="Z325" i="1"/>
  <c r="Y325" i="1"/>
  <c r="X325" i="1"/>
  <c r="W325" i="1"/>
  <c r="AB325" i="1" s="1"/>
  <c r="Z324" i="1"/>
  <c r="Y324" i="1"/>
  <c r="X324" i="1"/>
  <c r="W324" i="1"/>
  <c r="Z323" i="1"/>
  <c r="Y323" i="1"/>
  <c r="AB323" i="1" s="1"/>
  <c r="X323" i="1"/>
  <c r="W323" i="1"/>
  <c r="Z322" i="1"/>
  <c r="Y322" i="1"/>
  <c r="X322" i="1"/>
  <c r="W322" i="1"/>
  <c r="AD321" i="1"/>
  <c r="Z321" i="1"/>
  <c r="Y321" i="1"/>
  <c r="AB321" i="1" s="1"/>
  <c r="AC321" i="1" s="1"/>
  <c r="X321" i="1"/>
  <c r="W321" i="1"/>
  <c r="Z320" i="1"/>
  <c r="Y320" i="1"/>
  <c r="X320" i="1"/>
  <c r="W320" i="1"/>
  <c r="Z319" i="1"/>
  <c r="Y319" i="1"/>
  <c r="AB319" i="1" s="1"/>
  <c r="X319" i="1"/>
  <c r="W319" i="1"/>
  <c r="AB318" i="1"/>
  <c r="AD318" i="1" s="1"/>
  <c r="Z318" i="1"/>
  <c r="Y318" i="1"/>
  <c r="X318" i="1"/>
  <c r="W318" i="1"/>
  <c r="Z317" i="1"/>
  <c r="Y317" i="1"/>
  <c r="X317" i="1"/>
  <c r="W317" i="1"/>
  <c r="AB317" i="1" s="1"/>
  <c r="Z316" i="1"/>
  <c r="Y316" i="1"/>
  <c r="X316" i="1"/>
  <c r="AB316" i="1" s="1"/>
  <c r="AD316" i="1" s="1"/>
  <c r="W316" i="1"/>
  <c r="Z315" i="1"/>
  <c r="Y315" i="1"/>
  <c r="X315" i="1"/>
  <c r="W315" i="1"/>
  <c r="AB315" i="1" s="1"/>
  <c r="Z314" i="1"/>
  <c r="Y314" i="1"/>
  <c r="X314" i="1"/>
  <c r="W314" i="1"/>
  <c r="AB314" i="1" s="1"/>
  <c r="AD314" i="1" s="1"/>
  <c r="AB313" i="1"/>
  <c r="Z313" i="1"/>
  <c r="Y313" i="1"/>
  <c r="X313" i="1"/>
  <c r="W313" i="1"/>
  <c r="AC312" i="1"/>
  <c r="Z312" i="1"/>
  <c r="Y312" i="1"/>
  <c r="X312" i="1"/>
  <c r="W312" i="1"/>
  <c r="AB312" i="1" s="1"/>
  <c r="AD312" i="1" s="1"/>
  <c r="Z311" i="1"/>
  <c r="Y311" i="1"/>
  <c r="X311" i="1"/>
  <c r="W311" i="1"/>
  <c r="AB311" i="1" s="1"/>
  <c r="Z310" i="1"/>
  <c r="Y310" i="1"/>
  <c r="X310" i="1"/>
  <c r="W310" i="1"/>
  <c r="AB310" i="1" s="1"/>
  <c r="AD309" i="1"/>
  <c r="AB309" i="1"/>
  <c r="AC309" i="1" s="1"/>
  <c r="Z309" i="1"/>
  <c r="Y309" i="1"/>
  <c r="X309" i="1"/>
  <c r="W309" i="1"/>
  <c r="AB308" i="1"/>
  <c r="Z308" i="1"/>
  <c r="Y308" i="1"/>
  <c r="X308" i="1"/>
  <c r="W308" i="1"/>
  <c r="Z307" i="1"/>
  <c r="Y307" i="1"/>
  <c r="X307" i="1"/>
  <c r="AB307" i="1" s="1"/>
  <c r="W307" i="1"/>
  <c r="Z306" i="1"/>
  <c r="Y306" i="1"/>
  <c r="X306" i="1"/>
  <c r="W306" i="1"/>
  <c r="Z305" i="1"/>
  <c r="Y305" i="1"/>
  <c r="X305" i="1"/>
  <c r="W305" i="1"/>
  <c r="AB305" i="1" s="1"/>
  <c r="AD304" i="1"/>
  <c r="AC304" i="1"/>
  <c r="Z304" i="1"/>
  <c r="Y304" i="1"/>
  <c r="X304" i="1"/>
  <c r="W304" i="1"/>
  <c r="AB304" i="1" s="1"/>
  <c r="AB303" i="1"/>
  <c r="Z303" i="1"/>
  <c r="Y303" i="1"/>
  <c r="X303" i="1"/>
  <c r="W303" i="1"/>
  <c r="Z302" i="1"/>
  <c r="Y302" i="1"/>
  <c r="X302" i="1"/>
  <c r="AB302" i="1" s="1"/>
  <c r="W302" i="1"/>
  <c r="Z301" i="1"/>
  <c r="Y301" i="1"/>
  <c r="AB301" i="1" s="1"/>
  <c r="X301" i="1"/>
  <c r="W301" i="1"/>
  <c r="Z300" i="1"/>
  <c r="Y300" i="1"/>
  <c r="X300" i="1"/>
  <c r="AB300" i="1" s="1"/>
  <c r="W300" i="1"/>
  <c r="Z299" i="1"/>
  <c r="Y299" i="1"/>
  <c r="X299" i="1"/>
  <c r="W299" i="1"/>
  <c r="AB299" i="1" s="1"/>
  <c r="Z298" i="1"/>
  <c r="Y298" i="1"/>
  <c r="X298" i="1"/>
  <c r="W298" i="1"/>
  <c r="AB298" i="1" s="1"/>
  <c r="AB297" i="1"/>
  <c r="Z297" i="1"/>
  <c r="Y297" i="1"/>
  <c r="X297" i="1"/>
  <c r="W297" i="1"/>
  <c r="AC296" i="1"/>
  <c r="Z296" i="1"/>
  <c r="Y296" i="1"/>
  <c r="X296" i="1"/>
  <c r="W296" i="1"/>
  <c r="AB296" i="1" s="1"/>
  <c r="AD296" i="1" s="1"/>
  <c r="Z295" i="1"/>
  <c r="Y295" i="1"/>
  <c r="X295" i="1"/>
  <c r="W295" i="1"/>
  <c r="AB295" i="1" s="1"/>
  <c r="Z294" i="1"/>
  <c r="Y294" i="1"/>
  <c r="X294" i="1"/>
  <c r="W294" i="1"/>
  <c r="AB294" i="1" s="1"/>
  <c r="Z293" i="1"/>
  <c r="Y293" i="1"/>
  <c r="X293" i="1"/>
  <c r="W293" i="1"/>
  <c r="AB293" i="1" s="1"/>
  <c r="AD292" i="1"/>
  <c r="Z292" i="1"/>
  <c r="Y292" i="1"/>
  <c r="X292" i="1"/>
  <c r="W292" i="1"/>
  <c r="AB292" i="1" s="1"/>
  <c r="AC292" i="1" s="1"/>
  <c r="Z291" i="1"/>
  <c r="Y291" i="1"/>
  <c r="X291" i="1"/>
  <c r="W291" i="1"/>
  <c r="AB291" i="1" s="1"/>
  <c r="AD291" i="1" s="1"/>
  <c r="AB290" i="1"/>
  <c r="Z290" i="1"/>
  <c r="Y290" i="1"/>
  <c r="X290" i="1"/>
  <c r="W290" i="1"/>
  <c r="Z289" i="1"/>
  <c r="Y289" i="1"/>
  <c r="X289" i="1"/>
  <c r="AB289" i="1" s="1"/>
  <c r="W289" i="1"/>
  <c r="AB288" i="1"/>
  <c r="AD288" i="1" s="1"/>
  <c r="Z288" i="1"/>
  <c r="Y288" i="1"/>
  <c r="X288" i="1"/>
  <c r="W288" i="1"/>
  <c r="Z287" i="1"/>
  <c r="Y287" i="1"/>
  <c r="X287" i="1"/>
  <c r="W287" i="1"/>
  <c r="AB287" i="1" s="1"/>
  <c r="Z286" i="1"/>
  <c r="Y286" i="1"/>
  <c r="X286" i="1"/>
  <c r="W286" i="1"/>
  <c r="AB286" i="1" s="1"/>
  <c r="Z285" i="1"/>
  <c r="Y285" i="1"/>
  <c r="X285" i="1"/>
  <c r="W285" i="1"/>
  <c r="AB285" i="1" s="1"/>
  <c r="Z284" i="1"/>
  <c r="Y284" i="1"/>
  <c r="X284" i="1"/>
  <c r="W284" i="1"/>
  <c r="AB284" i="1" s="1"/>
  <c r="AC283" i="1"/>
  <c r="Z283" i="1"/>
  <c r="Y283" i="1"/>
  <c r="X283" i="1"/>
  <c r="W283" i="1"/>
  <c r="AB283" i="1" s="1"/>
  <c r="AD283" i="1" s="1"/>
  <c r="AB282" i="1"/>
  <c r="Z282" i="1"/>
  <c r="Y282" i="1"/>
  <c r="X282" i="1"/>
  <c r="W282" i="1"/>
  <c r="Z281" i="1"/>
  <c r="Y281" i="1"/>
  <c r="X281" i="1"/>
  <c r="AB281" i="1" s="1"/>
  <c r="W281" i="1"/>
  <c r="AB280" i="1"/>
  <c r="AD280" i="1" s="1"/>
  <c r="Z280" i="1"/>
  <c r="Y280" i="1"/>
  <c r="X280" i="1"/>
  <c r="W280" i="1"/>
  <c r="Z279" i="1"/>
  <c r="Y279" i="1"/>
  <c r="X279" i="1"/>
  <c r="W279" i="1"/>
  <c r="AB279" i="1" s="1"/>
  <c r="Z278" i="1"/>
  <c r="Y278" i="1"/>
  <c r="X278" i="1"/>
  <c r="W278" i="1"/>
  <c r="AB278" i="1" s="1"/>
  <c r="Z277" i="1"/>
  <c r="Y277" i="1"/>
  <c r="X277" i="1"/>
  <c r="W277" i="1"/>
  <c r="AB277" i="1" s="1"/>
  <c r="AD276" i="1"/>
  <c r="Z276" i="1"/>
  <c r="Y276" i="1"/>
  <c r="X276" i="1"/>
  <c r="W276" i="1"/>
  <c r="AB276" i="1" s="1"/>
  <c r="AC276" i="1" s="1"/>
  <c r="Z275" i="1"/>
  <c r="Y275" i="1"/>
  <c r="X275" i="1"/>
  <c r="W275" i="1"/>
  <c r="AB275" i="1" s="1"/>
  <c r="AD275" i="1" s="1"/>
  <c r="AB274" i="1"/>
  <c r="Z274" i="1"/>
  <c r="Y274" i="1"/>
  <c r="X274" i="1"/>
  <c r="W274" i="1"/>
  <c r="Z273" i="1"/>
  <c r="Y273" i="1"/>
  <c r="X273" i="1"/>
  <c r="AB273" i="1" s="1"/>
  <c r="W273" i="1"/>
  <c r="Z272" i="1"/>
  <c r="Y272" i="1"/>
  <c r="AB272" i="1" s="1"/>
  <c r="X272" i="1"/>
  <c r="W272" i="1"/>
  <c r="Z271" i="1"/>
  <c r="Y271" i="1"/>
  <c r="X271" i="1"/>
  <c r="W271" i="1"/>
  <c r="Z270" i="1"/>
  <c r="Y270" i="1"/>
  <c r="X270" i="1"/>
  <c r="W270" i="1"/>
  <c r="AB270" i="1" s="1"/>
  <c r="Z269" i="1"/>
  <c r="Y269" i="1"/>
  <c r="X269" i="1"/>
  <c r="W269" i="1"/>
  <c r="AB269" i="1" s="1"/>
  <c r="AD268" i="1"/>
  <c r="Z268" i="1"/>
  <c r="Y268" i="1"/>
  <c r="X268" i="1"/>
  <c r="W268" i="1"/>
  <c r="AB268" i="1" s="1"/>
  <c r="AC268" i="1" s="1"/>
  <c r="AC267" i="1"/>
  <c r="Z267" i="1"/>
  <c r="Y267" i="1"/>
  <c r="X267" i="1"/>
  <c r="W267" i="1"/>
  <c r="AB267" i="1" s="1"/>
  <c r="AD267" i="1" s="1"/>
  <c r="AB266" i="1"/>
  <c r="Z266" i="1"/>
  <c r="Y266" i="1"/>
  <c r="X266" i="1"/>
  <c r="W266" i="1"/>
  <c r="Z265" i="1"/>
  <c r="Y265" i="1"/>
  <c r="X265" i="1"/>
  <c r="AB265" i="1" s="1"/>
  <c r="W265" i="1"/>
  <c r="AB264" i="1"/>
  <c r="AD264" i="1" s="1"/>
  <c r="Z264" i="1"/>
  <c r="Y264" i="1"/>
  <c r="X264" i="1"/>
  <c r="W264" i="1"/>
  <c r="Z263" i="1"/>
  <c r="Y263" i="1"/>
  <c r="X263" i="1"/>
  <c r="W263" i="1"/>
  <c r="Z262" i="1"/>
  <c r="Y262" i="1"/>
  <c r="X262" i="1"/>
  <c r="W262" i="1"/>
  <c r="AB262" i="1" s="1"/>
  <c r="Z261" i="1"/>
  <c r="Y261" i="1"/>
  <c r="X261" i="1"/>
  <c r="W261" i="1"/>
  <c r="AB261" i="1" s="1"/>
  <c r="Z260" i="1"/>
  <c r="Y260" i="1"/>
  <c r="X260" i="1"/>
  <c r="W260" i="1"/>
  <c r="AB260" i="1" s="1"/>
  <c r="AC260" i="1" s="1"/>
  <c r="Z259" i="1"/>
  <c r="Y259" i="1"/>
  <c r="X259" i="1"/>
  <c r="W259" i="1"/>
  <c r="AB259" i="1" s="1"/>
  <c r="AD258" i="1"/>
  <c r="AB258" i="1"/>
  <c r="AC258" i="1" s="1"/>
  <c r="Z258" i="1"/>
  <c r="Y258" i="1"/>
  <c r="X258" i="1"/>
  <c r="W258" i="1"/>
  <c r="Z257" i="1"/>
  <c r="Y257" i="1"/>
  <c r="X257" i="1"/>
  <c r="AB257" i="1" s="1"/>
  <c r="AD257" i="1" s="1"/>
  <c r="W257" i="1"/>
  <c r="Z256" i="1"/>
  <c r="Y256" i="1"/>
  <c r="AB256" i="1" s="1"/>
  <c r="X256" i="1"/>
  <c r="W256" i="1"/>
  <c r="Z255" i="1"/>
  <c r="Y255" i="1"/>
  <c r="X255" i="1"/>
  <c r="W255" i="1"/>
  <c r="Z254" i="1"/>
  <c r="Y254" i="1"/>
  <c r="X254" i="1"/>
  <c r="W254" i="1"/>
  <c r="AB254" i="1" s="1"/>
  <c r="Z253" i="1"/>
  <c r="Y253" i="1"/>
  <c r="X253" i="1"/>
  <c r="W253" i="1"/>
  <c r="Z252" i="1"/>
  <c r="Y252" i="1"/>
  <c r="X252" i="1"/>
  <c r="W252" i="1"/>
  <c r="AB252" i="1" s="1"/>
  <c r="AC252" i="1" s="1"/>
  <c r="AC251" i="1"/>
  <c r="Z251" i="1"/>
  <c r="Y251" i="1"/>
  <c r="X251" i="1"/>
  <c r="W251" i="1"/>
  <c r="AB251" i="1" s="1"/>
  <c r="AD251" i="1" s="1"/>
  <c r="AB250" i="1"/>
  <c r="Z250" i="1"/>
  <c r="Y250" i="1"/>
  <c r="X250" i="1"/>
  <c r="W250" i="1"/>
  <c r="Z249" i="1"/>
  <c r="Y249" i="1"/>
  <c r="X249" i="1"/>
  <c r="AB249" i="1" s="1"/>
  <c r="W249" i="1"/>
  <c r="AB248" i="1"/>
  <c r="Z248" i="1"/>
  <c r="Y248" i="1"/>
  <c r="X248" i="1"/>
  <c r="W248" i="1"/>
  <c r="Z247" i="1"/>
  <c r="Y247" i="1"/>
  <c r="X247" i="1"/>
  <c r="W247" i="1"/>
  <c r="Z246" i="1"/>
  <c r="Y246" i="1"/>
  <c r="X246" i="1"/>
  <c r="W246" i="1"/>
  <c r="AB246" i="1" s="1"/>
  <c r="Z245" i="1"/>
  <c r="Y245" i="1"/>
  <c r="X245" i="1"/>
  <c r="W245" i="1"/>
  <c r="AD244" i="1"/>
  <c r="Z244" i="1"/>
  <c r="Y244" i="1"/>
  <c r="X244" i="1"/>
  <c r="W244" i="1"/>
  <c r="AB244" i="1" s="1"/>
  <c r="AC244" i="1" s="1"/>
  <c r="AC243" i="1"/>
  <c r="Z243" i="1"/>
  <c r="Y243" i="1"/>
  <c r="X243" i="1"/>
  <c r="W243" i="1"/>
  <c r="AB243" i="1" s="1"/>
  <c r="AD243" i="1" s="1"/>
  <c r="S243" i="1"/>
  <c r="Z242" i="1"/>
  <c r="Y242" i="1"/>
  <c r="X242" i="1"/>
  <c r="W242" i="1"/>
  <c r="AB242" i="1" s="1"/>
  <c r="AD242" i="1" s="1"/>
  <c r="AD241" i="1"/>
  <c r="AB241" i="1"/>
  <c r="AC241" i="1" s="1"/>
  <c r="Z241" i="1"/>
  <c r="Y241" i="1"/>
  <c r="X241" i="1"/>
  <c r="W241" i="1"/>
  <c r="AC240" i="1"/>
  <c r="Z240" i="1"/>
  <c r="Y240" i="1"/>
  <c r="X240" i="1"/>
  <c r="AB240" i="1" s="1"/>
  <c r="AD240" i="1" s="1"/>
  <c r="W240" i="1"/>
  <c r="AB239" i="1"/>
  <c r="AD239" i="1" s="1"/>
  <c r="Z239" i="1"/>
  <c r="Y239" i="1"/>
  <c r="X239" i="1"/>
  <c r="W239" i="1"/>
  <c r="S239" i="1"/>
  <c r="AC239" i="1" s="1"/>
  <c r="Z238" i="1"/>
  <c r="Y238" i="1"/>
  <c r="AB238" i="1" s="1"/>
  <c r="X238" i="1"/>
  <c r="W238" i="1"/>
  <c r="Z237" i="1"/>
  <c r="Y237" i="1"/>
  <c r="X237" i="1"/>
  <c r="W237" i="1"/>
  <c r="Z236" i="1"/>
  <c r="Y236" i="1"/>
  <c r="X236" i="1"/>
  <c r="W236" i="1"/>
  <c r="AB236" i="1" s="1"/>
  <c r="S236" i="1"/>
  <c r="Z235" i="1"/>
  <c r="Y235" i="1"/>
  <c r="X235" i="1"/>
  <c r="W235" i="1"/>
  <c r="Z234" i="1"/>
  <c r="Y234" i="1"/>
  <c r="X234" i="1"/>
  <c r="W234" i="1"/>
  <c r="S234" i="1"/>
  <c r="Z233" i="1"/>
  <c r="Y233" i="1"/>
  <c r="X233" i="1"/>
  <c r="W233" i="1"/>
  <c r="AB233" i="1" s="1"/>
  <c r="AD233" i="1" s="1"/>
  <c r="S233" i="1"/>
  <c r="AC233" i="1" s="1"/>
  <c r="Z232" i="1"/>
  <c r="Y232" i="1"/>
  <c r="X232" i="1"/>
  <c r="W232" i="1"/>
  <c r="AB232" i="1" s="1"/>
  <c r="Z231" i="1"/>
  <c r="Y231" i="1"/>
  <c r="X231" i="1"/>
  <c r="W231" i="1"/>
  <c r="AB231" i="1" s="1"/>
  <c r="AC230" i="1"/>
  <c r="Z230" i="1"/>
  <c r="Y230" i="1"/>
  <c r="X230" i="1"/>
  <c r="W230" i="1"/>
  <c r="AB230" i="1" s="1"/>
  <c r="AD230" i="1" s="1"/>
  <c r="AB229" i="1"/>
  <c r="AC229" i="1" s="1"/>
  <c r="Z229" i="1"/>
  <c r="Y229" i="1"/>
  <c r="X229" i="1"/>
  <c r="W229" i="1"/>
  <c r="Z228" i="1"/>
  <c r="Y228" i="1"/>
  <c r="X228" i="1"/>
  <c r="AB228" i="1" s="1"/>
  <c r="AD228" i="1" s="1"/>
  <c r="W228" i="1"/>
  <c r="AB227" i="1"/>
  <c r="Z227" i="1"/>
  <c r="Y227" i="1"/>
  <c r="X227" i="1"/>
  <c r="W227" i="1"/>
  <c r="Z226" i="1"/>
  <c r="Y226" i="1"/>
  <c r="X226" i="1"/>
  <c r="W226" i="1"/>
  <c r="AD225" i="1"/>
  <c r="Z225" i="1"/>
  <c r="Y225" i="1"/>
  <c r="X225" i="1"/>
  <c r="W225" i="1"/>
  <c r="AB225" i="1" s="1"/>
  <c r="AC225" i="1" s="1"/>
  <c r="Z224" i="1"/>
  <c r="Y224" i="1"/>
  <c r="X224" i="1"/>
  <c r="W224" i="1"/>
  <c r="AB224" i="1" s="1"/>
  <c r="AD224" i="1" s="1"/>
  <c r="Z223" i="1"/>
  <c r="Y223" i="1"/>
  <c r="X223" i="1"/>
  <c r="W223" i="1"/>
  <c r="AB223" i="1" s="1"/>
  <c r="AC222" i="1"/>
  <c r="Z222" i="1"/>
  <c r="Y222" i="1"/>
  <c r="X222" i="1"/>
  <c r="W222" i="1"/>
  <c r="AB222" i="1" s="1"/>
  <c r="AD222" i="1" s="1"/>
  <c r="AB221" i="1"/>
  <c r="Z221" i="1"/>
  <c r="Y221" i="1"/>
  <c r="X221" i="1"/>
  <c r="W221" i="1"/>
  <c r="Z220" i="1"/>
  <c r="Y220" i="1"/>
  <c r="X220" i="1"/>
  <c r="AB220" i="1" s="1"/>
  <c r="W220" i="1"/>
  <c r="Z219" i="1"/>
  <c r="Y219" i="1"/>
  <c r="X219" i="1"/>
  <c r="W219" i="1"/>
  <c r="AB219" i="1" s="1"/>
  <c r="Z218" i="1"/>
  <c r="Y218" i="1"/>
  <c r="X218" i="1"/>
  <c r="W218" i="1"/>
  <c r="AD217" i="1"/>
  <c r="Z217" i="1"/>
  <c r="Y217" i="1"/>
  <c r="X217" i="1"/>
  <c r="W217" i="1"/>
  <c r="AB217" i="1" s="1"/>
  <c r="AC217" i="1" s="1"/>
  <c r="Z216" i="1"/>
  <c r="Y216" i="1"/>
  <c r="X216" i="1"/>
  <c r="W216" i="1"/>
  <c r="Z215" i="1"/>
  <c r="Y215" i="1"/>
  <c r="X215" i="1"/>
  <c r="W215" i="1"/>
  <c r="AB215" i="1" s="1"/>
  <c r="AC214" i="1"/>
  <c r="Z214" i="1"/>
  <c r="Y214" i="1"/>
  <c r="X214" i="1"/>
  <c r="W214" i="1"/>
  <c r="AB214" i="1" s="1"/>
  <c r="AD214" i="1" s="1"/>
  <c r="AD213" i="1"/>
  <c r="Z213" i="1"/>
  <c r="Y213" i="1"/>
  <c r="AB213" i="1" s="1"/>
  <c r="AC213" i="1" s="1"/>
  <c r="X213" i="1"/>
  <c r="W213" i="1"/>
  <c r="Z212" i="1"/>
  <c r="Y212" i="1"/>
  <c r="X212" i="1"/>
  <c r="AB212" i="1" s="1"/>
  <c r="AD212" i="1" s="1"/>
  <c r="W212" i="1"/>
  <c r="Z211" i="1"/>
  <c r="Y211" i="1"/>
  <c r="X211" i="1"/>
  <c r="W211" i="1"/>
  <c r="AB211" i="1" s="1"/>
  <c r="Z210" i="1"/>
  <c r="Y210" i="1"/>
  <c r="X210" i="1"/>
  <c r="W210" i="1"/>
  <c r="Z209" i="1"/>
  <c r="Y209" i="1"/>
  <c r="X209" i="1"/>
  <c r="W209" i="1"/>
  <c r="AB209" i="1" s="1"/>
  <c r="Z208" i="1"/>
  <c r="Y208" i="1"/>
  <c r="X208" i="1"/>
  <c r="W208" i="1"/>
  <c r="AB208" i="1" s="1"/>
  <c r="Z207" i="1"/>
  <c r="Y207" i="1"/>
  <c r="X207" i="1"/>
  <c r="W207" i="1"/>
  <c r="AB207" i="1" s="1"/>
  <c r="Z206" i="1"/>
  <c r="Y206" i="1"/>
  <c r="X206" i="1"/>
  <c r="W206" i="1"/>
  <c r="Z205" i="1"/>
  <c r="Y205" i="1"/>
  <c r="X205" i="1"/>
  <c r="W205" i="1"/>
  <c r="AB205" i="1" s="1"/>
  <c r="Z204" i="1"/>
  <c r="Y204" i="1"/>
  <c r="X204" i="1"/>
  <c r="AB204" i="1" s="1"/>
  <c r="W204" i="1"/>
  <c r="AB203" i="1"/>
  <c r="AC203" i="1" s="1"/>
  <c r="Z203" i="1"/>
  <c r="Y203" i="1"/>
  <c r="X203" i="1"/>
  <c r="W203" i="1"/>
  <c r="Z202" i="1"/>
  <c r="Y202" i="1"/>
  <c r="X202" i="1"/>
  <c r="W202" i="1"/>
  <c r="G202" i="1"/>
  <c r="Z201" i="1"/>
  <c r="Y201" i="1"/>
  <c r="X201" i="1"/>
  <c r="W201" i="1"/>
  <c r="G201" i="1"/>
  <c r="Z200" i="1"/>
  <c r="Y200" i="1"/>
  <c r="X200" i="1"/>
  <c r="W200" i="1"/>
  <c r="AB200" i="1" s="1"/>
  <c r="AD200" i="1" s="1"/>
  <c r="G200" i="1"/>
  <c r="Z199" i="1"/>
  <c r="Y199" i="1"/>
  <c r="X199" i="1"/>
  <c r="W199" i="1"/>
  <c r="G199" i="1"/>
  <c r="Z198" i="1"/>
  <c r="Y198" i="1"/>
  <c r="X198" i="1"/>
  <c r="W198" i="1"/>
  <c r="G198" i="1"/>
  <c r="Z197" i="1"/>
  <c r="Y197" i="1"/>
  <c r="X197" i="1"/>
  <c r="W197" i="1"/>
  <c r="G197" i="1"/>
  <c r="Z196" i="1"/>
  <c r="Y196" i="1"/>
  <c r="X196" i="1"/>
  <c r="W196" i="1"/>
  <c r="AB196" i="1" s="1"/>
  <c r="AD196" i="1" s="1"/>
  <c r="G196" i="1"/>
  <c r="Z195" i="1"/>
  <c r="Y195" i="1"/>
  <c r="X195" i="1"/>
  <c r="W195" i="1"/>
  <c r="AB195" i="1" s="1"/>
  <c r="AD195" i="1" s="1"/>
  <c r="G195" i="1"/>
  <c r="AC195" i="1" s="1"/>
  <c r="Z194" i="1"/>
  <c r="Y194" i="1"/>
  <c r="X194" i="1"/>
  <c r="W194" i="1"/>
  <c r="G194" i="1"/>
  <c r="Z193" i="1"/>
  <c r="Y193" i="1"/>
  <c r="X193" i="1"/>
  <c r="W193" i="1"/>
  <c r="G193" i="1"/>
  <c r="Z192" i="1"/>
  <c r="Y192" i="1"/>
  <c r="X192" i="1"/>
  <c r="W192" i="1"/>
  <c r="AB192" i="1" s="1"/>
  <c r="AD192" i="1" s="1"/>
  <c r="G192" i="1"/>
  <c r="AC192" i="1" s="1"/>
  <c r="Z191" i="1"/>
  <c r="Y191" i="1"/>
  <c r="X191" i="1"/>
  <c r="W191" i="1"/>
  <c r="G191" i="1"/>
  <c r="Z190" i="1"/>
  <c r="Y190" i="1"/>
  <c r="X190" i="1"/>
  <c r="W190" i="1"/>
  <c r="G190" i="1"/>
  <c r="Z189" i="1"/>
  <c r="Y189" i="1"/>
  <c r="X189" i="1"/>
  <c r="W189" i="1"/>
  <c r="AB189" i="1" s="1"/>
  <c r="AD189" i="1" s="1"/>
  <c r="G189" i="1"/>
  <c r="AC189" i="1" s="1"/>
  <c r="Z188" i="1"/>
  <c r="Y188" i="1"/>
  <c r="X188" i="1"/>
  <c r="W188" i="1"/>
  <c r="AB188" i="1" s="1"/>
  <c r="AD188" i="1" s="1"/>
  <c r="G188" i="1"/>
  <c r="AC188" i="1" s="1"/>
  <c r="Z187" i="1"/>
  <c r="Y187" i="1"/>
  <c r="X187" i="1"/>
  <c r="W187" i="1"/>
  <c r="AB187" i="1" s="1"/>
  <c r="AD187" i="1" s="1"/>
  <c r="G187" i="1"/>
  <c r="AC187" i="1" s="1"/>
  <c r="Z186" i="1"/>
  <c r="Y186" i="1"/>
  <c r="X186" i="1"/>
  <c r="W186" i="1"/>
  <c r="G186" i="1"/>
  <c r="Z185" i="1"/>
  <c r="Y185" i="1"/>
  <c r="X185" i="1"/>
  <c r="W185" i="1"/>
  <c r="G185" i="1"/>
  <c r="Z184" i="1"/>
  <c r="Y184" i="1"/>
  <c r="X184" i="1"/>
  <c r="W184" i="1"/>
  <c r="AB184" i="1" s="1"/>
  <c r="AD184" i="1" s="1"/>
  <c r="G184" i="1"/>
  <c r="AC184" i="1" s="1"/>
  <c r="Z183" i="1"/>
  <c r="Y183" i="1"/>
  <c r="X183" i="1"/>
  <c r="W183" i="1"/>
  <c r="AB183" i="1" s="1"/>
  <c r="AD183" i="1" s="1"/>
  <c r="G183" i="1"/>
  <c r="AC183" i="1" s="1"/>
  <c r="AC182" i="1"/>
  <c r="Z182" i="1"/>
  <c r="Y182" i="1"/>
  <c r="X182" i="1"/>
  <c r="W182" i="1"/>
  <c r="AB182" i="1" s="1"/>
  <c r="AD182" i="1" s="1"/>
  <c r="G182" i="1"/>
  <c r="Z181" i="1"/>
  <c r="Y181" i="1"/>
  <c r="X181" i="1"/>
  <c r="W181" i="1"/>
  <c r="G181" i="1"/>
  <c r="Z180" i="1"/>
  <c r="Y180" i="1"/>
  <c r="X180" i="1"/>
  <c r="W180" i="1"/>
  <c r="AB180" i="1" s="1"/>
  <c r="AD180" i="1" s="1"/>
  <c r="G180" i="1"/>
  <c r="AC180" i="1" s="1"/>
  <c r="Z179" i="1"/>
  <c r="Y179" i="1"/>
  <c r="X179" i="1"/>
  <c r="W179" i="1"/>
  <c r="AB179" i="1" s="1"/>
  <c r="AD179" i="1" s="1"/>
  <c r="G179" i="1"/>
  <c r="AC179" i="1" s="1"/>
  <c r="Z178" i="1"/>
  <c r="Y178" i="1"/>
  <c r="X178" i="1"/>
  <c r="W178" i="1"/>
  <c r="G178" i="1"/>
  <c r="Z177" i="1"/>
  <c r="Y177" i="1"/>
  <c r="X177" i="1"/>
  <c r="W177" i="1"/>
  <c r="G177" i="1"/>
  <c r="Z176" i="1"/>
  <c r="Y176" i="1"/>
  <c r="X176" i="1"/>
  <c r="W176" i="1"/>
  <c r="AB176" i="1" s="1"/>
  <c r="AD176" i="1" s="1"/>
  <c r="G176" i="1"/>
  <c r="AC176" i="1" s="1"/>
  <c r="Z175" i="1"/>
  <c r="Y175" i="1"/>
  <c r="X175" i="1"/>
  <c r="W175" i="1"/>
  <c r="AB175" i="1" s="1"/>
  <c r="AD175" i="1" s="1"/>
  <c r="G175" i="1"/>
  <c r="AC175" i="1" s="1"/>
  <c r="AC174" i="1"/>
  <c r="Z174" i="1"/>
  <c r="Y174" i="1"/>
  <c r="X174" i="1"/>
  <c r="W174" i="1"/>
  <c r="AB174" i="1" s="1"/>
  <c r="AD174" i="1" s="1"/>
  <c r="G174" i="1"/>
  <c r="Z173" i="1"/>
  <c r="Y173" i="1"/>
  <c r="X173" i="1"/>
  <c r="W173" i="1"/>
  <c r="G173" i="1"/>
  <c r="Z172" i="1"/>
  <c r="Y172" i="1"/>
  <c r="X172" i="1"/>
  <c r="W172" i="1"/>
  <c r="AB172" i="1" s="1"/>
  <c r="AD172" i="1" s="1"/>
  <c r="G172" i="1"/>
  <c r="Z171" i="1"/>
  <c r="Y171" i="1"/>
  <c r="X171" i="1"/>
  <c r="W171" i="1"/>
  <c r="AB171" i="1" s="1"/>
  <c r="AD171" i="1" s="1"/>
  <c r="G171" i="1"/>
  <c r="AC171" i="1" s="1"/>
  <c r="AC170" i="1"/>
  <c r="Z170" i="1"/>
  <c r="Y170" i="1"/>
  <c r="X170" i="1"/>
  <c r="W170" i="1"/>
  <c r="AB170" i="1" s="1"/>
  <c r="AD170" i="1" s="1"/>
  <c r="G170" i="1"/>
  <c r="Z169" i="1"/>
  <c r="Y169" i="1"/>
  <c r="X169" i="1"/>
  <c r="W169" i="1"/>
  <c r="AB169" i="1" s="1"/>
  <c r="G169" i="1"/>
  <c r="Z168" i="1"/>
  <c r="Y168" i="1"/>
  <c r="X168" i="1"/>
  <c r="AB168" i="1" s="1"/>
  <c r="AD168" i="1" s="1"/>
  <c r="W168" i="1"/>
  <c r="G168" i="1"/>
  <c r="Z167" i="1"/>
  <c r="Y167" i="1"/>
  <c r="X167" i="1"/>
  <c r="W167" i="1"/>
  <c r="G167" i="1"/>
  <c r="Z166" i="1"/>
  <c r="Y166" i="1"/>
  <c r="X166" i="1"/>
  <c r="AB166" i="1" s="1"/>
  <c r="AD166" i="1" s="1"/>
  <c r="W166" i="1"/>
  <c r="G166" i="1"/>
  <c r="AC166" i="1" s="1"/>
  <c r="AB165" i="1"/>
  <c r="AD165" i="1" s="1"/>
  <c r="Z165" i="1"/>
  <c r="Y165" i="1"/>
  <c r="X165" i="1"/>
  <c r="W165" i="1"/>
  <c r="G165" i="1"/>
  <c r="AC165" i="1" s="1"/>
  <c r="AB164" i="1"/>
  <c r="AD164" i="1" s="1"/>
  <c r="Z164" i="1"/>
  <c r="Y164" i="1"/>
  <c r="X164" i="1"/>
  <c r="W164" i="1"/>
  <c r="G164" i="1"/>
  <c r="AC164" i="1" s="1"/>
  <c r="Z163" i="1"/>
  <c r="Y163" i="1"/>
  <c r="X163" i="1"/>
  <c r="W163" i="1"/>
  <c r="G163" i="1"/>
  <c r="Z162" i="1"/>
  <c r="Y162" i="1"/>
  <c r="X162" i="1"/>
  <c r="AB162" i="1" s="1"/>
  <c r="AD162" i="1" s="1"/>
  <c r="W162" i="1"/>
  <c r="G162" i="1"/>
  <c r="Z161" i="1"/>
  <c r="Y161" i="1"/>
  <c r="X161" i="1"/>
  <c r="AB161" i="1" s="1"/>
  <c r="AD161" i="1" s="1"/>
  <c r="W161" i="1"/>
  <c r="G161" i="1"/>
  <c r="AB160" i="1"/>
  <c r="AD160" i="1" s="1"/>
  <c r="Z160" i="1"/>
  <c r="Y160" i="1"/>
  <c r="X160" i="1"/>
  <c r="W160" i="1"/>
  <c r="G160" i="1"/>
  <c r="AC160" i="1" s="1"/>
  <c r="AB159" i="1"/>
  <c r="AD159" i="1" s="1"/>
  <c r="Z159" i="1"/>
  <c r="Y159" i="1"/>
  <c r="X159" i="1"/>
  <c r="W159" i="1"/>
  <c r="G159" i="1"/>
  <c r="AC159" i="1" s="1"/>
  <c r="Z158" i="1"/>
  <c r="Y158" i="1"/>
  <c r="X158" i="1"/>
  <c r="W158" i="1"/>
  <c r="Z157" i="1"/>
  <c r="Y157" i="1"/>
  <c r="X157" i="1"/>
  <c r="W157" i="1"/>
  <c r="Z156" i="1"/>
  <c r="Y156" i="1"/>
  <c r="X156" i="1"/>
  <c r="W156" i="1"/>
  <c r="AB156" i="1" s="1"/>
  <c r="Z155" i="1"/>
  <c r="Y155" i="1"/>
  <c r="X155" i="1"/>
  <c r="W155" i="1"/>
  <c r="AB155" i="1" s="1"/>
  <c r="AD154" i="1"/>
  <c r="Z154" i="1"/>
  <c r="Y154" i="1"/>
  <c r="X154" i="1"/>
  <c r="W154" i="1"/>
  <c r="AB154" i="1" s="1"/>
  <c r="AC154" i="1" s="1"/>
  <c r="AC153" i="1"/>
  <c r="AB153" i="1"/>
  <c r="AD153" i="1" s="1"/>
  <c r="Z153" i="1"/>
  <c r="Y153" i="1"/>
  <c r="X153" i="1"/>
  <c r="W153" i="1"/>
  <c r="AB152" i="1"/>
  <c r="Z152" i="1"/>
  <c r="Y152" i="1"/>
  <c r="X152" i="1"/>
  <c r="W152" i="1"/>
  <c r="Z151" i="1"/>
  <c r="Y151" i="1"/>
  <c r="X151" i="1"/>
  <c r="W151" i="1"/>
  <c r="Z150" i="1"/>
  <c r="Y150" i="1"/>
  <c r="X150" i="1"/>
  <c r="AB150" i="1" s="1"/>
  <c r="W150" i="1"/>
  <c r="Z149" i="1"/>
  <c r="Y149" i="1"/>
  <c r="X149" i="1"/>
  <c r="W149" i="1"/>
  <c r="AB149" i="1" s="1"/>
  <c r="Z148" i="1"/>
  <c r="Y148" i="1"/>
  <c r="X148" i="1"/>
  <c r="W148" i="1"/>
  <c r="AB148" i="1" s="1"/>
  <c r="Z147" i="1"/>
  <c r="Y147" i="1"/>
  <c r="X147" i="1"/>
  <c r="W147" i="1"/>
  <c r="AB147" i="1" s="1"/>
  <c r="Z146" i="1"/>
  <c r="Y146" i="1"/>
  <c r="X146" i="1"/>
  <c r="W146" i="1"/>
  <c r="AB146" i="1" s="1"/>
  <c r="AC146" i="1" s="1"/>
  <c r="AC145" i="1"/>
  <c r="AB145" i="1"/>
  <c r="AD145" i="1" s="1"/>
  <c r="Z145" i="1"/>
  <c r="Y145" i="1"/>
  <c r="X145" i="1"/>
  <c r="W145" i="1"/>
  <c r="AB144" i="1"/>
  <c r="Z144" i="1"/>
  <c r="Y144" i="1"/>
  <c r="X144" i="1"/>
  <c r="W144" i="1"/>
  <c r="Z143" i="1"/>
  <c r="Y143" i="1"/>
  <c r="AB143" i="1" s="1"/>
  <c r="X143" i="1"/>
  <c r="W143" i="1"/>
  <c r="Z142" i="1"/>
  <c r="Y142" i="1"/>
  <c r="X142" i="1"/>
  <c r="AB142" i="1" s="1"/>
  <c r="W142" i="1"/>
  <c r="Z141" i="1"/>
  <c r="Y141" i="1"/>
  <c r="X141" i="1"/>
  <c r="W141" i="1"/>
  <c r="AB141" i="1" s="1"/>
  <c r="Z140" i="1"/>
  <c r="Y140" i="1"/>
  <c r="X140" i="1"/>
  <c r="W140" i="1"/>
  <c r="AB140" i="1" s="1"/>
  <c r="Z139" i="1"/>
  <c r="Y139" i="1"/>
  <c r="X139" i="1"/>
  <c r="W139" i="1"/>
  <c r="AB139" i="1" s="1"/>
  <c r="AD138" i="1"/>
  <c r="Z138" i="1"/>
  <c r="Y138" i="1"/>
  <c r="X138" i="1"/>
  <c r="W138" i="1"/>
  <c r="AB138" i="1" s="1"/>
  <c r="AC138" i="1" s="1"/>
  <c r="AC137" i="1"/>
  <c r="AB137" i="1"/>
  <c r="AD137" i="1" s="1"/>
  <c r="Z137" i="1"/>
  <c r="Y137" i="1"/>
  <c r="X137" i="1"/>
  <c r="W137" i="1"/>
  <c r="AB136" i="1"/>
  <c r="Z136" i="1"/>
  <c r="Y136" i="1"/>
  <c r="X136" i="1"/>
  <c r="W136" i="1"/>
  <c r="G136" i="1"/>
  <c r="AB135" i="1"/>
  <c r="Z135" i="1"/>
  <c r="Y135" i="1"/>
  <c r="X135" i="1"/>
  <c r="W135" i="1"/>
  <c r="G135" i="1"/>
  <c r="AB134" i="1"/>
  <c r="Z134" i="1"/>
  <c r="Y134" i="1"/>
  <c r="X134" i="1"/>
  <c r="W134" i="1"/>
  <c r="G134" i="1"/>
  <c r="AB133" i="1"/>
  <c r="Z133" i="1"/>
  <c r="Y133" i="1"/>
  <c r="X133" i="1"/>
  <c r="W133" i="1"/>
  <c r="S133" i="1"/>
  <c r="G133" i="1"/>
  <c r="AC132" i="1"/>
  <c r="AB132" i="1"/>
  <c r="AD132" i="1" s="1"/>
  <c r="Z132" i="1"/>
  <c r="Y132" i="1"/>
  <c r="X132" i="1"/>
  <c r="W132" i="1"/>
  <c r="G132" i="1"/>
  <c r="AC131" i="1"/>
  <c r="AB131" i="1"/>
  <c r="AD131" i="1" s="1"/>
  <c r="Z131" i="1"/>
  <c r="Y131" i="1"/>
  <c r="X131" i="1"/>
  <c r="W131" i="1"/>
  <c r="S131" i="1"/>
  <c r="G131" i="1"/>
  <c r="AD130" i="1"/>
  <c r="Z130" i="1"/>
  <c r="Y130" i="1"/>
  <c r="X130" i="1"/>
  <c r="W130" i="1"/>
  <c r="AB130" i="1" s="1"/>
  <c r="AC130" i="1" s="1"/>
  <c r="G130" i="1"/>
  <c r="Z129" i="1"/>
  <c r="Y129" i="1"/>
  <c r="X129" i="1"/>
  <c r="W129" i="1"/>
  <c r="AB129" i="1" s="1"/>
  <c r="AC129" i="1" s="1"/>
  <c r="G129" i="1"/>
  <c r="Z128" i="1"/>
  <c r="Y128" i="1"/>
  <c r="X128" i="1"/>
  <c r="W128" i="1"/>
  <c r="AB128" i="1" s="1"/>
  <c r="AC128" i="1" s="1"/>
  <c r="G128" i="1"/>
  <c r="AD127" i="1"/>
  <c r="Z127" i="1"/>
  <c r="Y127" i="1"/>
  <c r="X127" i="1"/>
  <c r="W127" i="1"/>
  <c r="AB127" i="1" s="1"/>
  <c r="AC127" i="1" s="1"/>
  <c r="G127" i="1"/>
  <c r="AD126" i="1"/>
  <c r="Z126" i="1"/>
  <c r="Y126" i="1"/>
  <c r="X126" i="1"/>
  <c r="W126" i="1"/>
  <c r="AB126" i="1" s="1"/>
  <c r="AC126" i="1" s="1"/>
  <c r="G126" i="1"/>
  <c r="Z125" i="1"/>
  <c r="Y125" i="1"/>
  <c r="X125" i="1"/>
  <c r="W125" i="1"/>
  <c r="AB125" i="1" s="1"/>
  <c r="AC125" i="1" s="1"/>
  <c r="G125" i="1"/>
  <c r="Z124" i="1"/>
  <c r="Y124" i="1"/>
  <c r="X124" i="1"/>
  <c r="W124" i="1"/>
  <c r="AB124" i="1" s="1"/>
  <c r="AC124" i="1" s="1"/>
  <c r="G124" i="1"/>
  <c r="AD123" i="1"/>
  <c r="Z123" i="1"/>
  <c r="Y123" i="1"/>
  <c r="X123" i="1"/>
  <c r="W123" i="1"/>
  <c r="AB123" i="1" s="1"/>
  <c r="AC123" i="1" s="1"/>
  <c r="G123" i="1"/>
  <c r="AD122" i="1"/>
  <c r="Z122" i="1"/>
  <c r="Y122" i="1"/>
  <c r="X122" i="1"/>
  <c r="W122" i="1"/>
  <c r="AB122" i="1" s="1"/>
  <c r="AC122" i="1" s="1"/>
  <c r="AC121" i="1"/>
  <c r="Z121" i="1"/>
  <c r="Y121" i="1"/>
  <c r="AB121" i="1" s="1"/>
  <c r="AD121" i="1" s="1"/>
  <c r="X121" i="1"/>
  <c r="W121" i="1"/>
  <c r="AB120" i="1"/>
  <c r="Z120" i="1"/>
  <c r="Y120" i="1"/>
  <c r="X120" i="1"/>
  <c r="W120" i="1"/>
  <c r="Z119" i="1"/>
  <c r="Y119" i="1"/>
  <c r="X119" i="1"/>
  <c r="W119" i="1"/>
  <c r="AB119" i="1" s="1"/>
  <c r="Z118" i="1"/>
  <c r="Y118" i="1"/>
  <c r="X118" i="1"/>
  <c r="AB118" i="1" s="1"/>
  <c r="W118" i="1"/>
  <c r="Z117" i="1"/>
  <c r="Y117" i="1"/>
  <c r="X117" i="1"/>
  <c r="W117" i="1"/>
  <c r="AB117" i="1" s="1"/>
  <c r="Z116" i="1"/>
  <c r="Y116" i="1"/>
  <c r="X116" i="1"/>
  <c r="W116" i="1"/>
  <c r="AB116" i="1" s="1"/>
  <c r="AB115" i="1"/>
  <c r="AD115" i="1" s="1"/>
  <c r="Z115" i="1"/>
  <c r="Y115" i="1"/>
  <c r="X115" i="1"/>
  <c r="W115" i="1"/>
  <c r="Z114" i="1"/>
  <c r="Y114" i="1"/>
  <c r="X114" i="1"/>
  <c r="W114" i="1"/>
  <c r="AB114" i="1" s="1"/>
  <c r="AC114" i="1" s="1"/>
  <c r="AC113" i="1"/>
  <c r="Z113" i="1"/>
  <c r="Y113" i="1"/>
  <c r="AB113" i="1" s="1"/>
  <c r="AD113" i="1" s="1"/>
  <c r="X113" i="1"/>
  <c r="W113" i="1"/>
  <c r="AB112" i="1"/>
  <c r="Z112" i="1"/>
  <c r="Y112" i="1"/>
  <c r="X112" i="1"/>
  <c r="W112" i="1"/>
  <c r="Z111" i="1"/>
  <c r="Y111" i="1"/>
  <c r="X111" i="1"/>
  <c r="W111" i="1"/>
  <c r="AB111" i="1" s="1"/>
  <c r="G111" i="1"/>
  <c r="Z110" i="1"/>
  <c r="Y110" i="1"/>
  <c r="X110" i="1"/>
  <c r="W110" i="1"/>
  <c r="G110" i="1"/>
  <c r="Z109" i="1"/>
  <c r="Y109" i="1"/>
  <c r="X109" i="1"/>
  <c r="W109" i="1"/>
  <c r="G109" i="1"/>
  <c r="Z108" i="1"/>
  <c r="Y108" i="1"/>
  <c r="X108" i="1"/>
  <c r="W108" i="1"/>
  <c r="AB108" i="1" s="1"/>
  <c r="G108" i="1"/>
  <c r="Z107" i="1"/>
  <c r="Y107" i="1"/>
  <c r="X107" i="1"/>
  <c r="W107" i="1"/>
  <c r="AB107" i="1" s="1"/>
  <c r="G107" i="1"/>
  <c r="Z106" i="1"/>
  <c r="Y106" i="1"/>
  <c r="X106" i="1"/>
  <c r="W106" i="1"/>
  <c r="G106" i="1"/>
  <c r="Z105" i="1"/>
  <c r="Y105" i="1"/>
  <c r="X105" i="1"/>
  <c r="W105" i="1"/>
  <c r="AB105" i="1" s="1"/>
  <c r="Z104" i="1"/>
  <c r="Y104" i="1"/>
  <c r="X104" i="1"/>
  <c r="W104" i="1"/>
  <c r="AB104" i="1" s="1"/>
  <c r="Z103" i="1"/>
  <c r="Y103" i="1"/>
  <c r="X103" i="1"/>
  <c r="W103" i="1"/>
  <c r="AB103" i="1" s="1"/>
  <c r="Z102" i="1"/>
  <c r="Y102" i="1"/>
  <c r="X102" i="1"/>
  <c r="W102" i="1"/>
  <c r="AB102" i="1" s="1"/>
  <c r="AB101" i="1"/>
  <c r="AD101" i="1" s="1"/>
  <c r="Z101" i="1"/>
  <c r="Y101" i="1"/>
  <c r="X101" i="1"/>
  <c r="W101" i="1"/>
  <c r="Z100" i="1"/>
  <c r="Y100" i="1"/>
  <c r="X100" i="1"/>
  <c r="W100" i="1"/>
  <c r="AB100" i="1" s="1"/>
  <c r="AC100" i="1" s="1"/>
  <c r="Z99" i="1"/>
  <c r="Y99" i="1"/>
  <c r="AB99" i="1" s="1"/>
  <c r="AD99" i="1" s="1"/>
  <c r="X99" i="1"/>
  <c r="W99" i="1"/>
  <c r="AB98" i="1"/>
  <c r="Z98" i="1"/>
  <c r="Y98" i="1"/>
  <c r="X98" i="1"/>
  <c r="W98" i="1"/>
  <c r="Z97" i="1"/>
  <c r="Y97" i="1"/>
  <c r="X97" i="1"/>
  <c r="W97" i="1"/>
  <c r="AB97" i="1" s="1"/>
  <c r="Z96" i="1"/>
  <c r="Y96" i="1"/>
  <c r="X96" i="1"/>
  <c r="W96" i="1"/>
  <c r="AB96" i="1" s="1"/>
  <c r="Z95" i="1"/>
  <c r="Y95" i="1"/>
  <c r="X95" i="1"/>
  <c r="W95" i="1"/>
  <c r="AB95" i="1" s="1"/>
  <c r="Z94" i="1"/>
  <c r="Y94" i="1"/>
  <c r="X94" i="1"/>
  <c r="W94" i="1"/>
  <c r="AB94" i="1" s="1"/>
  <c r="AB93" i="1"/>
  <c r="AD93" i="1" s="1"/>
  <c r="Z93" i="1"/>
  <c r="Y93" i="1"/>
  <c r="X93" i="1"/>
  <c r="W93" i="1"/>
  <c r="AD92" i="1"/>
  <c r="Z92" i="1"/>
  <c r="Y92" i="1"/>
  <c r="X92" i="1"/>
  <c r="W92" i="1"/>
  <c r="AB92" i="1" s="1"/>
  <c r="AC92" i="1" s="1"/>
  <c r="Z91" i="1"/>
  <c r="Y91" i="1"/>
  <c r="AB91" i="1" s="1"/>
  <c r="AD91" i="1" s="1"/>
  <c r="X91" i="1"/>
  <c r="W91" i="1"/>
  <c r="AB90" i="1"/>
  <c r="Z90" i="1"/>
  <c r="Y90" i="1"/>
  <c r="X90" i="1"/>
  <c r="W90" i="1"/>
  <c r="Z89" i="1"/>
  <c r="Y89" i="1"/>
  <c r="X89" i="1"/>
  <c r="W89" i="1"/>
  <c r="AB89" i="1" s="1"/>
  <c r="Z88" i="1"/>
  <c r="Y88" i="1"/>
  <c r="X88" i="1"/>
  <c r="W88" i="1"/>
  <c r="AB88" i="1" s="1"/>
  <c r="Z87" i="1"/>
  <c r="Y87" i="1"/>
  <c r="X87" i="1"/>
  <c r="W87" i="1"/>
  <c r="AB87" i="1" s="1"/>
  <c r="Z86" i="1"/>
  <c r="Y86" i="1"/>
  <c r="X86" i="1"/>
  <c r="W86" i="1"/>
  <c r="AB86" i="1" s="1"/>
  <c r="AB85" i="1"/>
  <c r="AD85" i="1" s="1"/>
  <c r="Z85" i="1"/>
  <c r="Y85" i="1"/>
  <c r="X85" i="1"/>
  <c r="W85" i="1"/>
  <c r="Z84" i="1"/>
  <c r="Y84" i="1"/>
  <c r="X84" i="1"/>
  <c r="W84" i="1"/>
  <c r="AB84" i="1" s="1"/>
  <c r="AC84" i="1" s="1"/>
  <c r="Z83" i="1"/>
  <c r="Y83" i="1"/>
  <c r="AB83" i="1" s="1"/>
  <c r="AD83" i="1" s="1"/>
  <c r="X83" i="1"/>
  <c r="W83" i="1"/>
  <c r="AB82" i="1"/>
  <c r="Z82" i="1"/>
  <c r="Y82" i="1"/>
  <c r="X82" i="1"/>
  <c r="W82" i="1"/>
  <c r="Z81" i="1"/>
  <c r="Y81" i="1"/>
  <c r="X81" i="1"/>
  <c r="W81" i="1"/>
  <c r="AB81" i="1" s="1"/>
  <c r="Z80" i="1"/>
  <c r="Y80" i="1"/>
  <c r="X80" i="1"/>
  <c r="W80" i="1"/>
  <c r="AB80" i="1" s="1"/>
  <c r="Z79" i="1"/>
  <c r="Y79" i="1"/>
  <c r="X79" i="1"/>
  <c r="W79" i="1"/>
  <c r="AB79" i="1" s="1"/>
  <c r="Z78" i="1"/>
  <c r="Y78" i="1"/>
  <c r="X78" i="1"/>
  <c r="W78" i="1"/>
  <c r="AB78" i="1" s="1"/>
  <c r="AB77" i="1"/>
  <c r="AD77" i="1" s="1"/>
  <c r="Z77" i="1"/>
  <c r="Y77" i="1"/>
  <c r="X77" i="1"/>
  <c r="W77" i="1"/>
  <c r="AD76" i="1"/>
  <c r="Z76" i="1"/>
  <c r="Y76" i="1"/>
  <c r="X76" i="1"/>
  <c r="W76" i="1"/>
  <c r="AB76" i="1" s="1"/>
  <c r="AC76" i="1" s="1"/>
  <c r="Z75" i="1"/>
  <c r="Y75" i="1"/>
  <c r="AB75" i="1" s="1"/>
  <c r="AD75" i="1" s="1"/>
  <c r="X75" i="1"/>
  <c r="W75" i="1"/>
  <c r="AB74" i="1"/>
  <c r="Z74" i="1"/>
  <c r="Y74" i="1"/>
  <c r="X74" i="1"/>
  <c r="W74" i="1"/>
  <c r="Z73" i="1"/>
  <c r="Y73" i="1"/>
  <c r="X73" i="1"/>
  <c r="W73" i="1"/>
  <c r="AB73" i="1" s="1"/>
  <c r="Z72" i="1"/>
  <c r="Y72" i="1"/>
  <c r="X72" i="1"/>
  <c r="W72" i="1"/>
  <c r="AB72" i="1" s="1"/>
  <c r="Z71" i="1"/>
  <c r="Y71" i="1"/>
  <c r="X71" i="1"/>
  <c r="W71" i="1"/>
  <c r="AB71" i="1" s="1"/>
  <c r="Z70" i="1"/>
  <c r="Y70" i="1"/>
  <c r="X70" i="1"/>
  <c r="W70" i="1"/>
  <c r="AB70" i="1" s="1"/>
  <c r="AB69" i="1"/>
  <c r="AD69" i="1" s="1"/>
  <c r="Z69" i="1"/>
  <c r="Y69" i="1"/>
  <c r="X69" i="1"/>
  <c r="W69" i="1"/>
  <c r="Z68" i="1"/>
  <c r="Y68" i="1"/>
  <c r="X68" i="1"/>
  <c r="W68" i="1"/>
  <c r="AB68" i="1" s="1"/>
  <c r="AC68" i="1" s="1"/>
  <c r="Z67" i="1"/>
  <c r="Y67" i="1"/>
  <c r="AB67" i="1" s="1"/>
  <c r="AD67" i="1" s="1"/>
  <c r="X67" i="1"/>
  <c r="W67" i="1"/>
  <c r="AB66" i="1"/>
  <c r="Z66" i="1"/>
  <c r="Y66" i="1"/>
  <c r="X66" i="1"/>
  <c r="W66" i="1"/>
  <c r="Z65" i="1"/>
  <c r="Y65" i="1"/>
  <c r="X65" i="1"/>
  <c r="W65" i="1"/>
  <c r="Z64" i="1"/>
  <c r="Y64" i="1"/>
  <c r="X64" i="1"/>
  <c r="W64" i="1"/>
  <c r="AB64" i="1" s="1"/>
  <c r="Z63" i="1"/>
  <c r="Y63" i="1"/>
  <c r="X63" i="1"/>
  <c r="W63" i="1"/>
  <c r="AB63" i="1" s="1"/>
  <c r="Z62" i="1"/>
  <c r="Y62" i="1"/>
  <c r="X62" i="1"/>
  <c r="W62" i="1"/>
  <c r="AB62" i="1" s="1"/>
  <c r="AB61" i="1"/>
  <c r="AD61" i="1" s="1"/>
  <c r="Z61" i="1"/>
  <c r="Y61" i="1"/>
  <c r="X61" i="1"/>
  <c r="W61" i="1"/>
  <c r="AD60" i="1"/>
  <c r="Z60" i="1"/>
  <c r="Y60" i="1"/>
  <c r="X60" i="1"/>
  <c r="W60" i="1"/>
  <c r="AB60" i="1" s="1"/>
  <c r="AC60" i="1" s="1"/>
  <c r="Z59" i="1"/>
  <c r="Y59" i="1"/>
  <c r="AB59" i="1" s="1"/>
  <c r="AD59" i="1" s="1"/>
  <c r="X59" i="1"/>
  <c r="W59" i="1"/>
  <c r="AB58" i="1"/>
  <c r="Z58" i="1"/>
  <c r="Y58" i="1"/>
  <c r="X58" i="1"/>
  <c r="W58" i="1"/>
  <c r="Z57" i="1"/>
  <c r="Y57" i="1"/>
  <c r="X57" i="1"/>
  <c r="W57" i="1"/>
  <c r="AB57" i="1" s="1"/>
  <c r="Z56" i="1"/>
  <c r="Y56" i="1"/>
  <c r="X56" i="1"/>
  <c r="W56" i="1"/>
  <c r="AB56" i="1" s="1"/>
  <c r="Z55" i="1"/>
  <c r="Y55" i="1"/>
  <c r="X55" i="1"/>
  <c r="W55" i="1"/>
  <c r="AB55" i="1" s="1"/>
  <c r="AC55" i="1" s="1"/>
  <c r="Z54" i="1"/>
  <c r="Y54" i="1"/>
  <c r="X54" i="1"/>
  <c r="W54" i="1"/>
  <c r="AB54" i="1" s="1"/>
  <c r="AD54" i="1" s="1"/>
  <c r="AB53" i="1"/>
  <c r="Z53" i="1"/>
  <c r="Y53" i="1"/>
  <c r="X53" i="1"/>
  <c r="W53" i="1"/>
  <c r="AD52" i="1"/>
  <c r="Z52" i="1"/>
  <c r="Y52" i="1"/>
  <c r="X52" i="1"/>
  <c r="W52" i="1"/>
  <c r="AB52" i="1" s="1"/>
  <c r="AC52" i="1" s="1"/>
  <c r="AC51" i="1"/>
  <c r="Z51" i="1"/>
  <c r="Y51" i="1"/>
  <c r="AB51" i="1" s="1"/>
  <c r="AD51" i="1" s="1"/>
  <c r="X51" i="1"/>
  <c r="W51" i="1"/>
  <c r="Z50" i="1"/>
  <c r="Y50" i="1"/>
  <c r="X50" i="1"/>
  <c r="AB50" i="1" s="1"/>
  <c r="W50" i="1"/>
  <c r="Z49" i="1"/>
  <c r="Y49" i="1"/>
  <c r="X49" i="1"/>
  <c r="W49" i="1"/>
  <c r="Z48" i="1"/>
  <c r="Y48" i="1"/>
  <c r="X48" i="1"/>
  <c r="W48" i="1"/>
  <c r="Z47" i="1"/>
  <c r="Y47" i="1"/>
  <c r="X47" i="1"/>
  <c r="W47" i="1"/>
  <c r="Z46" i="1"/>
  <c r="Y46" i="1"/>
  <c r="X46" i="1"/>
  <c r="W46" i="1"/>
  <c r="AB46" i="1" s="1"/>
  <c r="AD46" i="1" s="1"/>
  <c r="AB45" i="1"/>
  <c r="AC45" i="1" s="1"/>
  <c r="Z45" i="1"/>
  <c r="Y45" i="1"/>
  <c r="X45" i="1"/>
  <c r="W45" i="1"/>
  <c r="AC44" i="1"/>
  <c r="Z44" i="1"/>
  <c r="Y44" i="1"/>
  <c r="X44" i="1"/>
  <c r="W44" i="1"/>
  <c r="AB44" i="1" s="1"/>
  <c r="AD44" i="1" s="1"/>
  <c r="AC43" i="1"/>
  <c r="AB43" i="1"/>
  <c r="AD43" i="1" s="1"/>
  <c r="Z43" i="1"/>
  <c r="Y43" i="1"/>
  <c r="X43" i="1"/>
  <c r="W43" i="1"/>
  <c r="Z42" i="1"/>
  <c r="Y42" i="1"/>
  <c r="X42" i="1"/>
  <c r="AB42" i="1" s="1"/>
  <c r="W42" i="1"/>
  <c r="Z41" i="1"/>
  <c r="Y41" i="1"/>
  <c r="X41" i="1"/>
  <c r="W41" i="1"/>
  <c r="AB41" i="1" s="1"/>
  <c r="Z40" i="1"/>
  <c r="Y40" i="1"/>
  <c r="X40" i="1"/>
  <c r="W40" i="1"/>
  <c r="AB40" i="1" s="1"/>
  <c r="AD39" i="1"/>
  <c r="Z39" i="1"/>
  <c r="Y39" i="1"/>
  <c r="X39" i="1"/>
  <c r="W39" i="1"/>
  <c r="AB39" i="1" s="1"/>
  <c r="AC39" i="1" s="1"/>
  <c r="AC38" i="1"/>
  <c r="Z38" i="1"/>
  <c r="Y38" i="1"/>
  <c r="X38" i="1"/>
  <c r="W38" i="1"/>
  <c r="AB38" i="1" s="1"/>
  <c r="AD38" i="1" s="1"/>
  <c r="AD37" i="1"/>
  <c r="AB37" i="1"/>
  <c r="AC37" i="1" s="1"/>
  <c r="Z37" i="1"/>
  <c r="Y37" i="1"/>
  <c r="X37" i="1"/>
  <c r="W37" i="1"/>
  <c r="Z36" i="1"/>
  <c r="Y36" i="1"/>
  <c r="X36" i="1"/>
  <c r="W36" i="1"/>
  <c r="AB36" i="1" s="1"/>
  <c r="AD36" i="1" s="1"/>
  <c r="Z35" i="1"/>
  <c r="Y35" i="1"/>
  <c r="AB35" i="1" s="1"/>
  <c r="X35" i="1"/>
  <c r="W35" i="1"/>
  <c r="AB34" i="1"/>
  <c r="Z34" i="1"/>
  <c r="Y34" i="1"/>
  <c r="X34" i="1"/>
  <c r="W34" i="1"/>
  <c r="Z33" i="1"/>
  <c r="Y33" i="1"/>
  <c r="X33" i="1"/>
  <c r="W33" i="1"/>
  <c r="AB33" i="1" s="1"/>
  <c r="Z32" i="1"/>
  <c r="Y32" i="1"/>
  <c r="X32" i="1"/>
  <c r="W32" i="1"/>
  <c r="AB32" i="1" s="1"/>
  <c r="Z31" i="1"/>
  <c r="Y31" i="1"/>
  <c r="X31" i="1"/>
  <c r="W31" i="1"/>
  <c r="AB31" i="1" s="1"/>
  <c r="AC31" i="1" s="1"/>
  <c r="Z30" i="1"/>
  <c r="Y30" i="1"/>
  <c r="X30" i="1"/>
  <c r="W30" i="1"/>
  <c r="AB30" i="1" s="1"/>
  <c r="AD30" i="1" s="1"/>
  <c r="AB29" i="1"/>
  <c r="AC29" i="1" s="1"/>
  <c r="Z29" i="1"/>
  <c r="Y29" i="1"/>
  <c r="X29" i="1"/>
  <c r="W29" i="1"/>
  <c r="AD28" i="1"/>
  <c r="AC28" i="1"/>
  <c r="Z28" i="1"/>
  <c r="Y28" i="1"/>
  <c r="X28" i="1"/>
  <c r="W28" i="1"/>
  <c r="AB28" i="1" s="1"/>
  <c r="AB27" i="1"/>
  <c r="AD27" i="1" s="1"/>
  <c r="Z27" i="1"/>
  <c r="Y27" i="1"/>
  <c r="X27" i="1"/>
  <c r="W27" i="1"/>
  <c r="Z26" i="1"/>
  <c r="Y26" i="1"/>
  <c r="X26" i="1"/>
  <c r="AB26" i="1" s="1"/>
  <c r="W26" i="1"/>
  <c r="Z25" i="1"/>
  <c r="Y25" i="1"/>
  <c r="X25" i="1"/>
  <c r="W25" i="1"/>
  <c r="AB24" i="1"/>
  <c r="Z24" i="1"/>
  <c r="Y24" i="1"/>
  <c r="X24" i="1"/>
  <c r="W24" i="1"/>
  <c r="Z23" i="1"/>
  <c r="Y23" i="1"/>
  <c r="X23" i="1"/>
  <c r="W23" i="1"/>
  <c r="AD22" i="1"/>
  <c r="Z22" i="1"/>
  <c r="Y22" i="1"/>
  <c r="X22" i="1"/>
  <c r="W22" i="1"/>
  <c r="AB22" i="1" s="1"/>
  <c r="AC22" i="1" s="1"/>
  <c r="AB21" i="1"/>
  <c r="AD21" i="1" s="1"/>
  <c r="Z21" i="1"/>
  <c r="Y21" i="1"/>
  <c r="X21" i="1"/>
  <c r="W21" i="1"/>
  <c r="Z20" i="1"/>
  <c r="Y20" i="1"/>
  <c r="X20" i="1"/>
  <c r="W20" i="1"/>
  <c r="AB20" i="1" s="1"/>
  <c r="AC19" i="1"/>
  <c r="AB19" i="1"/>
  <c r="AD19" i="1" s="1"/>
  <c r="Z19" i="1"/>
  <c r="Y19" i="1"/>
  <c r="X19" i="1"/>
  <c r="W19" i="1"/>
  <c r="AB18" i="1"/>
  <c r="AC18" i="1" s="1"/>
  <c r="Z18" i="1"/>
  <c r="Y18" i="1"/>
  <c r="X18" i="1"/>
  <c r="W18" i="1"/>
  <c r="Z17" i="1"/>
  <c r="Y17" i="1"/>
  <c r="X17" i="1"/>
  <c r="W17" i="1"/>
  <c r="G17" i="1"/>
  <c r="D17" i="1"/>
  <c r="Z16" i="1"/>
  <c r="Y16" i="1"/>
  <c r="X16" i="1"/>
  <c r="AB16" i="1" s="1"/>
  <c r="AD16" i="1" s="1"/>
  <c r="W16" i="1"/>
  <c r="D16" i="1"/>
  <c r="G16" i="1" s="1"/>
  <c r="Z15" i="1"/>
  <c r="AB15" i="1" s="1"/>
  <c r="Y15" i="1"/>
  <c r="X15" i="1"/>
  <c r="W15" i="1"/>
  <c r="G15" i="1"/>
  <c r="D15" i="1"/>
  <c r="AB14" i="1"/>
  <c r="AD14" i="1" s="1"/>
  <c r="Z14" i="1"/>
  <c r="Y14" i="1"/>
  <c r="X14" i="1"/>
  <c r="W14" i="1"/>
  <c r="D14" i="1"/>
  <c r="G14" i="1" s="1"/>
  <c r="Z13" i="1"/>
  <c r="Y13" i="1"/>
  <c r="X13" i="1"/>
  <c r="AB13" i="1" s="1"/>
  <c r="AD13" i="1" s="1"/>
  <c r="W13" i="1"/>
  <c r="D13" i="1"/>
  <c r="G13" i="1" s="1"/>
  <c r="AC13" i="1" s="1"/>
  <c r="Z12" i="1"/>
  <c r="Y12" i="1"/>
  <c r="X12" i="1"/>
  <c r="W12" i="1"/>
  <c r="D12" i="1"/>
  <c r="G12" i="1" s="1"/>
  <c r="Z11" i="1"/>
  <c r="Y11" i="1"/>
  <c r="X11" i="1"/>
  <c r="W11" i="1"/>
  <c r="D11" i="1"/>
  <c r="G11" i="1" s="1"/>
  <c r="Z10" i="1"/>
  <c r="Y10" i="1"/>
  <c r="X10" i="1"/>
  <c r="AB10" i="1" s="1"/>
  <c r="AD10" i="1" s="1"/>
  <c r="W10" i="1"/>
  <c r="D10" i="1"/>
  <c r="G10" i="1" s="1"/>
  <c r="Z9" i="1"/>
  <c r="Y9" i="1"/>
  <c r="X9" i="1"/>
  <c r="AB9" i="1" s="1"/>
  <c r="W9" i="1"/>
  <c r="G9" i="1"/>
  <c r="D9" i="1"/>
  <c r="Z8" i="1"/>
  <c r="Y8" i="1"/>
  <c r="X8" i="1"/>
  <c r="W8" i="1"/>
  <c r="AB8" i="1" s="1"/>
  <c r="D8" i="1"/>
  <c r="G8" i="1" s="1"/>
  <c r="Z7" i="1"/>
  <c r="Y7" i="1"/>
  <c r="X7" i="1"/>
  <c r="AB7" i="1" s="1"/>
  <c r="W7" i="1"/>
  <c r="G7" i="1"/>
  <c r="D7" i="1"/>
  <c r="Z6" i="1"/>
  <c r="Y6" i="1"/>
  <c r="X6" i="1"/>
  <c r="W6" i="1"/>
  <c r="AB6" i="1" s="1"/>
  <c r="AD6" i="1" s="1"/>
  <c r="D6" i="1"/>
  <c r="G6" i="1" s="1"/>
  <c r="AC6" i="1" s="1"/>
  <c r="AB5" i="1"/>
  <c r="AD5" i="1" s="1"/>
  <c r="Z5" i="1"/>
  <c r="Y5" i="1"/>
  <c r="X5" i="1"/>
  <c r="W5" i="1"/>
  <c r="G5" i="1"/>
  <c r="AC5" i="1" s="1"/>
  <c r="D5" i="1"/>
  <c r="Z4" i="1"/>
  <c r="Y4" i="1"/>
  <c r="X4" i="1"/>
  <c r="W4" i="1"/>
  <c r="AB4" i="1" s="1"/>
  <c r="AD4" i="1" s="1"/>
  <c r="D4" i="1"/>
  <c r="G4" i="1" s="1"/>
  <c r="AD9" i="1" l="1"/>
  <c r="AC9" i="1"/>
  <c r="AC4" i="1"/>
  <c r="AD8" i="1"/>
  <c r="AC8" i="1"/>
  <c r="AD20" i="1"/>
  <c r="AC20" i="1"/>
  <c r="AD50" i="1"/>
  <c r="AC50" i="1"/>
  <c r="AC10" i="1"/>
  <c r="AD15" i="1"/>
  <c r="AC15" i="1"/>
  <c r="AD7" i="1"/>
  <c r="AC7" i="1"/>
  <c r="AC26" i="1"/>
  <c r="AD26" i="1"/>
  <c r="AD42" i="1"/>
  <c r="AC42" i="1"/>
  <c r="AD35" i="1"/>
  <c r="AC35" i="1"/>
  <c r="AD33" i="1"/>
  <c r="AC33" i="1"/>
  <c r="AD57" i="1"/>
  <c r="AC57" i="1"/>
  <c r="AD58" i="1"/>
  <c r="AC58" i="1"/>
  <c r="AD62" i="1"/>
  <c r="AC62" i="1"/>
  <c r="AD64" i="1"/>
  <c r="AC64" i="1"/>
  <c r="AD71" i="1"/>
  <c r="AC71" i="1"/>
  <c r="AD73" i="1"/>
  <c r="AC73" i="1"/>
  <c r="AD74" i="1"/>
  <c r="AC74" i="1"/>
  <c r="AD78" i="1"/>
  <c r="AC78" i="1"/>
  <c r="AD80" i="1"/>
  <c r="AC80" i="1"/>
  <c r="AD87" i="1"/>
  <c r="AC87" i="1"/>
  <c r="AD89" i="1"/>
  <c r="AC89" i="1"/>
  <c r="AD90" i="1"/>
  <c r="AC90" i="1"/>
  <c r="AD94" i="1"/>
  <c r="AC94" i="1"/>
  <c r="AD96" i="1"/>
  <c r="AC96" i="1"/>
  <c r="AD103" i="1"/>
  <c r="AC103" i="1"/>
  <c r="AD105" i="1"/>
  <c r="AC105" i="1"/>
  <c r="AD114" i="1"/>
  <c r="AD124" i="1"/>
  <c r="AD128" i="1"/>
  <c r="AD134" i="1"/>
  <c r="AC134" i="1"/>
  <c r="AD139" i="1"/>
  <c r="AC139" i="1"/>
  <c r="AD141" i="1"/>
  <c r="AC141" i="1"/>
  <c r="AD144" i="1"/>
  <c r="AC144" i="1"/>
  <c r="AD148" i="1"/>
  <c r="AC148" i="1"/>
  <c r="AD155" i="1"/>
  <c r="AC155" i="1"/>
  <c r="AB157" i="1"/>
  <c r="AB163" i="1"/>
  <c r="AD163" i="1" s="1"/>
  <c r="AD300" i="1"/>
  <c r="AC300" i="1"/>
  <c r="AD302" i="1"/>
  <c r="AC302" i="1"/>
  <c r="AD18" i="1"/>
  <c r="AD34" i="1"/>
  <c r="AC34" i="1"/>
  <c r="AC46" i="1"/>
  <c r="AD29" i="1"/>
  <c r="AD41" i="1"/>
  <c r="AC41" i="1"/>
  <c r="AB47" i="1"/>
  <c r="AD53" i="1"/>
  <c r="AC53" i="1"/>
  <c r="AC67" i="1"/>
  <c r="AC83" i="1"/>
  <c r="AC99" i="1"/>
  <c r="AB110" i="1"/>
  <c r="AD150" i="1"/>
  <c r="AC150" i="1"/>
  <c r="AC162" i="1"/>
  <c r="AC168" i="1"/>
  <c r="AC200" i="1"/>
  <c r="AC223" i="1"/>
  <c r="AD223" i="1"/>
  <c r="AC250" i="1"/>
  <c r="AD250" i="1"/>
  <c r="AD256" i="1"/>
  <c r="AC256" i="1"/>
  <c r="AD169" i="1"/>
  <c r="AC169" i="1"/>
  <c r="AB49" i="1"/>
  <c r="AD107" i="1"/>
  <c r="AC107" i="1"/>
  <c r="AD117" i="1"/>
  <c r="AC117" i="1"/>
  <c r="AD119" i="1"/>
  <c r="AC119" i="1"/>
  <c r="AD120" i="1"/>
  <c r="AC120" i="1"/>
  <c r="AD133" i="1"/>
  <c r="AC133" i="1"/>
  <c r="AD143" i="1"/>
  <c r="AC143" i="1"/>
  <c r="AD205" i="1"/>
  <c r="AC205" i="1"/>
  <c r="AD249" i="1"/>
  <c r="AC249" i="1"/>
  <c r="AC284" i="1"/>
  <c r="AD284" i="1"/>
  <c r="AD118" i="1"/>
  <c r="AC118" i="1"/>
  <c r="AD219" i="1"/>
  <c r="AC219" i="1"/>
  <c r="AC14" i="1"/>
  <c r="AC21" i="1"/>
  <c r="AB23" i="1"/>
  <c r="AD31" i="1"/>
  <c r="AC36" i="1"/>
  <c r="AD45" i="1"/>
  <c r="AD55" i="1"/>
  <c r="AD146" i="1"/>
  <c r="AC207" i="1"/>
  <c r="AD207" i="1"/>
  <c r="AC209" i="1"/>
  <c r="AD209" i="1"/>
  <c r="AC211" i="1"/>
  <c r="AD211" i="1"/>
  <c r="AC221" i="1"/>
  <c r="AD221" i="1"/>
  <c r="AD254" i="1"/>
  <c r="AC254" i="1"/>
  <c r="AD56" i="1"/>
  <c r="AC56" i="1"/>
  <c r="AD63" i="1"/>
  <c r="AC63" i="1"/>
  <c r="AB65" i="1"/>
  <c r="AD66" i="1"/>
  <c r="AC66" i="1"/>
  <c r="AD70" i="1"/>
  <c r="AC70" i="1"/>
  <c r="AD72" i="1"/>
  <c r="AC72" i="1"/>
  <c r="AD79" i="1"/>
  <c r="AC79" i="1"/>
  <c r="AD81" i="1"/>
  <c r="AC81" i="1"/>
  <c r="AD82" i="1"/>
  <c r="AC82" i="1"/>
  <c r="AD86" i="1"/>
  <c r="AC86" i="1"/>
  <c r="AD88" i="1"/>
  <c r="AC88" i="1"/>
  <c r="AD95" i="1"/>
  <c r="AC95" i="1"/>
  <c r="AD97" i="1"/>
  <c r="AC97" i="1"/>
  <c r="AD98" i="1"/>
  <c r="AC98" i="1"/>
  <c r="AD102" i="1"/>
  <c r="AC102" i="1"/>
  <c r="AD104" i="1"/>
  <c r="AC104" i="1"/>
  <c r="AB109" i="1"/>
  <c r="AD136" i="1"/>
  <c r="AC136" i="1"/>
  <c r="AD140" i="1"/>
  <c r="AC140" i="1"/>
  <c r="AD147" i="1"/>
  <c r="AC147" i="1"/>
  <c r="AD149" i="1"/>
  <c r="AC149" i="1"/>
  <c r="AD152" i="1"/>
  <c r="AC152" i="1"/>
  <c r="AD156" i="1"/>
  <c r="AC156" i="1"/>
  <c r="AC161" i="1"/>
  <c r="AC196" i="1"/>
  <c r="AD220" i="1"/>
  <c r="AC220" i="1"/>
  <c r="AD236" i="1"/>
  <c r="AC236" i="1"/>
  <c r="AD208" i="1"/>
  <c r="AC208" i="1"/>
  <c r="AD24" i="1"/>
  <c r="AC24" i="1"/>
  <c r="AD32" i="1"/>
  <c r="AC32" i="1"/>
  <c r="AC16" i="1"/>
  <c r="AB25" i="1"/>
  <c r="AC27" i="1"/>
  <c r="AD40" i="1"/>
  <c r="AC40" i="1"/>
  <c r="AC59" i="1"/>
  <c r="AC75" i="1"/>
  <c r="AC91" i="1"/>
  <c r="AB106" i="1"/>
  <c r="AD142" i="1"/>
  <c r="AC142" i="1"/>
  <c r="AB158" i="1"/>
  <c r="AC215" i="1"/>
  <c r="AD215" i="1"/>
  <c r="AC231" i="1"/>
  <c r="AD231" i="1"/>
  <c r="AD259" i="1"/>
  <c r="AC259" i="1"/>
  <c r="AD108" i="1"/>
  <c r="AC108" i="1"/>
  <c r="AD204" i="1"/>
  <c r="AC204" i="1"/>
  <c r="AB11" i="1"/>
  <c r="AD11" i="1" s="1"/>
  <c r="AB12" i="1"/>
  <c r="AD12" i="1" s="1"/>
  <c r="AB17" i="1"/>
  <c r="AC30" i="1"/>
  <c r="AB48" i="1"/>
  <c r="AC54" i="1"/>
  <c r="AD68" i="1"/>
  <c r="AD84" i="1"/>
  <c r="AD100" i="1"/>
  <c r="AD111" i="1"/>
  <c r="AC111" i="1"/>
  <c r="AD112" i="1"/>
  <c r="AC112" i="1"/>
  <c r="AD116" i="1"/>
  <c r="AC116" i="1"/>
  <c r="AD125" i="1"/>
  <c r="AD129" i="1"/>
  <c r="AD135" i="1"/>
  <c r="AC135" i="1"/>
  <c r="AB151" i="1"/>
  <c r="AC163" i="1"/>
  <c r="AB167" i="1"/>
  <c r="AD167" i="1" s="1"/>
  <c r="AC172" i="1"/>
  <c r="AC201" i="1"/>
  <c r="AD238" i="1"/>
  <c r="AC238" i="1"/>
  <c r="AC224" i="1"/>
  <c r="AC257" i="1"/>
  <c r="AD260" i="1"/>
  <c r="AD277" i="1"/>
  <c r="AC277" i="1"/>
  <c r="AD279" i="1"/>
  <c r="AC279" i="1"/>
  <c r="AD286" i="1"/>
  <c r="AC286" i="1"/>
  <c r="AD293" i="1"/>
  <c r="AC293" i="1"/>
  <c r="AD295" i="1"/>
  <c r="AC295" i="1"/>
  <c r="AD311" i="1"/>
  <c r="AC311" i="1"/>
  <c r="AC329" i="1"/>
  <c r="AD329" i="1"/>
  <c r="AC333" i="1"/>
  <c r="AD333" i="1"/>
  <c r="AC335" i="1"/>
  <c r="AD335" i="1"/>
  <c r="AB191" i="1"/>
  <c r="AD191" i="1" s="1"/>
  <c r="AB199" i="1"/>
  <c r="AD199" i="1" s="1"/>
  <c r="AC212" i="1"/>
  <c r="AD229" i="1"/>
  <c r="AC242" i="1"/>
  <c r="AD246" i="1"/>
  <c r="AC246" i="1"/>
  <c r="AD261" i="1"/>
  <c r="AC261" i="1"/>
  <c r="AB263" i="1"/>
  <c r="AD270" i="1"/>
  <c r="AC270" i="1"/>
  <c r="AC282" i="1"/>
  <c r="AD282" i="1"/>
  <c r="AB306" i="1"/>
  <c r="AC331" i="1"/>
  <c r="AD331" i="1"/>
  <c r="AB210" i="1"/>
  <c r="AB235" i="1"/>
  <c r="AD252" i="1"/>
  <c r="AC266" i="1"/>
  <c r="AD266" i="1"/>
  <c r="AC275" i="1"/>
  <c r="AD281" i="1"/>
  <c r="AC281" i="1"/>
  <c r="AC291" i="1"/>
  <c r="AD299" i="1"/>
  <c r="AC299" i="1"/>
  <c r="AC315" i="1"/>
  <c r="AD315" i="1"/>
  <c r="AC317" i="1"/>
  <c r="AD317" i="1"/>
  <c r="AD326" i="1"/>
  <c r="AC326" i="1"/>
  <c r="AC339" i="1"/>
  <c r="AD339" i="1"/>
  <c r="AB178" i="1"/>
  <c r="AB186" i="1"/>
  <c r="AB190" i="1"/>
  <c r="AB194" i="1"/>
  <c r="AB198" i="1"/>
  <c r="AB202" i="1"/>
  <c r="AB206" i="1"/>
  <c r="AB216" i="1"/>
  <c r="AC228" i="1"/>
  <c r="AB237" i="1"/>
  <c r="AB253" i="1"/>
  <c r="AB255" i="1"/>
  <c r="AD265" i="1"/>
  <c r="AC265" i="1"/>
  <c r="AD272" i="1"/>
  <c r="AC272" i="1"/>
  <c r="AD232" i="1"/>
  <c r="AC232" i="1"/>
  <c r="AD278" i="1"/>
  <c r="AC278" i="1"/>
  <c r="AD285" i="1"/>
  <c r="AC285" i="1"/>
  <c r="AD287" i="1"/>
  <c r="AC287" i="1"/>
  <c r="AD294" i="1"/>
  <c r="AC294" i="1"/>
  <c r="AD301" i="1"/>
  <c r="AC301" i="1"/>
  <c r="AD310" i="1"/>
  <c r="AC310" i="1"/>
  <c r="AD330" i="1"/>
  <c r="AC330" i="1"/>
  <c r="AD347" i="1"/>
  <c r="AC347" i="1"/>
  <c r="AC61" i="1"/>
  <c r="AC69" i="1"/>
  <c r="AC77" i="1"/>
  <c r="AC85" i="1"/>
  <c r="AC93" i="1"/>
  <c r="AC101" i="1"/>
  <c r="AC115" i="1"/>
  <c r="AB173" i="1"/>
  <c r="AD173" i="1" s="1"/>
  <c r="AB177" i="1"/>
  <c r="AD177" i="1" s="1"/>
  <c r="AB181" i="1"/>
  <c r="AD181" i="1" s="1"/>
  <c r="AB185" i="1"/>
  <c r="AD185" i="1" s="1"/>
  <c r="AB193" i="1"/>
  <c r="AD193" i="1" s="1"/>
  <c r="AB197" i="1"/>
  <c r="AD197" i="1" s="1"/>
  <c r="AB201" i="1"/>
  <c r="AD201" i="1" s="1"/>
  <c r="AD203" i="1"/>
  <c r="AB218" i="1"/>
  <c r="AC234" i="1"/>
  <c r="AB245" i="1"/>
  <c r="AB247" i="1"/>
  <c r="AD248" i="1"/>
  <c r="AC248" i="1"/>
  <c r="AD262" i="1"/>
  <c r="AC262" i="1"/>
  <c r="AD269" i="1"/>
  <c r="AC269" i="1"/>
  <c r="AB271" i="1"/>
  <c r="AC274" i="1"/>
  <c r="AD274" i="1"/>
  <c r="AC290" i="1"/>
  <c r="AD290" i="1"/>
  <c r="AC297" i="1"/>
  <c r="AD297" i="1"/>
  <c r="AC305" i="1"/>
  <c r="AD305" i="1"/>
  <c r="AC308" i="1"/>
  <c r="AD308" i="1"/>
  <c r="AC313" i="1"/>
  <c r="AD313" i="1"/>
  <c r="AD319" i="1"/>
  <c r="AC319" i="1"/>
  <c r="AC325" i="1"/>
  <c r="AD325" i="1"/>
  <c r="AB226" i="1"/>
  <c r="AD227" i="1"/>
  <c r="AC227" i="1"/>
  <c r="AB234" i="1"/>
  <c r="AD234" i="1" s="1"/>
  <c r="AD273" i="1"/>
  <c r="AC273" i="1"/>
  <c r="AD289" i="1"/>
  <c r="AC289" i="1"/>
  <c r="AD298" i="1"/>
  <c r="AC298" i="1"/>
  <c r="AC303" i="1"/>
  <c r="AD303" i="1"/>
  <c r="AD307" i="1"/>
  <c r="AC307" i="1"/>
  <c r="AC323" i="1"/>
  <c r="AD323" i="1"/>
  <c r="AD342" i="1"/>
  <c r="AC342" i="1"/>
  <c r="AD354" i="1"/>
  <c r="AC354" i="1"/>
  <c r="AD359" i="1"/>
  <c r="AC359" i="1"/>
  <c r="AD375" i="1"/>
  <c r="AC375" i="1"/>
  <c r="AD379" i="1"/>
  <c r="AC379" i="1"/>
  <c r="AC381" i="1"/>
  <c r="AD381" i="1"/>
  <c r="AD394" i="1"/>
  <c r="AC394" i="1"/>
  <c r="AC264" i="1"/>
  <c r="AC280" i="1"/>
  <c r="AC288" i="1"/>
  <c r="AD337" i="1"/>
  <c r="AC340" i="1"/>
  <c r="AD345" i="1"/>
  <c r="AD356" i="1"/>
  <c r="AC356" i="1"/>
  <c r="AB358" i="1"/>
  <c r="AD396" i="1"/>
  <c r="AC396" i="1"/>
  <c r="AD346" i="1"/>
  <c r="AC346" i="1"/>
  <c r="AC352" i="1"/>
  <c r="AD361" i="1"/>
  <c r="AD371" i="1"/>
  <c r="AC371" i="1"/>
  <c r="AC373" i="1"/>
  <c r="AD373" i="1"/>
  <c r="AD386" i="1"/>
  <c r="AC386" i="1"/>
  <c r="AD399" i="1"/>
  <c r="AC399" i="1"/>
  <c r="AD403" i="1"/>
  <c r="AC403" i="1"/>
  <c r="AD407" i="1"/>
  <c r="AC407" i="1"/>
  <c r="AD411" i="1"/>
  <c r="AC411" i="1"/>
  <c r="AC413" i="1"/>
  <c r="AD413" i="1"/>
  <c r="AC318" i="1"/>
  <c r="AB320" i="1"/>
  <c r="AB324" i="1"/>
  <c r="AC336" i="1"/>
  <c r="AD362" i="1"/>
  <c r="AC362" i="1"/>
  <c r="AD367" i="1"/>
  <c r="AC367" i="1"/>
  <c r="AD388" i="1"/>
  <c r="AC388" i="1"/>
  <c r="AC314" i="1"/>
  <c r="AC344" i="1"/>
  <c r="AD349" i="1"/>
  <c r="AD355" i="1"/>
  <c r="AC355" i="1"/>
  <c r="AB357" i="1"/>
  <c r="AD364" i="1"/>
  <c r="AC364" i="1"/>
  <c r="AD366" i="1"/>
  <c r="AC366" i="1"/>
  <c r="AD378" i="1"/>
  <c r="AC378" i="1"/>
  <c r="AD391" i="1"/>
  <c r="AC391" i="1"/>
  <c r="AD395" i="1"/>
  <c r="AC395" i="1"/>
  <c r="AB397" i="1"/>
  <c r="AC405" i="1"/>
  <c r="AD405" i="1"/>
  <c r="AC332" i="1"/>
  <c r="AB334" i="1"/>
  <c r="AD351" i="1"/>
  <c r="AC351" i="1"/>
  <c r="AC360" i="1"/>
  <c r="AD369" i="1"/>
  <c r="AD380" i="1"/>
  <c r="AC380" i="1"/>
  <c r="AD350" i="1"/>
  <c r="AC350" i="1"/>
  <c r="AD370" i="1"/>
  <c r="AC370" i="1"/>
  <c r="AD383" i="1"/>
  <c r="AC383" i="1"/>
  <c r="AD387" i="1"/>
  <c r="AC387" i="1"/>
  <c r="AC389" i="1"/>
  <c r="AD389" i="1"/>
  <c r="AD402" i="1"/>
  <c r="AC402" i="1"/>
  <c r="AD410" i="1"/>
  <c r="AC410" i="1"/>
  <c r="AC316" i="1"/>
  <c r="AB322" i="1"/>
  <c r="AD343" i="1"/>
  <c r="AC343" i="1"/>
  <c r="AC348" i="1"/>
  <c r="AD363" i="1"/>
  <c r="AC363" i="1"/>
  <c r="AC365" i="1"/>
  <c r="AD365" i="1"/>
  <c r="AD372" i="1"/>
  <c r="AC372" i="1"/>
  <c r="AD412" i="1"/>
  <c r="AC412" i="1"/>
  <c r="A339" i="7"/>
  <c r="A435" i="7"/>
  <c r="D304" i="7"/>
  <c r="B436" i="7"/>
  <c r="A306" i="7"/>
  <c r="B407" i="7"/>
  <c r="B279" i="7"/>
  <c r="D345" i="7"/>
  <c r="B146" i="7"/>
  <c r="C309" i="7"/>
  <c r="C388" i="7"/>
  <c r="D167" i="7"/>
  <c r="B384" i="7"/>
  <c r="C165" i="7"/>
  <c r="D315" i="7"/>
  <c r="B131" i="7"/>
  <c r="A321" i="7"/>
  <c r="D414" i="7"/>
  <c r="D286" i="7"/>
  <c r="A416" i="7"/>
  <c r="A288" i="7"/>
  <c r="B389" i="7"/>
  <c r="B261" i="7"/>
  <c r="D309" i="7"/>
  <c r="B128" i="7"/>
  <c r="C273" i="7"/>
  <c r="C352" i="7"/>
  <c r="D149" i="7"/>
  <c r="B348" i="7"/>
  <c r="C147" i="7"/>
  <c r="D279" i="7"/>
  <c r="B433" i="7"/>
  <c r="A303" i="7"/>
  <c r="D396" i="7"/>
  <c r="D268" i="7"/>
  <c r="A398" i="7"/>
  <c r="A270" i="7"/>
  <c r="B371" i="7"/>
  <c r="B243" i="7"/>
  <c r="D273" i="7"/>
  <c r="B110" i="7"/>
  <c r="C237" i="7"/>
  <c r="C316" i="7"/>
  <c r="D131" i="7"/>
  <c r="B312" i="7"/>
  <c r="C129" i="7"/>
  <c r="D243" i="7"/>
  <c r="A413" i="7"/>
  <c r="A285" i="7"/>
  <c r="D378" i="7"/>
  <c r="D250" i="7"/>
  <c r="A380" i="7"/>
  <c r="A252" i="7"/>
  <c r="B353" i="7"/>
  <c r="B225" i="7"/>
  <c r="D237" i="7"/>
  <c r="B92" i="7"/>
  <c r="A206" i="7"/>
  <c r="C280" i="7"/>
  <c r="D113" i="7"/>
  <c r="B276" i="7"/>
  <c r="C111" i="7"/>
  <c r="B210" i="7"/>
  <c r="A395" i="7"/>
  <c r="A267" i="7"/>
  <c r="D360" i="7"/>
  <c r="D232" i="7"/>
  <c r="A362" i="7"/>
  <c r="A234" i="7"/>
  <c r="B335" i="7"/>
  <c r="B207" i="7"/>
  <c r="B206" i="7"/>
  <c r="B422" i="7"/>
  <c r="A184" i="7"/>
  <c r="C244" i="7"/>
  <c r="D95" i="7"/>
  <c r="B240" i="7"/>
  <c r="A430" i="7"/>
  <c r="D187" i="7"/>
  <c r="A377" i="7"/>
  <c r="A249" i="7"/>
  <c r="D342" i="7"/>
  <c r="D214" i="7"/>
  <c r="A344" i="7"/>
  <c r="A216" i="7"/>
  <c r="B317" i="7"/>
  <c r="C422" i="7"/>
  <c r="B184" i="7"/>
  <c r="C385" i="7"/>
  <c r="A166" i="7"/>
  <c r="A211" i="7"/>
  <c r="D77" i="7"/>
  <c r="A208" i="7"/>
  <c r="D391" i="7"/>
  <c r="B169" i="7"/>
  <c r="A359" i="7"/>
  <c r="A231" i="7"/>
  <c r="D324" i="7"/>
  <c r="D196" i="7"/>
  <c r="A326" i="7"/>
  <c r="C429" i="7"/>
  <c r="B299" i="7"/>
  <c r="D385" i="7"/>
  <c r="B166" i="7"/>
  <c r="C349" i="7"/>
  <c r="D430" i="7"/>
  <c r="B188" i="7"/>
  <c r="D425" i="7"/>
  <c r="D185" i="7"/>
  <c r="D355" i="7"/>
  <c r="B151" i="7"/>
  <c r="A276" i="7"/>
  <c r="B324" i="7"/>
  <c r="C339" i="7"/>
  <c r="C410" i="7"/>
  <c r="D178" i="7"/>
  <c r="C89" i="7"/>
  <c r="A365" i="3"/>
  <c r="A86" i="7"/>
  <c r="B360" i="3"/>
  <c r="C82" i="7"/>
  <c r="A356" i="3"/>
  <c r="C88" i="7"/>
  <c r="B363" i="3"/>
  <c r="A77" i="7"/>
  <c r="A347" i="3"/>
  <c r="C74" i="7"/>
  <c r="A323" i="7"/>
  <c r="D416" i="7"/>
  <c r="D288" i="7"/>
  <c r="A418" i="7"/>
  <c r="A290" i="7"/>
  <c r="B391" i="7"/>
  <c r="B263" i="7"/>
  <c r="D313" i="7"/>
  <c r="B130" i="7"/>
  <c r="C277" i="7"/>
  <c r="C356" i="7"/>
  <c r="D151" i="7"/>
  <c r="B352" i="7"/>
  <c r="C149" i="7"/>
  <c r="D283" i="7"/>
  <c r="B435" i="7"/>
  <c r="A305" i="7"/>
  <c r="D398" i="7"/>
  <c r="D270" i="7"/>
  <c r="A400" i="7"/>
  <c r="A272" i="7"/>
  <c r="B373" i="7"/>
  <c r="B245" i="7"/>
  <c r="D277" i="7"/>
  <c r="B112" i="7"/>
  <c r="C241" i="7"/>
  <c r="C320" i="7"/>
  <c r="D133" i="7"/>
  <c r="B316" i="7"/>
  <c r="C131" i="7"/>
  <c r="D247" i="7"/>
  <c r="A415" i="7"/>
  <c r="A287" i="7"/>
  <c r="D380" i="7"/>
  <c r="D252" i="7"/>
  <c r="A382" i="7"/>
  <c r="A254" i="7"/>
  <c r="B355" i="7"/>
  <c r="B227" i="7"/>
  <c r="D241" i="7"/>
  <c r="B94" i="7"/>
  <c r="C208" i="7"/>
  <c r="C284" i="7"/>
  <c r="D115" i="7"/>
  <c r="B280" i="7"/>
  <c r="C113" i="7"/>
  <c r="A213" i="7"/>
  <c r="A397" i="7"/>
  <c r="A269" i="7"/>
  <c r="D362" i="7"/>
  <c r="D234" i="7"/>
  <c r="A364" i="7"/>
  <c r="A236" i="7"/>
  <c r="B337" i="7"/>
  <c r="B209" i="7"/>
  <c r="A209" i="7"/>
  <c r="B427" i="7"/>
  <c r="B186" i="7"/>
  <c r="C248" i="7"/>
  <c r="D97" i="7"/>
  <c r="B244" i="7"/>
  <c r="C434" i="7"/>
  <c r="A190" i="7"/>
  <c r="A379" i="7"/>
  <c r="A251" i="7"/>
  <c r="D344" i="7"/>
  <c r="D216" i="7"/>
  <c r="A346" i="7"/>
  <c r="A218" i="7"/>
  <c r="B319" i="7"/>
  <c r="C427" i="7"/>
  <c r="C186" i="7"/>
  <c r="C389" i="7"/>
  <c r="A168" i="7"/>
  <c r="D213" i="7"/>
  <c r="D79" i="7"/>
  <c r="C210" i="7"/>
  <c r="D395" i="7"/>
  <c r="B171" i="7"/>
  <c r="A361" i="7"/>
  <c r="A233" i="7"/>
  <c r="D326" i="7"/>
  <c r="D198" i="7"/>
  <c r="A328" i="7"/>
  <c r="C431" i="7"/>
  <c r="B301" i="7"/>
  <c r="D389" i="7"/>
  <c r="B168" i="7"/>
  <c r="C353" i="7"/>
  <c r="A436" i="7"/>
  <c r="C190" i="7"/>
  <c r="C430" i="7"/>
  <c r="A188" i="7"/>
  <c r="D359" i="7"/>
  <c r="B153" i="7"/>
  <c r="A343" i="7"/>
  <c r="B439" i="7"/>
  <c r="D308" i="7"/>
  <c r="C438" i="7"/>
  <c r="A310" i="7"/>
  <c r="B411" i="7"/>
  <c r="B283" i="7"/>
  <c r="D353" i="7"/>
  <c r="B150" i="7"/>
  <c r="C317" i="7"/>
  <c r="C396" i="7"/>
  <c r="D171" i="7"/>
  <c r="B392" i="7"/>
  <c r="C169" i="7"/>
  <c r="D323" i="7"/>
  <c r="B135" i="7"/>
  <c r="B377" i="7"/>
  <c r="C135" i="7"/>
  <c r="C307" i="7"/>
  <c r="C378" i="7"/>
  <c r="D162" i="7"/>
  <c r="A69" i="7"/>
  <c r="A333" i="3"/>
  <c r="C66" i="7"/>
  <c r="B328" i="3"/>
  <c r="A64" i="7"/>
  <c r="A324" i="3"/>
  <c r="B68" i="7"/>
  <c r="B331" i="3"/>
  <c r="C59" i="7"/>
  <c r="A315" i="3"/>
  <c r="B57" i="7"/>
  <c r="B437" i="7"/>
  <c r="A307" i="7"/>
  <c r="D400" i="7"/>
  <c r="D272" i="7"/>
  <c r="A402" i="7"/>
  <c r="A274" i="7"/>
  <c r="B375" i="7"/>
  <c r="B247" i="7"/>
  <c r="D281" i="7"/>
  <c r="B114" i="7"/>
  <c r="C245" i="7"/>
  <c r="C324" i="7"/>
  <c r="D135" i="7"/>
  <c r="B320" i="7"/>
  <c r="C133" i="7"/>
  <c r="D251" i="7"/>
  <c r="A417" i="7"/>
  <c r="A289" i="7"/>
  <c r="D382" i="7"/>
  <c r="D254" i="7"/>
  <c r="A384" i="7"/>
  <c r="A256" i="7"/>
  <c r="B357" i="7"/>
  <c r="B229" i="7"/>
  <c r="D245" i="7"/>
  <c r="B96" i="7"/>
  <c r="C211" i="7"/>
  <c r="C288" i="7"/>
  <c r="D117" i="7"/>
  <c r="B284" i="7"/>
  <c r="C115" i="7"/>
  <c r="D215" i="7"/>
  <c r="A399" i="7"/>
  <c r="A271" i="7"/>
  <c r="D364" i="7"/>
  <c r="D236" i="7"/>
  <c r="A366" i="7"/>
  <c r="A238" i="7"/>
  <c r="B339" i="7"/>
  <c r="B211" i="7"/>
  <c r="D211" i="7"/>
  <c r="D431" i="7"/>
  <c r="C188" i="7"/>
  <c r="C252" i="7"/>
  <c r="D99" i="7"/>
  <c r="B248" i="7"/>
  <c r="C97" i="7"/>
  <c r="B192" i="7"/>
  <c r="A381" i="7"/>
  <c r="A253" i="7"/>
  <c r="D346" i="7"/>
  <c r="D218" i="7"/>
  <c r="A348" i="7"/>
  <c r="A220" i="7"/>
  <c r="B321" i="7"/>
  <c r="A432" i="7"/>
  <c r="A189" i="7"/>
  <c r="C393" i="7"/>
  <c r="A170" i="7"/>
  <c r="C216" i="7"/>
  <c r="D81" i="7"/>
  <c r="C213" i="7"/>
  <c r="D399" i="7"/>
  <c r="B173" i="7"/>
  <c r="A363" i="7"/>
  <c r="A235" i="7"/>
  <c r="D328" i="7"/>
  <c r="D200" i="7"/>
  <c r="A330" i="7"/>
  <c r="C433" i="7"/>
  <c r="B303" i="7"/>
  <c r="D393" i="7"/>
  <c r="B170" i="7"/>
  <c r="C357" i="7"/>
  <c r="A152" i="7"/>
  <c r="A193" i="7"/>
  <c r="D434" i="7"/>
  <c r="B190" i="7"/>
  <c r="D363" i="7"/>
  <c r="B155" i="7"/>
  <c r="A345" i="7"/>
  <c r="A217" i="7"/>
  <c r="D310" i="7"/>
  <c r="A439" i="7"/>
  <c r="A312" i="7"/>
  <c r="B413" i="7"/>
  <c r="B285" i="7"/>
  <c r="D357" i="7"/>
  <c r="B152" i="7"/>
  <c r="C321" i="7"/>
  <c r="C400" i="7"/>
  <c r="D173" i="7"/>
  <c r="B396" i="7"/>
  <c r="C171" i="7"/>
  <c r="D327" i="7"/>
  <c r="B137" i="7"/>
  <c r="A327" i="7"/>
  <c r="C421" i="7"/>
  <c r="D292" i="7"/>
  <c r="A423" i="7"/>
  <c r="A294" i="7"/>
  <c r="B395" i="7"/>
  <c r="B267" i="7"/>
  <c r="D321" i="7"/>
  <c r="B134" i="7"/>
  <c r="C285" i="7"/>
  <c r="C364" i="7"/>
  <c r="D155" i="7"/>
  <c r="B360" i="7"/>
  <c r="C153" i="7"/>
  <c r="D291" i="7"/>
  <c r="B119" i="7"/>
  <c r="B249" i="7"/>
  <c r="D255" i="7"/>
  <c r="C275" i="7"/>
  <c r="C346" i="7"/>
  <c r="D146" i="7"/>
  <c r="C52" i="7"/>
  <c r="A301" i="3"/>
  <c r="B50" i="7"/>
  <c r="B296" i="3"/>
  <c r="A48" i="7"/>
  <c r="A292" i="3"/>
  <c r="D51" i="7"/>
  <c r="B299" i="3"/>
  <c r="C43" i="7"/>
  <c r="A283" i="3"/>
  <c r="B419" i="7"/>
  <c r="A291" i="7"/>
  <c r="D384" i="7"/>
  <c r="D256" i="7"/>
  <c r="A386" i="7"/>
  <c r="A258" i="7"/>
  <c r="B359" i="7"/>
  <c r="B231" i="7"/>
  <c r="D249" i="7"/>
  <c r="B98" i="7"/>
  <c r="A214" i="7"/>
  <c r="C292" i="7"/>
  <c r="D119" i="7"/>
  <c r="B288" i="7"/>
  <c r="C117" i="7"/>
  <c r="D219" i="7"/>
  <c r="A401" i="7"/>
  <c r="A273" i="7"/>
  <c r="D366" i="7"/>
  <c r="D238" i="7"/>
  <c r="A368" i="7"/>
  <c r="A240" i="7"/>
  <c r="B341" i="7"/>
  <c r="B213" i="7"/>
  <c r="B214" i="7"/>
  <c r="C436" i="7"/>
  <c r="A191" i="7"/>
  <c r="C256" i="7"/>
  <c r="D101" i="7"/>
  <c r="B252" i="7"/>
  <c r="C99" i="7"/>
  <c r="C194" i="7"/>
  <c r="A383" i="7"/>
  <c r="A255" i="7"/>
  <c r="D348" i="7"/>
  <c r="D220" i="7"/>
  <c r="A350" i="7"/>
  <c r="A222" i="7"/>
  <c r="B323" i="7"/>
  <c r="D436" i="7"/>
  <c r="B191" i="7"/>
  <c r="C397" i="7"/>
  <c r="A172" i="7"/>
  <c r="C220" i="7"/>
  <c r="D83" i="7"/>
  <c r="B216" i="7"/>
  <c r="D403" i="7"/>
  <c r="B175" i="7"/>
  <c r="A365" i="7"/>
  <c r="A237" i="7"/>
  <c r="D330" i="7"/>
  <c r="D202" i="7"/>
  <c r="A332" i="7"/>
  <c r="C435" i="7"/>
  <c r="B305" i="7"/>
  <c r="D397" i="7"/>
  <c r="B172" i="7"/>
  <c r="C361" i="7"/>
  <c r="A154" i="7"/>
  <c r="B195" i="7"/>
  <c r="D65" i="7"/>
  <c r="C192" i="7"/>
  <c r="D367" i="7"/>
  <c r="B157" i="7"/>
  <c r="A347" i="7"/>
  <c r="A219" i="7"/>
  <c r="D312" i="7"/>
  <c r="D184" i="7"/>
  <c r="A314" i="7"/>
  <c r="B415" i="7"/>
  <c r="B287" i="7"/>
  <c r="D361" i="7"/>
  <c r="B154" i="7"/>
  <c r="C325" i="7"/>
  <c r="C404" i="7"/>
  <c r="D175" i="7"/>
  <c r="B400" i="7"/>
  <c r="C173" i="7"/>
  <c r="D331" i="7"/>
  <c r="B139" i="7"/>
  <c r="A329" i="7"/>
  <c r="A424" i="7"/>
  <c r="D294" i="7"/>
  <c r="C425" i="7"/>
  <c r="A296" i="7"/>
  <c r="B397" i="7"/>
  <c r="B269" i="7"/>
  <c r="D325" i="7"/>
  <c r="B136" i="7"/>
  <c r="C289" i="7"/>
  <c r="C368" i="7"/>
  <c r="D157" i="7"/>
  <c r="B364" i="7"/>
  <c r="C155" i="7"/>
  <c r="D295" i="7"/>
  <c r="B121" i="7"/>
  <c r="A311" i="7"/>
  <c r="D404" i="7"/>
  <c r="D276" i="7"/>
  <c r="A406" i="7"/>
  <c r="A278" i="7"/>
  <c r="B379" i="7"/>
  <c r="B251" i="7"/>
  <c r="D289" i="7"/>
  <c r="B118" i="7"/>
  <c r="C253" i="7"/>
  <c r="C332" i="7"/>
  <c r="D139" i="7"/>
  <c r="B328" i="7"/>
  <c r="C137" i="7"/>
  <c r="D259" i="7"/>
  <c r="C439" i="7"/>
  <c r="D285" i="7"/>
  <c r="B115" i="7"/>
  <c r="C243" i="7"/>
  <c r="C314" i="7"/>
  <c r="D130" i="7"/>
  <c r="C36" i="7"/>
  <c r="A269" i="3"/>
  <c r="B34" i="7"/>
  <c r="B264" i="3"/>
  <c r="A32" i="7"/>
  <c r="A260" i="3"/>
  <c r="D35" i="7"/>
  <c r="B267" i="3"/>
  <c r="C27" i="7"/>
  <c r="A251" i="3"/>
  <c r="A387" i="7"/>
  <c r="A259" i="7"/>
  <c r="D352" i="7"/>
  <c r="D224" i="7"/>
  <c r="A354" i="7"/>
  <c r="A226" i="7"/>
  <c r="B327" i="7"/>
  <c r="B199" i="7"/>
  <c r="D195" i="7"/>
  <c r="C405" i="7"/>
  <c r="A176" i="7"/>
  <c r="C228" i="7"/>
  <c r="D87" i="7"/>
  <c r="B224" i="7"/>
  <c r="D411" i="7"/>
  <c r="B179" i="7"/>
  <c r="A369" i="7"/>
  <c r="A241" i="7"/>
  <c r="D334" i="7"/>
  <c r="D206" i="7"/>
  <c r="A336" i="7"/>
  <c r="D433" i="7"/>
  <c r="B309" i="7"/>
  <c r="D405" i="7"/>
  <c r="B176" i="7"/>
  <c r="C369" i="7"/>
  <c r="A158" i="7"/>
  <c r="B200" i="7"/>
  <c r="D69" i="7"/>
  <c r="C197" i="7"/>
  <c r="D375" i="7"/>
  <c r="B161" i="7"/>
  <c r="A351" i="7"/>
  <c r="A223" i="7"/>
  <c r="D316" i="7"/>
  <c r="D188" i="7"/>
  <c r="A318" i="7"/>
  <c r="C419" i="7"/>
  <c r="B291" i="7"/>
  <c r="D369" i="7"/>
  <c r="B158" i="7"/>
  <c r="C333" i="7"/>
  <c r="C412" i="7"/>
  <c r="D179" i="7"/>
  <c r="B408" i="7"/>
  <c r="C177" i="7"/>
  <c r="D339" i="7"/>
  <c r="B143" i="7"/>
  <c r="A333" i="7"/>
  <c r="A429" i="7"/>
  <c r="D298" i="7"/>
  <c r="B430" i="7"/>
  <c r="A300" i="7"/>
  <c r="B401" i="7"/>
  <c r="B273" i="7"/>
  <c r="D333" i="7"/>
  <c r="B140" i="7"/>
  <c r="C297" i="7"/>
  <c r="C376" i="7"/>
  <c r="D161" i="7"/>
  <c r="B372" i="7"/>
  <c r="C159" i="7"/>
  <c r="D303" i="7"/>
  <c r="B125" i="7"/>
  <c r="A315" i="7"/>
  <c r="D408" i="7"/>
  <c r="D280" i="7"/>
  <c r="A410" i="7"/>
  <c r="A282" i="7"/>
  <c r="B383" i="7"/>
  <c r="B255" i="7"/>
  <c r="D297" i="7"/>
  <c r="B122" i="7"/>
  <c r="C261" i="7"/>
  <c r="C340" i="7"/>
  <c r="D143" i="7"/>
  <c r="B336" i="7"/>
  <c r="C141" i="7"/>
  <c r="D267" i="7"/>
  <c r="C426" i="7"/>
  <c r="A297" i="7"/>
  <c r="D390" i="7"/>
  <c r="D262" i="7"/>
  <c r="A392" i="7"/>
  <c r="A264" i="7"/>
  <c r="B365" i="7"/>
  <c r="B237" i="7"/>
  <c r="D261" i="7"/>
  <c r="B104" i="7"/>
  <c r="C225" i="7"/>
  <c r="C304" i="7"/>
  <c r="D125" i="7"/>
  <c r="B300" i="7"/>
  <c r="C123" i="7"/>
  <c r="D231" i="7"/>
  <c r="A407" i="7"/>
  <c r="A279" i="7"/>
  <c r="D372" i="7"/>
  <c r="D244" i="7"/>
  <c r="A374" i="7"/>
  <c r="A246" i="7"/>
  <c r="B347" i="7"/>
  <c r="B219" i="7"/>
  <c r="D225" i="7"/>
  <c r="B86" i="7"/>
  <c r="A198" i="7"/>
  <c r="C268" i="7"/>
  <c r="D107" i="7"/>
  <c r="B264" i="7"/>
  <c r="C105" i="7"/>
  <c r="B202" i="7"/>
  <c r="D402" i="7"/>
  <c r="C249" i="7"/>
  <c r="B83" i="7"/>
  <c r="A192" i="7"/>
  <c r="C250" i="7"/>
  <c r="D98" i="7"/>
  <c r="C4" i="7"/>
  <c r="B428" i="7"/>
  <c r="B2" i="7"/>
  <c r="B390" i="7"/>
  <c r="Z2" i="5"/>
  <c r="A196" i="3"/>
  <c r="D3" i="7"/>
  <c r="B318" i="7"/>
  <c r="G2" i="5"/>
  <c r="B282" i="7"/>
  <c r="A371" i="7"/>
  <c r="A243" i="7"/>
  <c r="D336" i="7"/>
  <c r="D208" i="7"/>
  <c r="A338" i="7"/>
  <c r="D435" i="7"/>
  <c r="B311" i="7"/>
  <c r="D409" i="7"/>
  <c r="B178" i="7"/>
  <c r="C373" i="7"/>
  <c r="A160" i="7"/>
  <c r="A203" i="7"/>
  <c r="D71" i="7"/>
  <c r="A200" i="7"/>
  <c r="D379" i="7"/>
  <c r="B163" i="7"/>
  <c r="A353" i="7"/>
  <c r="A225" i="7"/>
  <c r="D318" i="7"/>
  <c r="D190" i="7"/>
  <c r="A320" i="7"/>
  <c r="A422" i="7"/>
  <c r="B293" i="7"/>
  <c r="D373" i="7"/>
  <c r="B160" i="7"/>
  <c r="C337" i="7"/>
  <c r="C416" i="7"/>
  <c r="D181" i="7"/>
  <c r="B412" i="7"/>
  <c r="C179" i="7"/>
  <c r="D343" i="7"/>
  <c r="B145" i="7"/>
  <c r="A335" i="7"/>
  <c r="A431" i="7"/>
  <c r="D300" i="7"/>
  <c r="B432" i="7"/>
  <c r="A302" i="7"/>
  <c r="B403" i="7"/>
  <c r="B275" i="7"/>
  <c r="D337" i="7"/>
  <c r="B142" i="7"/>
  <c r="C301" i="7"/>
  <c r="C380" i="7"/>
  <c r="D163" i="7"/>
  <c r="B376" i="7"/>
  <c r="C161" i="7"/>
  <c r="D307" i="7"/>
  <c r="B127" i="7"/>
  <c r="A317" i="7"/>
  <c r="D410" i="7"/>
  <c r="D282" i="7"/>
  <c r="A412" i="7"/>
  <c r="A284" i="7"/>
  <c r="B385" i="7"/>
  <c r="B257" i="7"/>
  <c r="D301" i="7"/>
  <c r="B124" i="7"/>
  <c r="C265" i="7"/>
  <c r="C344" i="7"/>
  <c r="D145" i="7"/>
  <c r="B340" i="7"/>
  <c r="C143" i="7"/>
  <c r="D271" i="7"/>
  <c r="B429" i="7"/>
  <c r="A299" i="7"/>
  <c r="D392" i="7"/>
  <c r="D264" i="7"/>
  <c r="A394" i="7"/>
  <c r="A266" i="7"/>
  <c r="B367" i="7"/>
  <c r="B239" i="7"/>
  <c r="D265" i="7"/>
  <c r="B106" i="7"/>
  <c r="C229" i="7"/>
  <c r="C308" i="7"/>
  <c r="D127" i="7"/>
  <c r="B304" i="7"/>
  <c r="C125" i="7"/>
  <c r="D235" i="7"/>
  <c r="A409" i="7"/>
  <c r="A281" i="7"/>
  <c r="D374" i="7"/>
  <c r="D246" i="7"/>
  <c r="A376" i="7"/>
  <c r="A248" i="7"/>
  <c r="B349" i="7"/>
  <c r="B221" i="7"/>
  <c r="D229" i="7"/>
  <c r="B88" i="7"/>
  <c r="C200" i="7"/>
  <c r="C272" i="7"/>
  <c r="D109" i="7"/>
  <c r="B268" i="7"/>
  <c r="C107" i="7"/>
  <c r="A205" i="7"/>
  <c r="A391" i="7"/>
  <c r="A263" i="7"/>
  <c r="D356" i="7"/>
  <c r="D228" i="7"/>
  <c r="A358" i="7"/>
  <c r="A230" i="7"/>
  <c r="B331" i="7"/>
  <c r="B203" i="7"/>
  <c r="A201" i="7"/>
  <c r="C413" i="7"/>
  <c r="A180" i="7"/>
  <c r="C236" i="7"/>
  <c r="D91" i="7"/>
  <c r="B232" i="7"/>
  <c r="B420" i="7"/>
  <c r="B183" i="7"/>
  <c r="D274" i="7"/>
  <c r="C328" i="7"/>
  <c r="C403" i="7"/>
  <c r="A175" i="7"/>
  <c r="C218" i="7"/>
  <c r="C209" i="7"/>
  <c r="A429" i="3"/>
  <c r="A187" i="7"/>
  <c r="B424" i="3"/>
  <c r="C168" i="7"/>
  <c r="A420" i="3"/>
  <c r="C201" i="7"/>
  <c r="B427" i="3"/>
  <c r="A146" i="7"/>
  <c r="A411" i="3"/>
  <c r="A140" i="7"/>
  <c r="A275" i="7"/>
  <c r="A242" i="7"/>
  <c r="B82" i="7"/>
  <c r="B256" i="7"/>
  <c r="A257" i="7"/>
  <c r="A224" i="7"/>
  <c r="C401" i="7"/>
  <c r="B220" i="7"/>
  <c r="A239" i="7"/>
  <c r="C437" i="7"/>
  <c r="C365" i="7"/>
  <c r="A195" i="7"/>
  <c r="A221" i="7"/>
  <c r="B417" i="7"/>
  <c r="C329" i="7"/>
  <c r="C175" i="7"/>
  <c r="B426" i="7"/>
  <c r="B399" i="7"/>
  <c r="C293" i="7"/>
  <c r="C157" i="7"/>
  <c r="D406" i="7"/>
  <c r="B381" i="7"/>
  <c r="C257" i="7"/>
  <c r="C139" i="7"/>
  <c r="D388" i="7"/>
  <c r="B363" i="7"/>
  <c r="C221" i="7"/>
  <c r="C121" i="7"/>
  <c r="B99" i="7"/>
  <c r="C20" i="7"/>
  <c r="A16" i="7"/>
  <c r="C11" i="7"/>
  <c r="A388" i="7"/>
  <c r="D121" i="7"/>
  <c r="C367" i="7"/>
  <c r="A157" i="7"/>
  <c r="A194" i="7"/>
  <c r="A122" i="7"/>
  <c r="A393" i="3"/>
  <c r="A116" i="7"/>
  <c r="B388" i="3"/>
  <c r="A110" i="7"/>
  <c r="A384" i="3"/>
  <c r="A120" i="7"/>
  <c r="B391" i="3"/>
  <c r="A98" i="7"/>
  <c r="A375" i="3"/>
  <c r="A94" i="7"/>
  <c r="A244" i="7"/>
  <c r="B260" i="7"/>
  <c r="C331" i="7"/>
  <c r="C402" i="7"/>
  <c r="D174" i="7"/>
  <c r="A83" i="7"/>
  <c r="A357" i="3"/>
  <c r="B80" i="7"/>
  <c r="B352" i="3"/>
  <c r="C77" i="7"/>
  <c r="A348" i="3"/>
  <c r="A82" i="7"/>
  <c r="B355" i="3"/>
  <c r="C72" i="7"/>
  <c r="A339" i="3"/>
  <c r="A70" i="7"/>
  <c r="B329" i="7"/>
  <c r="D415" i="7"/>
  <c r="C295" i="7"/>
  <c r="C366" i="7"/>
  <c r="D156" i="7"/>
  <c r="C62" i="7"/>
  <c r="A321" i="3"/>
  <c r="B60" i="7"/>
  <c r="B316" i="3"/>
  <c r="A58" i="7"/>
  <c r="A312" i="3"/>
  <c r="D61" i="7"/>
  <c r="B319" i="3"/>
  <c r="C53" i="7"/>
  <c r="A303" i="3"/>
  <c r="B51" i="7"/>
  <c r="D413" i="7"/>
  <c r="B165" i="7"/>
  <c r="C259" i="7"/>
  <c r="C330" i="7"/>
  <c r="D138" i="7"/>
  <c r="C44" i="7"/>
  <c r="A285" i="3"/>
  <c r="B42" i="7"/>
  <c r="B280" i="3"/>
  <c r="A40" i="7"/>
  <c r="A276" i="3"/>
  <c r="D43" i="7"/>
  <c r="B283" i="3"/>
  <c r="C35" i="7"/>
  <c r="A267" i="3"/>
  <c r="A357" i="7"/>
  <c r="B164" i="7"/>
  <c r="B105" i="7"/>
  <c r="C223" i="7"/>
  <c r="C294" i="7"/>
  <c r="D120" i="7"/>
  <c r="C26" i="7"/>
  <c r="A249" i="3"/>
  <c r="B24" i="7"/>
  <c r="B244" i="3"/>
  <c r="A22" i="7"/>
  <c r="A240" i="3"/>
  <c r="D25" i="7"/>
  <c r="B247" i="3"/>
  <c r="C17" i="7"/>
  <c r="A231" i="3"/>
  <c r="A437" i="7"/>
  <c r="C313" i="7"/>
  <c r="B87" i="7"/>
  <c r="C196" i="7"/>
  <c r="C258" i="7"/>
  <c r="D102" i="7"/>
  <c r="C8" i="7"/>
  <c r="A213" i="3"/>
  <c r="B6" i="7"/>
  <c r="B208" i="3"/>
  <c r="A4" i="7"/>
  <c r="A204" i="3"/>
  <c r="D7" i="7"/>
  <c r="B382" i="7"/>
  <c r="X2" i="5"/>
  <c r="B346" i="7"/>
  <c r="A227" i="7"/>
  <c r="C424" i="7"/>
  <c r="C341" i="7"/>
  <c r="C181" i="7"/>
  <c r="A433" i="7"/>
  <c r="B405" i="7"/>
  <c r="C305" i="7"/>
  <c r="C163" i="7"/>
  <c r="D412" i="7"/>
  <c r="B387" i="7"/>
  <c r="C269" i="7"/>
  <c r="C145" i="7"/>
  <c r="D394" i="7"/>
  <c r="B369" i="7"/>
  <c r="C233" i="7"/>
  <c r="C127" i="7"/>
  <c r="D376" i="7"/>
  <c r="B351" i="7"/>
  <c r="C203" i="7"/>
  <c r="C109" i="7"/>
  <c r="D358" i="7"/>
  <c r="B333" i="7"/>
  <c r="A182" i="7"/>
  <c r="B425" i="7"/>
  <c r="D340" i="7"/>
  <c r="B315" i="7"/>
  <c r="A164" i="7"/>
  <c r="D387" i="7"/>
  <c r="C371" i="7"/>
  <c r="A397" i="3"/>
  <c r="A388" i="3"/>
  <c r="A379" i="3"/>
  <c r="A260" i="7"/>
  <c r="B292" i="7"/>
  <c r="C335" i="7"/>
  <c r="C406" i="7"/>
  <c r="D176" i="7"/>
  <c r="C86" i="7"/>
  <c r="A361" i="3"/>
  <c r="D82" i="7"/>
  <c r="B356" i="3"/>
  <c r="A80" i="7"/>
  <c r="A352" i="3"/>
  <c r="A85" i="7"/>
  <c r="B359" i="3"/>
  <c r="D74" i="7"/>
  <c r="A343" i="3"/>
  <c r="B72" i="7"/>
  <c r="B345" i="7"/>
  <c r="C103" i="7"/>
  <c r="C299" i="7"/>
  <c r="C370" i="7"/>
  <c r="D158" i="7"/>
  <c r="C64" i="7"/>
  <c r="A325" i="3"/>
  <c r="B62" i="7"/>
  <c r="B320" i="3"/>
  <c r="A60" i="7"/>
  <c r="A316" i="3"/>
  <c r="D63" i="7"/>
  <c r="B323" i="3"/>
  <c r="C55" i="7"/>
  <c r="A307" i="3"/>
  <c r="B53" i="7"/>
  <c r="B201" i="7"/>
  <c r="B181" i="7"/>
  <c r="C263" i="7"/>
  <c r="C334" i="7"/>
  <c r="D140" i="7"/>
  <c r="C46" i="7"/>
  <c r="A289" i="3"/>
  <c r="B44" i="7"/>
  <c r="B284" i="3"/>
  <c r="A42" i="7"/>
  <c r="A280" i="3"/>
  <c r="D45" i="7"/>
  <c r="B287" i="3"/>
  <c r="C37" i="7"/>
  <c r="A271" i="3"/>
  <c r="A373" i="7"/>
  <c r="B180" i="7"/>
  <c r="B107" i="7"/>
  <c r="C227" i="7"/>
  <c r="C298" i="7"/>
  <c r="D122" i="7"/>
  <c r="C28" i="7"/>
  <c r="A253" i="3"/>
  <c r="B26" i="7"/>
  <c r="B248" i="3"/>
  <c r="A24" i="7"/>
  <c r="A244" i="3"/>
  <c r="D27" i="7"/>
  <c r="B251" i="3"/>
  <c r="C19" i="7"/>
  <c r="A235" i="3"/>
  <c r="A229" i="7"/>
  <c r="C345" i="7"/>
  <c r="B89" i="7"/>
  <c r="C199" i="7"/>
  <c r="C262" i="7"/>
  <c r="D104" i="7"/>
  <c r="C10" i="7"/>
  <c r="A217" i="3"/>
  <c r="B8" i="7"/>
  <c r="B212" i="3"/>
  <c r="A6" i="7"/>
  <c r="A208" i="3"/>
  <c r="D9" i="7"/>
  <c r="B414" i="7"/>
  <c r="C1" i="7"/>
  <c r="B378" i="7"/>
  <c r="D306" i="7"/>
  <c r="C392" i="7"/>
  <c r="C411" i="7"/>
  <c r="A179" i="7"/>
  <c r="C226" i="7"/>
  <c r="B270" i="7"/>
  <c r="A437" i="3"/>
  <c r="B234" i="7"/>
  <c r="B432" i="3"/>
  <c r="A204" i="7"/>
  <c r="A428" i="3"/>
  <c r="B258" i="7"/>
  <c r="B435" i="3"/>
  <c r="C164" i="7"/>
  <c r="A419" i="3"/>
  <c r="C150" i="7"/>
  <c r="D368" i="7"/>
  <c r="B343" i="7"/>
  <c r="B193" i="7"/>
  <c r="C101" i="7"/>
  <c r="D350" i="7"/>
  <c r="B325" i="7"/>
  <c r="A174" i="7"/>
  <c r="D407" i="7"/>
  <c r="D332" i="7"/>
  <c r="B307" i="7"/>
  <c r="A156" i="7"/>
  <c r="D371" i="7"/>
  <c r="D314" i="7"/>
  <c r="B289" i="7"/>
  <c r="C408" i="7"/>
  <c r="D335" i="7"/>
  <c r="D296" i="7"/>
  <c r="B271" i="7"/>
  <c r="C372" i="7"/>
  <c r="D299" i="7"/>
  <c r="D278" i="7"/>
  <c r="B253" i="7"/>
  <c r="C336" i="7"/>
  <c r="D263" i="7"/>
  <c r="D260" i="7"/>
  <c r="B235" i="7"/>
  <c r="C300" i="7"/>
  <c r="D227" i="7"/>
  <c r="C212" i="7"/>
  <c r="A237" i="3"/>
  <c r="A228" i="3"/>
  <c r="A219" i="3"/>
  <c r="B361" i="7"/>
  <c r="C119" i="7"/>
  <c r="C303" i="7"/>
  <c r="C374" i="7"/>
  <c r="D160" i="7"/>
  <c r="D66" i="7"/>
  <c r="A329" i="3"/>
  <c r="B64" i="7"/>
  <c r="B324" i="3"/>
  <c r="A62" i="7"/>
  <c r="A320" i="3"/>
  <c r="A66" i="7"/>
  <c r="B327" i="3"/>
  <c r="C57" i="7"/>
  <c r="A311" i="3"/>
  <c r="B55" i="7"/>
  <c r="B217" i="7"/>
  <c r="D199" i="7"/>
  <c r="C267" i="7"/>
  <c r="C338" i="7"/>
  <c r="D142" i="7"/>
  <c r="C48" i="7"/>
  <c r="A293" i="3"/>
  <c r="B46" i="7"/>
  <c r="B288" i="3"/>
  <c r="A44" i="7"/>
  <c r="A284" i="3"/>
  <c r="D47" i="7"/>
  <c r="B291" i="3"/>
  <c r="C39" i="7"/>
  <c r="A275" i="3"/>
  <c r="A389" i="7"/>
  <c r="B198" i="7"/>
  <c r="B109" i="7"/>
  <c r="C231" i="7"/>
  <c r="C302" i="7"/>
  <c r="D124" i="7"/>
  <c r="C30" i="7"/>
  <c r="A257" i="3"/>
  <c r="B28" i="7"/>
  <c r="B252" i="3"/>
  <c r="A26" i="7"/>
  <c r="A248" i="3"/>
  <c r="D29" i="7"/>
  <c r="B255" i="3"/>
  <c r="C21" i="7"/>
  <c r="A239" i="3"/>
  <c r="A245" i="7"/>
  <c r="C377" i="7"/>
  <c r="B91" i="7"/>
  <c r="A202" i="7"/>
  <c r="C266" i="7"/>
  <c r="D106" i="7"/>
  <c r="C12" i="7"/>
  <c r="A221" i="3"/>
  <c r="B10" i="7"/>
  <c r="B216" i="3"/>
  <c r="A8" i="7"/>
  <c r="A212" i="3"/>
  <c r="D11" i="7"/>
  <c r="B219" i="3"/>
  <c r="C3" i="7"/>
  <c r="B410" i="7"/>
  <c r="D322" i="7"/>
  <c r="A426" i="7"/>
  <c r="C415" i="7"/>
  <c r="A181" i="7"/>
  <c r="C230" i="7"/>
  <c r="B302" i="7"/>
  <c r="C2" i="5"/>
  <c r="B266" i="7"/>
  <c r="B436" i="3"/>
  <c r="B230" i="7"/>
  <c r="A432" i="3"/>
  <c r="B290" i="7"/>
  <c r="B439" i="3"/>
  <c r="C180" i="7"/>
  <c r="A423" i="3"/>
  <c r="C162" i="7"/>
  <c r="B438" i="7"/>
  <c r="D169" i="7"/>
  <c r="C379" i="7"/>
  <c r="A163" i="7"/>
  <c r="D201" i="7"/>
  <c r="A138" i="7"/>
  <c r="A405" i="3"/>
  <c r="A132" i="7"/>
  <c r="B400" i="3"/>
  <c r="A126" i="7"/>
  <c r="A396" i="3"/>
  <c r="A136" i="7"/>
  <c r="B403" i="3"/>
  <c r="A114" i="7"/>
  <c r="A387" i="3"/>
  <c r="A108" i="7"/>
  <c r="D320" i="7"/>
  <c r="B295" i="7"/>
  <c r="B421" i="7"/>
  <c r="D347" i="7"/>
  <c r="D302" i="7"/>
  <c r="B277" i="7"/>
  <c r="C384" i="7"/>
  <c r="D311" i="7"/>
  <c r="D284" i="7"/>
  <c r="B259" i="7"/>
  <c r="C348" i="7"/>
  <c r="D275" i="7"/>
  <c r="D266" i="7"/>
  <c r="B241" i="7"/>
  <c r="C312" i="7"/>
  <c r="D239" i="7"/>
  <c r="D248" i="7"/>
  <c r="B223" i="7"/>
  <c r="C276" i="7"/>
  <c r="D207" i="7"/>
  <c r="D230" i="7"/>
  <c r="B205" i="7"/>
  <c r="C240" i="7"/>
  <c r="C185" i="7"/>
  <c r="D212" i="7"/>
  <c r="D417" i="7"/>
  <c r="B208" i="7"/>
  <c r="B167" i="7"/>
  <c r="A159" i="7"/>
  <c r="A121" i="7"/>
  <c r="A125" i="7"/>
  <c r="A97" i="7"/>
  <c r="B233" i="7"/>
  <c r="D223" i="7"/>
  <c r="C271" i="7"/>
  <c r="C342" i="7"/>
  <c r="D144" i="7"/>
  <c r="C50" i="7"/>
  <c r="A297" i="3"/>
  <c r="B48" i="7"/>
  <c r="B292" i="3"/>
  <c r="A46" i="7"/>
  <c r="A288" i="3"/>
  <c r="D49" i="7"/>
  <c r="B295" i="3"/>
  <c r="C41" i="7"/>
  <c r="A279" i="3"/>
  <c r="A405" i="7"/>
  <c r="D221" i="7"/>
  <c r="B111" i="7"/>
  <c r="C235" i="7"/>
  <c r="C306" i="7"/>
  <c r="D126" i="7"/>
  <c r="C32" i="7"/>
  <c r="A261" i="3"/>
  <c r="B30" i="7"/>
  <c r="B256" i="3"/>
  <c r="A28" i="7"/>
  <c r="A252" i="3"/>
  <c r="D31" i="7"/>
  <c r="B259" i="3"/>
  <c r="C23" i="7"/>
  <c r="A243" i="3"/>
  <c r="A261" i="7"/>
  <c r="C409" i="7"/>
  <c r="B93" i="7"/>
  <c r="C204" i="7"/>
  <c r="C270" i="7"/>
  <c r="D108" i="7"/>
  <c r="C14" i="7"/>
  <c r="A225" i="3"/>
  <c r="B12" i="7"/>
  <c r="B220" i="3"/>
  <c r="A10" i="7"/>
  <c r="A216" i="3"/>
  <c r="D13" i="7"/>
  <c r="B223" i="3"/>
  <c r="C5" i="7"/>
  <c r="A207" i="3"/>
  <c r="D338" i="7"/>
  <c r="A162" i="7"/>
  <c r="A420" i="7"/>
  <c r="A183" i="7"/>
  <c r="C234" i="7"/>
  <c r="B334" i="7"/>
  <c r="K2" i="5"/>
  <c r="B298" i="7"/>
  <c r="B2" i="5"/>
  <c r="B262" i="7"/>
  <c r="A436" i="3"/>
  <c r="B322" i="7"/>
  <c r="H2" i="5"/>
  <c r="C198" i="7"/>
  <c r="A427" i="3"/>
  <c r="C178" i="7"/>
  <c r="D194" i="7"/>
  <c r="A186" i="7"/>
  <c r="C383" i="7"/>
  <c r="A165" i="7"/>
  <c r="B204" i="7"/>
  <c r="A143" i="7"/>
  <c r="A409" i="3"/>
  <c r="A137" i="7"/>
  <c r="B404" i="3"/>
  <c r="A131" i="7"/>
  <c r="A400" i="3"/>
  <c r="A141" i="7"/>
  <c r="B407" i="3"/>
  <c r="A119" i="7"/>
  <c r="A391" i="3"/>
  <c r="A113" i="7"/>
  <c r="A308" i="7"/>
  <c r="B388" i="7"/>
  <c r="C347" i="7"/>
  <c r="C418" i="7"/>
  <c r="D182" i="7"/>
  <c r="A96" i="7"/>
  <c r="A373" i="3"/>
  <c r="C92" i="7"/>
  <c r="B368" i="3"/>
  <c r="D88" i="7"/>
  <c r="A364" i="3"/>
  <c r="D94" i="7"/>
  <c r="B371" i="3"/>
  <c r="C81" i="7"/>
  <c r="A355" i="3"/>
  <c r="A79" i="7"/>
  <c r="D240" i="7"/>
  <c r="B215" i="7"/>
  <c r="C260" i="7"/>
  <c r="A197" i="7"/>
  <c r="D222" i="7"/>
  <c r="B197" i="7"/>
  <c r="C224" i="7"/>
  <c r="B177" i="7"/>
  <c r="D204" i="7"/>
  <c r="D401" i="7"/>
  <c r="D197" i="7"/>
  <c r="B159" i="7"/>
  <c r="D186" i="7"/>
  <c r="D365" i="7"/>
  <c r="D177" i="7"/>
  <c r="B141" i="7"/>
  <c r="A428" i="7"/>
  <c r="D329" i="7"/>
  <c r="D159" i="7"/>
  <c r="B123" i="7"/>
  <c r="A408" i="7"/>
  <c r="D293" i="7"/>
  <c r="D141" i="7"/>
  <c r="B424" i="7"/>
  <c r="A390" i="7"/>
  <c r="D257" i="7"/>
  <c r="D123" i="7"/>
  <c r="A309" i="7"/>
  <c r="C282" i="7"/>
  <c r="B18" i="7"/>
  <c r="D19" i="7"/>
  <c r="D421" i="7"/>
  <c r="D253" i="7"/>
  <c r="B113" i="7"/>
  <c r="C239" i="7"/>
  <c r="C310" i="7"/>
  <c r="D128" i="7"/>
  <c r="C34" i="7"/>
  <c r="A265" i="3"/>
  <c r="B32" i="7"/>
  <c r="B260" i="3"/>
  <c r="A30" i="7"/>
  <c r="A256" i="3"/>
  <c r="D33" i="7"/>
  <c r="B263" i="3"/>
  <c r="C25" i="7"/>
  <c r="A247" i="3"/>
  <c r="A277" i="7"/>
  <c r="B84" i="7"/>
  <c r="B95" i="7"/>
  <c r="C207" i="7"/>
  <c r="C274" i="7"/>
  <c r="D110" i="7"/>
  <c r="C16" i="7"/>
  <c r="A229" i="3"/>
  <c r="B14" i="7"/>
  <c r="B224" i="3"/>
  <c r="A12" i="7"/>
  <c r="A220" i="3"/>
  <c r="D15" i="7"/>
  <c r="B227" i="3"/>
  <c r="C7" i="7"/>
  <c r="A211" i="3"/>
  <c r="D354" i="7"/>
  <c r="A178" i="7"/>
  <c r="A425" i="7"/>
  <c r="B185" i="7"/>
  <c r="C238" i="7"/>
  <c r="B366" i="7"/>
  <c r="S2" i="5"/>
  <c r="B330" i="7"/>
  <c r="J2" i="5"/>
  <c r="B294" i="7"/>
  <c r="A2" i="5"/>
  <c r="B354" i="7"/>
  <c r="P2" i="5"/>
  <c r="B222" i="7"/>
  <c r="A431" i="3"/>
  <c r="A196" i="7"/>
  <c r="D210" i="7"/>
  <c r="D205" i="7"/>
  <c r="C387" i="7"/>
  <c r="A167" i="7"/>
  <c r="A207" i="7"/>
  <c r="C148" i="7"/>
  <c r="A413" i="3"/>
  <c r="C142" i="7"/>
  <c r="B408" i="3"/>
  <c r="C136" i="7"/>
  <c r="A404" i="3"/>
  <c r="C146" i="7"/>
  <c r="B411" i="3"/>
  <c r="C124" i="7"/>
  <c r="A395" i="3"/>
  <c r="C118" i="7"/>
  <c r="A324" i="7"/>
  <c r="A421" i="7"/>
  <c r="C351" i="7"/>
  <c r="C423" i="7"/>
  <c r="A185" i="7"/>
  <c r="C100" i="7"/>
  <c r="A377" i="3"/>
  <c r="C95" i="7"/>
  <c r="B372" i="3"/>
  <c r="A92" i="7"/>
  <c r="A368" i="3"/>
  <c r="C98" i="7"/>
  <c r="B375" i="3"/>
  <c r="D84" i="7"/>
  <c r="A359" i="3"/>
  <c r="B81" i="7"/>
  <c r="B409" i="7"/>
  <c r="C167" i="7"/>
  <c r="C315" i="7"/>
  <c r="C386" i="7"/>
  <c r="D166" i="7"/>
  <c r="C73" i="7"/>
  <c r="A341" i="3"/>
  <c r="A71" i="7"/>
  <c r="B336" i="3"/>
  <c r="C68" i="7"/>
  <c r="A332" i="3"/>
  <c r="D72" i="7"/>
  <c r="B339" i="3"/>
  <c r="C63" i="7"/>
  <c r="A323" i="3"/>
  <c r="B61" i="7"/>
  <c r="D192" i="7"/>
  <c r="D377" i="7"/>
  <c r="D183" i="7"/>
  <c r="B147" i="7"/>
  <c r="B434" i="7"/>
  <c r="D341" i="7"/>
  <c r="D165" i="7"/>
  <c r="B129" i="7"/>
  <c r="A414" i="7"/>
  <c r="D305" i="7"/>
  <c r="D147" i="7"/>
  <c r="B431" i="7"/>
  <c r="A396" i="7"/>
  <c r="D269" i="7"/>
  <c r="D129" i="7"/>
  <c r="A411" i="7"/>
  <c r="A378" i="7"/>
  <c r="D233" i="7"/>
  <c r="D111" i="7"/>
  <c r="A393" i="7"/>
  <c r="A360" i="7"/>
  <c r="D203" i="7"/>
  <c r="D93" i="7"/>
  <c r="A375" i="7"/>
  <c r="A342" i="7"/>
  <c r="B182" i="7"/>
  <c r="D75" i="7"/>
  <c r="A404" i="7"/>
  <c r="B196" i="7"/>
  <c r="B392" i="3"/>
  <c r="B395" i="3"/>
  <c r="A293" i="7"/>
  <c r="B100" i="7"/>
  <c r="B97" i="7"/>
  <c r="A210" i="7"/>
  <c r="C278" i="7"/>
  <c r="D112" i="7"/>
  <c r="C18" i="7"/>
  <c r="A233" i="3"/>
  <c r="B16" i="7"/>
  <c r="B228" i="3"/>
  <c r="A14" i="7"/>
  <c r="A224" i="3"/>
  <c r="D17" i="7"/>
  <c r="B231" i="3"/>
  <c r="C9" i="7"/>
  <c r="A215" i="3"/>
  <c r="D370" i="7"/>
  <c r="C195" i="7"/>
  <c r="D429" i="7"/>
  <c r="C187" i="7"/>
  <c r="C242" i="7"/>
  <c r="B398" i="7"/>
  <c r="AB2" i="5"/>
  <c r="B362" i="7"/>
  <c r="R2" i="5"/>
  <c r="B326" i="7"/>
  <c r="I2" i="5"/>
  <c r="B386" i="7"/>
  <c r="Y2" i="5"/>
  <c r="B254" i="7"/>
  <c r="A435" i="3"/>
  <c r="B218" i="7"/>
  <c r="D226" i="7"/>
  <c r="C232" i="7"/>
  <c r="C391" i="7"/>
  <c r="A169" i="7"/>
  <c r="D209" i="7"/>
  <c r="C156" i="7"/>
  <c r="A417" i="3"/>
  <c r="A148" i="7"/>
  <c r="B412" i="3"/>
  <c r="A142" i="7"/>
  <c r="A408" i="3"/>
  <c r="C152" i="7"/>
  <c r="B415" i="3"/>
  <c r="A130" i="7"/>
  <c r="A399" i="3"/>
  <c r="A124" i="7"/>
  <c r="A340" i="7"/>
  <c r="D73" i="7"/>
  <c r="C355" i="7"/>
  <c r="C428" i="7"/>
  <c r="B187" i="7"/>
  <c r="A106" i="7"/>
  <c r="A381" i="3"/>
  <c r="A100" i="7"/>
  <c r="B376" i="3"/>
  <c r="A95" i="7"/>
  <c r="A372" i="3"/>
  <c r="A104" i="7"/>
  <c r="B379" i="3"/>
  <c r="A88" i="7"/>
  <c r="A363" i="3"/>
  <c r="C84" i="7"/>
  <c r="A427" i="7"/>
  <c r="C183" i="7"/>
  <c r="C319" i="7"/>
  <c r="C390" i="7"/>
  <c r="D168" i="7"/>
  <c r="A76" i="7"/>
  <c r="A345" i="3"/>
  <c r="B73" i="7"/>
  <c r="B340" i="3"/>
  <c r="D70" i="7"/>
  <c r="A336" i="3"/>
  <c r="A75" i="7"/>
  <c r="B343" i="3"/>
  <c r="C65" i="7"/>
  <c r="A327" i="3"/>
  <c r="B63" i="7"/>
  <c r="B281" i="7"/>
  <c r="D319" i="7"/>
  <c r="C283" i="7"/>
  <c r="C354" i="7"/>
  <c r="D150" i="7"/>
  <c r="C56" i="7"/>
  <c r="A309" i="3"/>
  <c r="B54" i="7"/>
  <c r="B304" i="3"/>
  <c r="A52" i="7"/>
  <c r="A300" i="3"/>
  <c r="D55" i="7"/>
  <c r="B307" i="3"/>
  <c r="C47" i="7"/>
  <c r="A291" i="3"/>
  <c r="B45" i="7"/>
  <c r="A403" i="7"/>
  <c r="A370" i="7"/>
  <c r="D217" i="7"/>
  <c r="D103" i="7"/>
  <c r="A385" i="7"/>
  <c r="A352" i="7"/>
  <c r="C193" i="7"/>
  <c r="D85" i="7"/>
  <c r="A367" i="7"/>
  <c r="A334" i="7"/>
  <c r="B174" i="7"/>
  <c r="D67" i="7"/>
  <c r="A349" i="7"/>
  <c r="A316" i="7"/>
  <c r="B156" i="7"/>
  <c r="B404" i="7"/>
  <c r="A331" i="7"/>
  <c r="A298" i="7"/>
  <c r="B138" i="7"/>
  <c r="B368" i="7"/>
  <c r="A313" i="7"/>
  <c r="A280" i="7"/>
  <c r="B120" i="7"/>
  <c r="B332" i="7"/>
  <c r="A295" i="7"/>
  <c r="A262" i="7"/>
  <c r="B102" i="7"/>
  <c r="B296" i="7"/>
  <c r="B116" i="7"/>
  <c r="D114" i="7"/>
  <c r="B232" i="3"/>
  <c r="B235" i="3"/>
  <c r="D386" i="7"/>
  <c r="C217" i="7"/>
  <c r="A434" i="7"/>
  <c r="D189" i="7"/>
  <c r="C246" i="7"/>
  <c r="C432" i="7"/>
  <c r="C2" i="7"/>
  <c r="B394" i="7"/>
  <c r="AA2" i="5"/>
  <c r="B358" i="7"/>
  <c r="Q2" i="5"/>
  <c r="B418" i="7"/>
  <c r="D1" i="7"/>
  <c r="B286" i="7"/>
  <c r="A439" i="3"/>
  <c r="B250" i="7"/>
  <c r="D242" i="7"/>
  <c r="C264" i="7"/>
  <c r="C395" i="7"/>
  <c r="A171" i="7"/>
  <c r="B212" i="7"/>
  <c r="C172" i="7"/>
  <c r="A421" i="3"/>
  <c r="C154" i="7"/>
  <c r="B416" i="3"/>
  <c r="A147" i="7"/>
  <c r="A412" i="3"/>
  <c r="C166" i="7"/>
  <c r="B419" i="3"/>
  <c r="A135" i="7"/>
  <c r="A403" i="3"/>
  <c r="A129" i="7"/>
  <c r="A356" i="7"/>
  <c r="D89" i="7"/>
  <c r="C359" i="7"/>
  <c r="D432" i="7"/>
  <c r="C189" i="7"/>
  <c r="A111" i="7"/>
  <c r="A385" i="3"/>
  <c r="A105" i="7"/>
  <c r="B380" i="3"/>
  <c r="A99" i="7"/>
  <c r="A376" i="3"/>
  <c r="A109" i="7"/>
  <c r="B383" i="3"/>
  <c r="A91" i="7"/>
  <c r="A367" i="3"/>
  <c r="C87" i="7"/>
  <c r="D437" i="7"/>
  <c r="C202" i="7"/>
  <c r="C323" i="7"/>
  <c r="C394" i="7"/>
  <c r="D170" i="7"/>
  <c r="B78" i="7"/>
  <c r="A349" i="3"/>
  <c r="C75" i="7"/>
  <c r="B344" i="3"/>
  <c r="A73" i="7"/>
  <c r="A340" i="3"/>
  <c r="B77" i="7"/>
  <c r="B347" i="3"/>
  <c r="A68" i="7"/>
  <c r="A331" i="3"/>
  <c r="B65" i="7"/>
  <c r="B297" i="7"/>
  <c r="D351" i="7"/>
  <c r="C287" i="7"/>
  <c r="C358" i="7"/>
  <c r="D152" i="7"/>
  <c r="C58" i="7"/>
  <c r="A313" i="3"/>
  <c r="B56" i="7"/>
  <c r="B308" i="3"/>
  <c r="A54" i="7"/>
  <c r="A304" i="3"/>
  <c r="D57" i="7"/>
  <c r="B311" i="3"/>
  <c r="C49" i="7"/>
  <c r="A295" i="3"/>
  <c r="B47" i="7"/>
  <c r="D349" i="7"/>
  <c r="B133" i="7"/>
  <c r="C251" i="7"/>
  <c r="C322" i="7"/>
  <c r="D134" i="7"/>
  <c r="C40" i="7"/>
  <c r="A277" i="3"/>
  <c r="B38" i="7"/>
  <c r="B272" i="3"/>
  <c r="A36" i="7"/>
  <c r="A268" i="3"/>
  <c r="D39" i="7"/>
  <c r="B275" i="3"/>
  <c r="C31" i="7"/>
  <c r="A259" i="3"/>
  <c r="A322" i="7"/>
  <c r="A286" i="7"/>
  <c r="A250" i="7"/>
  <c r="A438" i="7"/>
  <c r="C296" i="7"/>
  <c r="A153" i="7"/>
  <c r="D105" i="7"/>
  <c r="C104" i="7"/>
  <c r="B228" i="7"/>
  <c r="B75" i="7"/>
  <c r="D383" i="7"/>
  <c r="A56" i="7"/>
  <c r="B149" i="7"/>
  <c r="A38" i="7"/>
  <c r="B103" i="7"/>
  <c r="A20" i="7"/>
  <c r="C247" i="7"/>
  <c r="A264" i="3"/>
  <c r="B438" i="3"/>
  <c r="D193" i="7"/>
  <c r="A426" i="3"/>
  <c r="A2" i="6"/>
  <c r="D62" i="7"/>
  <c r="B338" i="7"/>
  <c r="B12" i="3"/>
  <c r="A24" i="3"/>
  <c r="B35" i="3"/>
  <c r="A47" i="3"/>
  <c r="B58" i="3"/>
  <c r="A70" i="3"/>
  <c r="C128" i="7"/>
  <c r="B200" i="3"/>
  <c r="B101" i="7"/>
  <c r="A18" i="7"/>
  <c r="B7" i="7"/>
  <c r="B406" i="7"/>
  <c r="A1" i="7"/>
  <c r="C174" i="7"/>
  <c r="B9" i="3"/>
  <c r="A25" i="3"/>
  <c r="B40" i="3"/>
  <c r="A52" i="3"/>
  <c r="B63" i="3"/>
  <c r="A75" i="3"/>
  <c r="B86" i="3"/>
  <c r="A98" i="3"/>
  <c r="A419" i="7"/>
  <c r="B4" i="7"/>
  <c r="B37" i="7"/>
  <c r="B270" i="3"/>
  <c r="A31" i="7"/>
  <c r="A258" i="3"/>
  <c r="B69" i="3"/>
  <c r="A85" i="3"/>
  <c r="B100" i="3"/>
  <c r="A112" i="3"/>
  <c r="B123" i="3"/>
  <c r="A135" i="3"/>
  <c r="B146" i="3"/>
  <c r="A158" i="3"/>
  <c r="B378" i="3"/>
  <c r="B48" i="3"/>
  <c r="C360" i="7"/>
  <c r="C184" i="7"/>
  <c r="B19" i="7"/>
  <c r="B234" i="3"/>
  <c r="A13" i="7"/>
  <c r="A222" i="3"/>
  <c r="B33" i="3"/>
  <c r="A49" i="3"/>
  <c r="B64" i="3"/>
  <c r="A76" i="3"/>
  <c r="B87" i="3"/>
  <c r="A99" i="3"/>
  <c r="B110" i="3"/>
  <c r="A122" i="3"/>
  <c r="A21" i="7"/>
  <c r="B71" i="3"/>
  <c r="A199" i="7"/>
  <c r="B399" i="3"/>
  <c r="B390" i="3"/>
  <c r="A102" i="7"/>
  <c r="A378" i="3"/>
  <c r="B189" i="3"/>
  <c r="B207" i="3"/>
  <c r="B317" i="3"/>
  <c r="B409" i="3"/>
  <c r="D24" i="7"/>
  <c r="C71" i="7"/>
  <c r="A212" i="7"/>
  <c r="B10" i="3"/>
  <c r="A22" i="3"/>
  <c r="B49" i="3"/>
  <c r="A203" i="3"/>
  <c r="A89" i="7"/>
  <c r="D76" i="7"/>
  <c r="B290" i="3"/>
  <c r="A41" i="7"/>
  <c r="A278" i="3"/>
  <c r="B89" i="3"/>
  <c r="A105" i="3"/>
  <c r="B120" i="3"/>
  <c r="A132" i="3"/>
  <c r="B143" i="3"/>
  <c r="A155" i="3"/>
  <c r="B166" i="3"/>
  <c r="A178" i="3"/>
  <c r="B43" i="7"/>
  <c r="A156" i="3"/>
  <c r="C311" i="7"/>
  <c r="A328" i="3"/>
  <c r="N2" i="5"/>
  <c r="B246" i="7"/>
  <c r="A434" i="3"/>
  <c r="D32" i="7"/>
  <c r="A112" i="7"/>
  <c r="A5" i="3"/>
  <c r="B20" i="3"/>
  <c r="A32" i="3"/>
  <c r="B43" i="3"/>
  <c r="A55" i="3"/>
  <c r="B66" i="3"/>
  <c r="A78" i="3"/>
  <c r="A37" i="7"/>
  <c r="B103" i="3"/>
  <c r="A179" i="3"/>
  <c r="B308" i="7"/>
  <c r="B162" i="7"/>
  <c r="B126" i="7"/>
  <c r="B90" i="7"/>
  <c r="C381" i="7"/>
  <c r="C399" i="7"/>
  <c r="A416" i="3"/>
  <c r="C363" i="7"/>
  <c r="A380" i="3"/>
  <c r="C327" i="7"/>
  <c r="A344" i="3"/>
  <c r="C291" i="7"/>
  <c r="A308" i="3"/>
  <c r="C255" i="7"/>
  <c r="A272" i="3"/>
  <c r="C219" i="7"/>
  <c r="A236" i="3"/>
  <c r="C318" i="7"/>
  <c r="D37" i="7"/>
  <c r="B406" i="3"/>
  <c r="A123" i="7"/>
  <c r="A394" i="3"/>
  <c r="B209" i="3"/>
  <c r="B321" i="3"/>
  <c r="L2" i="5"/>
  <c r="D42" i="7"/>
  <c r="C96" i="7"/>
  <c r="B3" i="3"/>
  <c r="A15" i="3"/>
  <c r="B26" i="3"/>
  <c r="A38" i="3"/>
  <c r="A5" i="7"/>
  <c r="B7" i="3"/>
  <c r="C215" i="7"/>
  <c r="A232" i="3"/>
  <c r="B434" i="3"/>
  <c r="C176" i="7"/>
  <c r="A422" i="3"/>
  <c r="B421" i="3"/>
  <c r="D46" i="7"/>
  <c r="A149" i="7"/>
  <c r="B8" i="3"/>
  <c r="A20" i="3"/>
  <c r="B31" i="3"/>
  <c r="A43" i="3"/>
  <c r="B54" i="3"/>
  <c r="A66" i="3"/>
  <c r="C281" i="7"/>
  <c r="B423" i="7"/>
  <c r="B21" i="7"/>
  <c r="B238" i="3"/>
  <c r="A15" i="7"/>
  <c r="A226" i="3"/>
  <c r="B37" i="3"/>
  <c r="A53" i="3"/>
  <c r="B68" i="3"/>
  <c r="A80" i="3"/>
  <c r="B91" i="3"/>
  <c r="A103" i="3"/>
  <c r="B114" i="3"/>
  <c r="A126" i="3"/>
  <c r="B218" i="3"/>
  <c r="A124" i="3"/>
  <c r="C407" i="7"/>
  <c r="A424" i="3"/>
  <c r="B3" i="7"/>
  <c r="B342" i="7"/>
  <c r="M2" i="5"/>
  <c r="C83" i="7"/>
  <c r="B1" i="3"/>
  <c r="A17" i="3"/>
  <c r="B32" i="3"/>
  <c r="A44" i="3"/>
  <c r="B55" i="3"/>
  <c r="A67" i="3"/>
  <c r="B78" i="3"/>
  <c r="A90" i="3"/>
  <c r="A270" i="3"/>
  <c r="A147" i="3"/>
  <c r="C132" i="7"/>
  <c r="C108" i="7"/>
  <c r="B358" i="3"/>
  <c r="C76" i="7"/>
  <c r="A346" i="3"/>
  <c r="B157" i="3"/>
  <c r="A173" i="3"/>
  <c r="B188" i="3"/>
  <c r="A201" i="3"/>
  <c r="B245" i="3"/>
  <c r="B337" i="3"/>
  <c r="B429" i="3"/>
  <c r="D34" i="7"/>
  <c r="D148" i="7"/>
  <c r="A97" i="3"/>
  <c r="A292" i="7"/>
  <c r="B364" i="3"/>
  <c r="B31" i="7"/>
  <c r="B258" i="3"/>
  <c r="A25" i="7"/>
  <c r="A246" i="3"/>
  <c r="B57" i="3"/>
  <c r="A73" i="3"/>
  <c r="B88" i="3"/>
  <c r="A100" i="3"/>
  <c r="B111" i="3"/>
  <c r="A123" i="3"/>
  <c r="B134" i="3"/>
  <c r="A146" i="3"/>
  <c r="B314" i="3"/>
  <c r="B135" i="3"/>
  <c r="C382" i="7"/>
  <c r="C70" i="7"/>
  <c r="B414" i="3"/>
  <c r="A134" i="7"/>
  <c r="A402" i="3"/>
  <c r="B261" i="3"/>
  <c r="B385" i="3"/>
  <c r="D28" i="7"/>
  <c r="B76" i="7"/>
  <c r="B274" i="7"/>
  <c r="B11" i="3"/>
  <c r="A23" i="3"/>
  <c r="B34" i="3"/>
  <c r="A46" i="3"/>
  <c r="A302" i="3"/>
  <c r="B416" i="7"/>
  <c r="B344" i="7"/>
  <c r="B272" i="7"/>
  <c r="C205" i="7"/>
  <c r="A173" i="7"/>
  <c r="C182" i="7"/>
  <c r="A155" i="7"/>
  <c r="C114" i="7"/>
  <c r="C398" i="7"/>
  <c r="C79" i="7"/>
  <c r="C362" i="7"/>
  <c r="D59" i="7"/>
  <c r="C326" i="7"/>
  <c r="D41" i="7"/>
  <c r="C290" i="7"/>
  <c r="D23" i="7"/>
  <c r="D132" i="7"/>
  <c r="B271" i="3"/>
  <c r="B374" i="3"/>
  <c r="A87" i="7"/>
  <c r="A362" i="3"/>
  <c r="B173" i="3"/>
  <c r="A189" i="3"/>
  <c r="B206" i="3"/>
  <c r="B281" i="3"/>
  <c r="B373" i="3"/>
  <c r="D6" i="7"/>
  <c r="D52" i="7"/>
  <c r="C122" i="7"/>
  <c r="A6" i="3"/>
  <c r="A238" i="3"/>
  <c r="A83" i="3"/>
  <c r="C286" i="7"/>
  <c r="D21" i="7"/>
  <c r="B402" i="3"/>
  <c r="A118" i="7"/>
  <c r="A390" i="3"/>
  <c r="B202" i="3"/>
  <c r="B289" i="3"/>
  <c r="B413" i="3"/>
  <c r="D26" i="7"/>
  <c r="A74" i="7"/>
  <c r="B242" i="7"/>
  <c r="A11" i="3"/>
  <c r="B22" i="3"/>
  <c r="A34" i="3"/>
  <c r="B85" i="7"/>
  <c r="A2" i="7"/>
  <c r="B5" i="7"/>
  <c r="B374" i="7"/>
  <c r="U2" i="5"/>
  <c r="A117" i="7"/>
  <c r="B5" i="3"/>
  <c r="A21" i="3"/>
  <c r="B36" i="3"/>
  <c r="A48" i="3"/>
  <c r="B59" i="3"/>
  <c r="A71" i="3"/>
  <c r="B82" i="3"/>
  <c r="A94" i="3"/>
  <c r="A53" i="7"/>
  <c r="B167" i="3"/>
  <c r="A177" i="7"/>
  <c r="B226" i="7"/>
  <c r="B426" i="3"/>
  <c r="A150" i="7"/>
  <c r="A414" i="3"/>
  <c r="B357" i="3"/>
  <c r="D14" i="7"/>
  <c r="C78" i="7"/>
  <c r="B306" i="7"/>
  <c r="A12" i="3"/>
  <c r="B23" i="3"/>
  <c r="A35" i="3"/>
  <c r="B46" i="3"/>
  <c r="A58" i="3"/>
  <c r="B145" i="3"/>
  <c r="B190" i="3"/>
  <c r="A401" i="3"/>
  <c r="A383" i="3"/>
  <c r="B326" i="3"/>
  <c r="A59" i="7"/>
  <c r="A314" i="3"/>
  <c r="B125" i="3"/>
  <c r="A141" i="3"/>
  <c r="B156" i="3"/>
  <c r="A168" i="3"/>
  <c r="B179" i="3"/>
  <c r="A191" i="3"/>
  <c r="B203" i="3"/>
  <c r="B265" i="3"/>
  <c r="A296" i="3"/>
  <c r="B112" i="3"/>
  <c r="B356" i="7"/>
  <c r="C85" i="7"/>
  <c r="B15" i="7"/>
  <c r="B226" i="3"/>
  <c r="A9" i="7"/>
  <c r="A214" i="3"/>
  <c r="B25" i="3"/>
  <c r="A41" i="3"/>
  <c r="B56" i="3"/>
  <c r="A68" i="3"/>
  <c r="B79" i="3"/>
  <c r="A91" i="3"/>
  <c r="B102" i="3"/>
  <c r="A114" i="3"/>
  <c r="C90" i="7"/>
  <c r="B241" i="3"/>
  <c r="D164" i="7"/>
  <c r="B335" i="3"/>
  <c r="B382" i="3"/>
  <c r="C93" i="7"/>
  <c r="A370" i="3"/>
  <c r="B181" i="3"/>
  <c r="B197" i="3"/>
  <c r="B253" i="3"/>
  <c r="B345" i="3"/>
  <c r="B437" i="3"/>
  <c r="D38" i="7"/>
  <c r="A90" i="7"/>
  <c r="B2" i="3"/>
  <c r="A14" i="3"/>
  <c r="B229" i="3"/>
  <c r="B333" i="3"/>
  <c r="A337" i="7"/>
  <c r="A301" i="7"/>
  <c r="A265" i="7"/>
  <c r="D137" i="7"/>
  <c r="A215" i="7"/>
  <c r="B423" i="3"/>
  <c r="D191" i="7"/>
  <c r="B387" i="3"/>
  <c r="D172" i="7"/>
  <c r="B351" i="3"/>
  <c r="D154" i="7"/>
  <c r="B315" i="3"/>
  <c r="D136" i="7"/>
  <c r="B279" i="3"/>
  <c r="D118" i="7"/>
  <c r="B243" i="3"/>
  <c r="C38" i="7"/>
  <c r="C29" i="7"/>
  <c r="B342" i="3"/>
  <c r="B67" i="7"/>
  <c r="A330" i="3"/>
  <c r="B141" i="3"/>
  <c r="A157" i="3"/>
  <c r="B172" i="3"/>
  <c r="A184" i="3"/>
  <c r="B195" i="3"/>
  <c r="B213" i="3"/>
  <c r="B301" i="3"/>
  <c r="B393" i="3"/>
  <c r="A2" i="3"/>
  <c r="B113" i="3"/>
  <c r="B158" i="3"/>
  <c r="D116" i="7"/>
  <c r="B239" i="3"/>
  <c r="B370" i="3"/>
  <c r="A84" i="7"/>
  <c r="A358" i="3"/>
  <c r="B169" i="3"/>
  <c r="A185" i="3"/>
  <c r="B201" i="3"/>
  <c r="B249" i="3"/>
  <c r="B341" i="3"/>
  <c r="B433" i="3"/>
  <c r="D36" i="7"/>
  <c r="D86" i="7"/>
  <c r="B52" i="7"/>
  <c r="B194" i="7"/>
  <c r="A200" i="3"/>
  <c r="B430" i="3"/>
  <c r="C160" i="7"/>
  <c r="A418" i="3"/>
  <c r="B389" i="3"/>
  <c r="D30" i="7"/>
  <c r="C106" i="7"/>
  <c r="B4" i="3"/>
  <c r="A16" i="3"/>
  <c r="B27" i="3"/>
  <c r="A39" i="3"/>
  <c r="B50" i="3"/>
  <c r="A62" i="3"/>
  <c r="A366" i="3"/>
  <c r="D22" i="7"/>
  <c r="C222" i="7"/>
  <c r="B431" i="3"/>
  <c r="B394" i="3"/>
  <c r="A107" i="7"/>
  <c r="A382" i="3"/>
  <c r="B193" i="3"/>
  <c r="B225" i="3"/>
  <c r="B349" i="3"/>
  <c r="D2" i="5"/>
  <c r="D40" i="7"/>
  <c r="A93" i="7"/>
  <c r="A3" i="3"/>
  <c r="B14" i="3"/>
  <c r="A26" i="3"/>
  <c r="D80" i="7"/>
  <c r="A170" i="3"/>
  <c r="C126" i="7"/>
  <c r="C102" i="7"/>
  <c r="B294" i="3"/>
  <c r="A43" i="7"/>
  <c r="A282" i="3"/>
  <c r="B93" i="3"/>
  <c r="A109" i="3"/>
  <c r="B124" i="3"/>
  <c r="A136" i="3"/>
  <c r="B147" i="3"/>
  <c r="A159" i="3"/>
  <c r="B170" i="3"/>
  <c r="A182" i="3"/>
  <c r="B11" i="7"/>
  <c r="A188" i="3"/>
  <c r="C343" i="7"/>
  <c r="A360" i="3"/>
  <c r="W2" i="5"/>
  <c r="B278" i="7"/>
  <c r="A438" i="3"/>
  <c r="D48" i="7"/>
  <c r="C158" i="7"/>
  <c r="A9" i="3"/>
  <c r="B24" i="3"/>
  <c r="A36" i="3"/>
  <c r="B47" i="3"/>
  <c r="A59" i="3"/>
  <c r="B70" i="3"/>
  <c r="A82" i="3"/>
  <c r="A398" i="3"/>
  <c r="B69" i="7"/>
  <c r="B71" i="7"/>
  <c r="C61" i="7"/>
  <c r="B350" i="3"/>
  <c r="A72" i="7"/>
  <c r="A338" i="3"/>
  <c r="B149" i="3"/>
  <c r="A165" i="3"/>
  <c r="B180" i="3"/>
  <c r="A192" i="3"/>
  <c r="A205" i="3"/>
  <c r="B273" i="3"/>
  <c r="B365" i="3"/>
  <c r="D2" i="7"/>
  <c r="D287" i="7"/>
  <c r="B17" i="3"/>
  <c r="B62" i="3"/>
  <c r="B380" i="7"/>
  <c r="B236" i="7"/>
  <c r="A304" i="7"/>
  <c r="A268" i="7"/>
  <c r="A232" i="7"/>
  <c r="A127" i="7"/>
  <c r="B189" i="7"/>
  <c r="C140" i="7"/>
  <c r="C116" i="7"/>
  <c r="C94" i="7"/>
  <c r="C80" i="7"/>
  <c r="B70" i="7"/>
  <c r="C60" i="7"/>
  <c r="C51" i="7"/>
  <c r="C42" i="7"/>
  <c r="C33" i="7"/>
  <c r="C24" i="7"/>
  <c r="C15" i="7"/>
  <c r="A273" i="3"/>
  <c r="A255" i="3"/>
  <c r="B310" i="3"/>
  <c r="A51" i="7"/>
  <c r="A298" i="3"/>
  <c r="B109" i="3"/>
  <c r="A125" i="3"/>
  <c r="B140" i="3"/>
  <c r="A152" i="3"/>
  <c r="B163" i="3"/>
  <c r="A175" i="3"/>
  <c r="B186" i="3"/>
  <c r="B198" i="3"/>
  <c r="C54" i="7"/>
  <c r="A193" i="3"/>
  <c r="C191" i="7"/>
  <c r="C22" i="7"/>
  <c r="C13" i="7"/>
  <c r="B338" i="3"/>
  <c r="A65" i="7"/>
  <c r="A326" i="3"/>
  <c r="B137" i="3"/>
  <c r="A153" i="3"/>
  <c r="B168" i="3"/>
  <c r="A180" i="3"/>
  <c r="B191" i="3"/>
  <c r="B204" i="3"/>
  <c r="B269" i="3"/>
  <c r="B361" i="3"/>
  <c r="A430" i="3"/>
  <c r="C254" i="7"/>
  <c r="D5" i="7"/>
  <c r="B398" i="3"/>
  <c r="C112" i="7"/>
  <c r="A386" i="3"/>
  <c r="A198" i="3"/>
  <c r="B257" i="3"/>
  <c r="B381" i="3"/>
  <c r="D10" i="7"/>
  <c r="D56" i="7"/>
  <c r="A133" i="7"/>
  <c r="A7" i="3"/>
  <c r="B18" i="3"/>
  <c r="A30" i="3"/>
  <c r="A206" i="3"/>
  <c r="A51" i="3"/>
  <c r="B238" i="7"/>
  <c r="A151" i="7"/>
  <c r="B362" i="3"/>
  <c r="D78" i="7"/>
  <c r="A350" i="3"/>
  <c r="B161" i="3"/>
  <c r="A177" i="3"/>
  <c r="B192" i="3"/>
  <c r="B205" i="3"/>
  <c r="B277" i="3"/>
  <c r="B369" i="3"/>
  <c r="D4" i="7"/>
  <c r="D50" i="7"/>
  <c r="C350" i="7"/>
  <c r="A129" i="3"/>
  <c r="C420" i="7"/>
  <c r="B396" i="3"/>
  <c r="B33" i="7"/>
  <c r="B262" i="3"/>
  <c r="A27" i="7"/>
  <c r="A250" i="3"/>
  <c r="B61" i="3"/>
  <c r="A77" i="3"/>
  <c r="B92" i="3"/>
  <c r="A104" i="3"/>
  <c r="B115" i="3"/>
  <c r="A127" i="3"/>
  <c r="B138" i="3"/>
  <c r="A150" i="3"/>
  <c r="B282" i="3"/>
  <c r="C138" i="7"/>
  <c r="C414" i="7"/>
  <c r="C91" i="7"/>
  <c r="B418" i="3"/>
  <c r="A139" i="7"/>
  <c r="A406" i="3"/>
  <c r="B293" i="3"/>
  <c r="B417" i="3"/>
  <c r="D44" i="7"/>
  <c r="A101" i="7"/>
  <c r="A4" i="3"/>
  <c r="B15" i="3"/>
  <c r="A27" i="3"/>
  <c r="B38" i="3"/>
  <c r="A50" i="3"/>
  <c r="B177" i="3"/>
  <c r="B30" i="3"/>
  <c r="A337" i="3"/>
  <c r="A319" i="3"/>
  <c r="B318" i="3"/>
  <c r="A55" i="7"/>
  <c r="A306" i="3"/>
  <c r="B117" i="3"/>
  <c r="A133" i="3"/>
  <c r="B148" i="3"/>
  <c r="A160" i="3"/>
  <c r="B171" i="3"/>
  <c r="A183" i="3"/>
  <c r="B194" i="3"/>
  <c r="B210" i="3"/>
  <c r="A305" i="3"/>
  <c r="A65" i="3"/>
  <c r="A106" i="3"/>
  <c r="B144" i="7"/>
  <c r="B108" i="7"/>
  <c r="C417" i="7"/>
  <c r="A115" i="7"/>
  <c r="A425" i="3"/>
  <c r="A407" i="3"/>
  <c r="A389" i="3"/>
  <c r="A371" i="3"/>
  <c r="A353" i="3"/>
  <c r="A335" i="3"/>
  <c r="A317" i="3"/>
  <c r="A299" i="3"/>
  <c r="A281" i="3"/>
  <c r="A263" i="3"/>
  <c r="A245" i="3"/>
  <c r="A227" i="3"/>
  <c r="B36" i="7"/>
  <c r="B41" i="7"/>
  <c r="B278" i="3"/>
  <c r="A35" i="7"/>
  <c r="A266" i="3"/>
  <c r="B77" i="3"/>
  <c r="A93" i="3"/>
  <c r="B108" i="3"/>
  <c r="A120" i="3"/>
  <c r="B131" i="3"/>
  <c r="A143" i="3"/>
  <c r="B154" i="3"/>
  <c r="A166" i="3"/>
  <c r="D53" i="7"/>
  <c r="B221" i="3"/>
  <c r="A42" i="3"/>
  <c r="A241" i="3"/>
  <c r="A223" i="3"/>
  <c r="B306" i="3"/>
  <c r="A49" i="7"/>
  <c r="A294" i="3"/>
  <c r="B105" i="3"/>
  <c r="A121" i="3"/>
  <c r="B136" i="3"/>
  <c r="A148" i="3"/>
  <c r="B159" i="3"/>
  <c r="A171" i="3"/>
  <c r="B182" i="3"/>
  <c r="A194" i="3"/>
  <c r="A33" i="3"/>
  <c r="D100" i="7"/>
  <c r="B350" i="7"/>
  <c r="B366" i="3"/>
  <c r="A81" i="7"/>
  <c r="A354" i="3"/>
  <c r="B165" i="3"/>
  <c r="A181" i="3"/>
  <c r="A197" i="3"/>
  <c r="B217" i="3"/>
  <c r="B309" i="3"/>
  <c r="B401" i="3"/>
  <c r="D20" i="7"/>
  <c r="A67" i="7"/>
  <c r="C279" i="7"/>
  <c r="B81" i="3"/>
  <c r="B94" i="3"/>
  <c r="A433" i="3"/>
  <c r="A415" i="3"/>
  <c r="B330" i="3"/>
  <c r="A61" i="7"/>
  <c r="A318" i="3"/>
  <c r="B129" i="3"/>
  <c r="A145" i="3"/>
  <c r="B160" i="3"/>
  <c r="A172" i="3"/>
  <c r="B183" i="3"/>
  <c r="A195" i="3"/>
  <c r="B211" i="3"/>
  <c r="B297" i="3"/>
  <c r="B303" i="3"/>
  <c r="B176" i="3"/>
  <c r="D153" i="7"/>
  <c r="C120" i="7"/>
  <c r="B17" i="7"/>
  <c r="B230" i="3"/>
  <c r="A11" i="7"/>
  <c r="A218" i="3"/>
  <c r="B29" i="3"/>
  <c r="A45" i="3"/>
  <c r="B60" i="3"/>
  <c r="A72" i="3"/>
  <c r="B83" i="3"/>
  <c r="A95" i="3"/>
  <c r="B106" i="3"/>
  <c r="A118" i="3"/>
  <c r="C69" i="7"/>
  <c r="B39" i="3"/>
  <c r="D180" i="7"/>
  <c r="B367" i="3"/>
  <c r="B386" i="3"/>
  <c r="D96" i="7"/>
  <c r="A374" i="3"/>
  <c r="B185" i="3"/>
  <c r="A202" i="3"/>
  <c r="B285" i="3"/>
  <c r="B377" i="3"/>
  <c r="D8" i="7"/>
  <c r="D54" i="7"/>
  <c r="A128" i="7"/>
  <c r="B6" i="3"/>
  <c r="A18" i="3"/>
  <c r="B353" i="3"/>
  <c r="A74" i="3"/>
  <c r="D68" i="7"/>
  <c r="B59" i="7"/>
  <c r="B286" i="3"/>
  <c r="A39" i="7"/>
  <c r="A274" i="3"/>
  <c r="B85" i="3"/>
  <c r="A101" i="3"/>
  <c r="B116" i="3"/>
  <c r="A128" i="3"/>
  <c r="B139" i="3"/>
  <c r="A151" i="3"/>
  <c r="B162" i="3"/>
  <c r="A174" i="3"/>
  <c r="C45" i="7"/>
  <c r="B144" i="3"/>
  <c r="A138" i="3"/>
  <c r="A355" i="7"/>
  <c r="C134" i="7"/>
  <c r="C67" i="7"/>
  <c r="A341" i="7"/>
  <c r="B25" i="7"/>
  <c r="B45" i="3"/>
  <c r="B99" i="3"/>
  <c r="B27" i="7"/>
  <c r="B39" i="7"/>
  <c r="B73" i="3"/>
  <c r="B127" i="3"/>
  <c r="B405" i="3"/>
  <c r="A63" i="7"/>
  <c r="B164" i="3"/>
  <c r="B237" i="3"/>
  <c r="B425" i="3"/>
  <c r="A45" i="7"/>
  <c r="B128" i="3"/>
  <c r="B174" i="3"/>
  <c r="C375" i="7"/>
  <c r="E2" i="5"/>
  <c r="B28" i="3"/>
  <c r="B74" i="3"/>
  <c r="D92" i="7"/>
  <c r="A342" i="3"/>
  <c r="B196" i="3"/>
  <c r="D18" i="7"/>
  <c r="B332" i="3"/>
  <c r="A242" i="3"/>
  <c r="A96" i="3"/>
  <c r="A142" i="3"/>
  <c r="A369" i="3"/>
  <c r="A164" i="3"/>
  <c r="B233" i="3"/>
  <c r="A210" i="3"/>
  <c r="A64" i="3"/>
  <c r="B53" i="3"/>
  <c r="B410" i="3"/>
  <c r="B13" i="7"/>
  <c r="B313" i="3"/>
  <c r="B276" i="3"/>
  <c r="A102" i="3"/>
  <c r="A84" i="3"/>
  <c r="D12" i="7"/>
  <c r="A31" i="3"/>
  <c r="B52" i="3"/>
  <c r="A319" i="7"/>
  <c r="A372" i="7"/>
  <c r="B313" i="7"/>
  <c r="B148" i="7"/>
  <c r="B9" i="7"/>
  <c r="B13" i="3"/>
  <c r="B67" i="3"/>
  <c r="B346" i="3"/>
  <c r="B23" i="7"/>
  <c r="B41" i="3"/>
  <c r="B95" i="3"/>
  <c r="A19" i="3"/>
  <c r="A47" i="7"/>
  <c r="B132" i="3"/>
  <c r="B178" i="3"/>
  <c r="D290" i="7"/>
  <c r="A29" i="7"/>
  <c r="B96" i="3"/>
  <c r="B142" i="3"/>
  <c r="A161" i="7"/>
  <c r="A410" i="3"/>
  <c r="A144" i="7"/>
  <c r="B42" i="3"/>
  <c r="A310" i="3"/>
  <c r="B66" i="7"/>
  <c r="A110" i="3"/>
  <c r="B75" i="3"/>
  <c r="A119" i="3"/>
  <c r="A56" i="3"/>
  <c r="A167" i="3"/>
  <c r="C144" i="7"/>
  <c r="A199" i="3"/>
  <c r="A283" i="7"/>
  <c r="C110" i="7"/>
  <c r="B58" i="7"/>
  <c r="B22" i="7"/>
  <c r="B246" i="3"/>
  <c r="A61" i="3"/>
  <c r="A111" i="3"/>
  <c r="B16" i="3"/>
  <c r="B274" i="3"/>
  <c r="A89" i="3"/>
  <c r="A139" i="3"/>
  <c r="C6" i="7"/>
  <c r="A322" i="3"/>
  <c r="A176" i="3"/>
  <c r="B329" i="3"/>
  <c r="C206" i="7"/>
  <c r="A286" i="3"/>
  <c r="A140" i="3"/>
  <c r="A186" i="3"/>
  <c r="A392" i="3"/>
  <c r="D64" i="7"/>
  <c r="A40" i="3"/>
  <c r="A86" i="3"/>
  <c r="B79" i="7"/>
  <c r="B153" i="3"/>
  <c r="B215" i="3"/>
  <c r="B265" i="7"/>
  <c r="B29" i="7"/>
  <c r="B107" i="3"/>
  <c r="C214" i="7"/>
  <c r="B84" i="3"/>
  <c r="B266" i="3"/>
  <c r="A7" i="7"/>
  <c r="A247" i="7"/>
  <c r="B384" i="3"/>
  <c r="B312" i="3"/>
  <c r="B240" i="3"/>
  <c r="B214" i="3"/>
  <c r="A29" i="3"/>
  <c r="A79" i="3"/>
  <c r="A92" i="3"/>
  <c r="B242" i="3"/>
  <c r="A57" i="3"/>
  <c r="A107" i="3"/>
  <c r="A209" i="3"/>
  <c r="A290" i="3"/>
  <c r="A144" i="3"/>
  <c r="A190" i="3"/>
  <c r="B428" i="3"/>
  <c r="A254" i="3"/>
  <c r="A108" i="3"/>
  <c r="A154" i="3"/>
  <c r="C130" i="7"/>
  <c r="B325" i="3"/>
  <c r="A8" i="3"/>
  <c r="A54" i="3"/>
  <c r="A351" i="3"/>
  <c r="B121" i="3"/>
  <c r="B175" i="3"/>
  <c r="B300" i="3"/>
  <c r="B21" i="3"/>
  <c r="B130" i="3"/>
  <c r="B420" i="3"/>
  <c r="A230" i="3"/>
  <c r="A131" i="3"/>
  <c r="A57" i="7"/>
  <c r="A103" i="7"/>
  <c r="D90" i="7"/>
  <c r="B49" i="7"/>
  <c r="D317" i="7"/>
  <c r="A19" i="7"/>
  <c r="B76" i="3"/>
  <c r="B122" i="3"/>
  <c r="A325" i="7"/>
  <c r="A33" i="7"/>
  <c r="B104" i="3"/>
  <c r="B150" i="3"/>
  <c r="O2" i="5"/>
  <c r="B133" i="3"/>
  <c r="B187" i="3"/>
  <c r="A50" i="7"/>
  <c r="A145" i="7"/>
  <c r="B97" i="3"/>
  <c r="B151" i="3"/>
  <c r="F2" i="5"/>
  <c r="B1" i="7"/>
  <c r="B370" i="7"/>
  <c r="B51" i="3"/>
  <c r="A334" i="3"/>
  <c r="B354" i="3"/>
  <c r="A169" i="3"/>
  <c r="B305" i="3"/>
  <c r="A1" i="3"/>
  <c r="B254" i="3"/>
  <c r="A69" i="3"/>
  <c r="A10" i="3"/>
  <c r="A34" i="7"/>
  <c r="B302" i="3"/>
  <c r="A60" i="3"/>
  <c r="B152" i="3"/>
  <c r="D258" i="7"/>
  <c r="A228" i="7"/>
  <c r="D381" i="7"/>
  <c r="B117" i="7"/>
  <c r="A3" i="7"/>
  <c r="B44" i="3"/>
  <c r="B90" i="3"/>
  <c r="B132" i="7"/>
  <c r="A17" i="7"/>
  <c r="B72" i="3"/>
  <c r="B118" i="3"/>
  <c r="B314" i="7"/>
  <c r="B101" i="3"/>
  <c r="B155" i="3"/>
  <c r="A287" i="3"/>
  <c r="B35" i="7"/>
  <c r="B65" i="3"/>
  <c r="B119" i="3"/>
  <c r="B250" i="3"/>
  <c r="B422" i="3"/>
  <c r="T2" i="5"/>
  <c r="B19" i="3"/>
  <c r="D16" i="7"/>
  <c r="B322" i="3"/>
  <c r="A137" i="3"/>
  <c r="A187" i="3"/>
  <c r="B80" i="3"/>
  <c r="B222" i="3"/>
  <c r="A37" i="3"/>
  <c r="A87" i="3"/>
  <c r="A28" i="3"/>
  <c r="B393" i="7"/>
  <c r="B402" i="7"/>
  <c r="A117" i="3"/>
  <c r="D60" i="7"/>
  <c r="C151" i="7"/>
  <c r="C170" i="7"/>
  <c r="A78" i="7"/>
  <c r="B40" i="7"/>
  <c r="B268" i="3"/>
  <c r="A234" i="3"/>
  <c r="A88" i="3"/>
  <c r="A134" i="3"/>
  <c r="B20" i="7"/>
  <c r="A262" i="3"/>
  <c r="A116" i="3"/>
  <c r="A162" i="3"/>
  <c r="B334" i="3"/>
  <c r="A149" i="3"/>
  <c r="B199" i="3"/>
  <c r="A161" i="3"/>
  <c r="B298" i="3"/>
  <c r="A113" i="3"/>
  <c r="A163" i="3"/>
  <c r="D58" i="7"/>
  <c r="B310" i="7"/>
  <c r="A13" i="3"/>
  <c r="A63" i="3"/>
  <c r="A115" i="3"/>
  <c r="B74" i="7"/>
  <c r="B184" i="3"/>
  <c r="B397" i="3"/>
  <c r="A23" i="7"/>
  <c r="B348" i="3"/>
  <c r="B236" i="3"/>
  <c r="A130" i="3"/>
  <c r="A81" i="3"/>
  <c r="B126" i="3"/>
  <c r="B98" i="3"/>
  <c r="AC397" i="1" l="1"/>
  <c r="AD397" i="1"/>
  <c r="AD324" i="1"/>
  <c r="AC324" i="1"/>
  <c r="AD271" i="1"/>
  <c r="AC271" i="1"/>
  <c r="AD245" i="1"/>
  <c r="AC245" i="1"/>
  <c r="AD255" i="1"/>
  <c r="AC255" i="1"/>
  <c r="AD194" i="1"/>
  <c r="AC194" i="1"/>
  <c r="AC199" i="1"/>
  <c r="AD247" i="1"/>
  <c r="AC247" i="1"/>
  <c r="AD157" i="1"/>
  <c r="AC157" i="1"/>
  <c r="AD358" i="1"/>
  <c r="AC358" i="1"/>
  <c r="AD253" i="1"/>
  <c r="AC253" i="1"/>
  <c r="AD190" i="1"/>
  <c r="AC190" i="1"/>
  <c r="AD306" i="1"/>
  <c r="AC306" i="1"/>
  <c r="AC181" i="1"/>
  <c r="AD109" i="1"/>
  <c r="AC109" i="1"/>
  <c r="AC23" i="1"/>
  <c r="AD23" i="1"/>
  <c r="AC47" i="1"/>
  <c r="AD47" i="1"/>
  <c r="AC185" i="1"/>
  <c r="AD414" i="1"/>
  <c r="AC414" i="1"/>
  <c r="AD218" i="1"/>
  <c r="AC218" i="1"/>
  <c r="AD237" i="1"/>
  <c r="AC237" i="1"/>
  <c r="AD186" i="1"/>
  <c r="AC186" i="1"/>
  <c r="AD48" i="1"/>
  <c r="AC48" i="1"/>
  <c r="AD158" i="1"/>
  <c r="AC158" i="1"/>
  <c r="AC193" i="1"/>
  <c r="AC357" i="1"/>
  <c r="AD357" i="1"/>
  <c r="AD178" i="1"/>
  <c r="AC178" i="1"/>
  <c r="AD151" i="1"/>
  <c r="AC151" i="1"/>
  <c r="AC167" i="1"/>
  <c r="AC173" i="1"/>
  <c r="AD110" i="1"/>
  <c r="AC110" i="1"/>
  <c r="AC320" i="1"/>
  <c r="AD320" i="1"/>
  <c r="AD334" i="1"/>
  <c r="AC334" i="1"/>
  <c r="AD216" i="1"/>
  <c r="AC216" i="1"/>
  <c r="AD17" i="1"/>
  <c r="AC17" i="1"/>
  <c r="AD25" i="1"/>
  <c r="AC25" i="1"/>
  <c r="AD65" i="1"/>
  <c r="AC65" i="1"/>
  <c r="AD49" i="1"/>
  <c r="AC49" i="1"/>
  <c r="AD226" i="1"/>
  <c r="AC226" i="1"/>
  <c r="AD206" i="1"/>
  <c r="AC206" i="1"/>
  <c r="AD235" i="1"/>
  <c r="AC235" i="1"/>
  <c r="AD106" i="1"/>
  <c r="AC106" i="1"/>
  <c r="AC177" i="1"/>
  <c r="AC12" i="1"/>
  <c r="AD198" i="1"/>
  <c r="AC198" i="1"/>
  <c r="AD322" i="1"/>
  <c r="AC322" i="1"/>
  <c r="AD202" i="1"/>
  <c r="AC202" i="1"/>
  <c r="AD210" i="1"/>
  <c r="AC210" i="1"/>
  <c r="AD263" i="1"/>
  <c r="AC263" i="1"/>
  <c r="AC191" i="1"/>
  <c r="AC197" i="1"/>
  <c r="AC11" i="1"/>
</calcChain>
</file>

<file path=xl/sharedStrings.xml><?xml version="1.0" encoding="utf-8"?>
<sst xmlns="http://schemas.openxmlformats.org/spreadsheetml/2006/main" count="8663" uniqueCount="1301">
  <si>
    <t>PLAN DE ACCIÓN 2021 UNIDAD DE PLANEACIÓN MINERO ENERGÉTICA - UPME</t>
  </si>
  <si>
    <t>ACTIVIDADES</t>
  </si>
  <si>
    <t>ARTICULACIÓN</t>
  </si>
  <si>
    <t>SEGUIMIENTO</t>
  </si>
  <si>
    <t>Dependencia</t>
  </si>
  <si>
    <t>No consecutivo
Actividad</t>
  </si>
  <si>
    <t>ACTIVIDAD</t>
  </si>
  <si>
    <t>Ponderación (%) Actividad</t>
  </si>
  <si>
    <t>Número de Subactividad</t>
  </si>
  <si>
    <t>Sub actividad</t>
  </si>
  <si>
    <t>Ponderación (%) 
Sub actividad</t>
  </si>
  <si>
    <t>Producto Entregable de la Sub Actividad</t>
  </si>
  <si>
    <t>Indicador de la Actividad</t>
  </si>
  <si>
    <t>Responsable</t>
  </si>
  <si>
    <t>Mes de cumplimiento SubActividades</t>
  </si>
  <si>
    <t>Compromisos relacionados (PND, CONPES, PLAN ESTRAT SECTORIAL)</t>
  </si>
  <si>
    <t>Proyecto de Inversión relacionado ó N/A</t>
  </si>
  <si>
    <t>Dimensión MIPG</t>
  </si>
  <si>
    <t>Política MIPG</t>
  </si>
  <si>
    <t>Objetivo estrategico institucional relacionado</t>
  </si>
  <si>
    <t>Proceso relacionado</t>
  </si>
  <si>
    <t>Planes Institucionales relacionados</t>
  </si>
  <si>
    <t>% avance Sub Actividad</t>
  </si>
  <si>
    <t>Mes en que se realizó</t>
  </si>
  <si>
    <t>Observaciones</t>
  </si>
  <si>
    <t>*Recuerde que todas las acciones reportadas en el seguimiento deben tener su respectiva evidencia en la carpeta compartida</t>
  </si>
  <si>
    <t>Trim 1</t>
  </si>
  <si>
    <t>Trim 2</t>
  </si>
  <si>
    <t>Trim 3</t>
  </si>
  <si>
    <t>Trim 4</t>
  </si>
  <si>
    <t>Trim</t>
  </si>
  <si>
    <t>Trim 1 y cumplidas</t>
  </si>
  <si>
    <t>Dirección General - Asesoras</t>
  </si>
  <si>
    <t>Acompañar a la Entidad en la implementación la transformación cultural, organizacional y digital a través de la modernización institucional.</t>
  </si>
  <si>
    <t>1.1</t>
  </si>
  <si>
    <t>Identificar y transferir mejores prácticas metodológicas para la implementación de la transformación cultural, organizacional y digital a través de la modernización institucional.</t>
  </si>
  <si>
    <t>Lista de asistencia ó correo ó documento ó Actas de reunión</t>
  </si>
  <si>
    <t>% de solicitudes atendidas</t>
  </si>
  <si>
    <t>Equipo Asesor</t>
  </si>
  <si>
    <t>Diciembre</t>
  </si>
  <si>
    <t>N/A</t>
  </si>
  <si>
    <t>D2 Direccionamiento Estratégico y Planeación</t>
  </si>
  <si>
    <t>POLÍTICA 3 Planeación Institucional</t>
  </si>
  <si>
    <t xml:space="preserve">
Obj.Est N. 1: Generar valor público, económico y social, a partir del conocimiento integral de los recursos minero-energéticos.
Obj.Est N. 2: Incorporar las mejores prácticas organizacionales y tecnológicas que garanticen calidad e integridad de la gestión pública.</t>
  </si>
  <si>
    <t>1. Direccionamiento Estratégico</t>
  </si>
  <si>
    <t>Marzo</t>
  </si>
  <si>
    <t xml:space="preserve">Actividad de gestión asociada a la labor continua de la Dirección. Se relacionan los correos donde se evidencia la gestión realizada hacia áreas misionales y de apoyo.  </t>
  </si>
  <si>
    <t>1.2</t>
  </si>
  <si>
    <t>Actividad continua asociada a la labor del proceso de modernización, el gobierno de datos y la Subdirección de Gestión de la Información. Se relacionan los correos donde se evidencian comentarios e insumos, así como documentos trabajados directamente por el área.</t>
  </si>
  <si>
    <t>1.3</t>
  </si>
  <si>
    <t xml:space="preserve">Hacer seguimiento al proceso de modernización y la gestión frente a las diferentes entidades que hacen parte del proceso. </t>
  </si>
  <si>
    <t>Actividad de gestión asociada a la labor continua de la Dirección. Se relacionan los correos donde se evidencia la gestión realizada y las citas (reuniones) en las cuales se participó del ejercicio de seguimiento.</t>
  </si>
  <si>
    <t>1.4</t>
  </si>
  <si>
    <t>Retroalimentar los avances de la transformación cultural, organizacional y digital a través de la modernización institucional, en particular los del rediseño institucional.</t>
  </si>
  <si>
    <t xml:space="preserve">Actividad continúa de retroalimentación. Se relacionan los correos donde se evidencia la gestión realizada hacia áreas misionales y de apoyo, así como el acompañamiento de reuniones y actividades de socialización en el marco del rediseño institucional.  </t>
  </si>
  <si>
    <t>Acompañar a la Unidad en la gestión institucional en el marco de la planeación inteligente.</t>
  </si>
  <si>
    <t>2.1</t>
  </si>
  <si>
    <t>Apoyar al Director General en la identificación de mejoras normativas que sean de interés para el impulso del sector.</t>
  </si>
  <si>
    <t>Obj.Est N. 1: Generar valor público, económico y social, a partir del conocimiento integral de los recursos minero-energéticos
Obj.Est N. 2: Incorporar las mejores prácticas organizacionales y tecnológicas que garanticen calidad e integrida.
Obj.Est N. 3: Orientar el aprovechamiento y uso eficiente y responsable de los recursos minero - energéticos.
Obj.Est N. 4: Desarrollar las acciones necesarias que permitan materializar los planes, programas y proyectos en el sector minero energético.</t>
  </si>
  <si>
    <t xml:space="preserve">La actividad es continua ya que consiste en el escaneo permanente de alertas en el marco regulatorio que afecta la entidad. Se relacionan los ejercicios de identificación realizados de manera periódica y coyuntural. </t>
  </si>
  <si>
    <t>2.2</t>
  </si>
  <si>
    <t>Acompañar en la actualización y el seguimiento del Plan Estratégico Insitucional.</t>
  </si>
  <si>
    <t xml:space="preserve">Actividad de gestión asociada al direccionamiento estrategico de la entidad. Se relacionan los correos donde se evidencia la gestión realizada hacia áreas de apoyo. </t>
  </si>
  <si>
    <t>2.3</t>
  </si>
  <si>
    <t>D3 Gestión para Resultados con Valores</t>
  </si>
  <si>
    <t>POLÍTICA 5 Fortalecimiento Organizacional y Simplificación de Procesos</t>
  </si>
  <si>
    <t>La actividad de gestión relacionada con el flujo de información de la entidad. Se relacionan las actas y citas de reuniones acompañadas y los documentos realizados para propositos de los flujos de información.</t>
  </si>
  <si>
    <t>Acompañar a la Dirección en el desarrollo del enfoque territorial de la planeación.</t>
  </si>
  <si>
    <t>3.1</t>
  </si>
  <si>
    <t>Identificar y transferir mejores prácticas metodológicas para la aplicación del enfoque territorial a la planeación</t>
  </si>
  <si>
    <t>Obj.Est N. 1: Generar valor público, económico y social, a partir del conocimiento integral de los recursos minero-energéticos.
Obj.Est N. 3: Orientar el aprovechamiento y uso eficiente y responsable de los recursos minero - energéticos.
Obj.Est N. 4: Desarrollar las acciones necesarias que permitan materializar los planes, programas y proyectos en el sector minero energético.</t>
  </si>
  <si>
    <t>1.56%</t>
  </si>
  <si>
    <t xml:space="preserve">Actividad de gestión continua. Se relacionan documento soporte sobre la práctica de observación. </t>
  </si>
  <si>
    <t>3.2</t>
  </si>
  <si>
    <t xml:space="preserve">Actividad de gestión continua. Se relacionan las reuniones realizadas con el Equipo Ambiental Social de la UPME y los documentos revisados. </t>
  </si>
  <si>
    <t>3.3</t>
  </si>
  <si>
    <t>Retroalimentar los avances de la aplicación del enfoque territorial en lso plans programas y proyectos de la Unidad</t>
  </si>
  <si>
    <t>Actividad continúa de retroalimentación. Se registran los soportes de comentarios y observaciones realizadas en el marco de  la aplicación del enfoque territorial.</t>
  </si>
  <si>
    <t>Acompañar el desarrollo de la Comunicación y difusión estratégica de los planes, programas y proyectos de la Unidad.</t>
  </si>
  <si>
    <t>4.1</t>
  </si>
  <si>
    <t>Identificar y transferir mejores prácticas metodológicas para la comunicación y difusión estratégica de los planes, programas y proyectos de la Unidad y su relacionamiento con públicos de interés.</t>
  </si>
  <si>
    <t>POLÍTICA 12 Participación Ciudadana en la Gestión Pública</t>
  </si>
  <si>
    <t xml:space="preserve">Actividad continua asociada a una labor de gestión. Se registran los soportes correspondientes. </t>
  </si>
  <si>
    <t>4.2</t>
  </si>
  <si>
    <t>Dar soporte técnico a las áreas en el diseño y desarrollo de estrategias de comunicación y difusión de los planes, programas y proyectos de la Unidad y su relacionamiento con públicos de interés.</t>
  </si>
  <si>
    <t xml:space="preserve">Actividad de gestión dependiente de la solicitudes del área. Se registra el soporte correspondiente a orientaciones brindadas. </t>
  </si>
  <si>
    <t>4.3</t>
  </si>
  <si>
    <t>Retroalimentar a las áreas misionales de la entidad para que los planes que sean desarrollados en el transcurso de la vigencia identifiquen una estrategia de socialización diferenciada por grupos de interés.</t>
  </si>
  <si>
    <t xml:space="preserve">Durante el periodo de reporte no hubo planes de la entidad que se encontraran en la etapa de identificación de estrategias de socialización diferenciadas. </t>
  </si>
  <si>
    <t>4.4</t>
  </si>
  <si>
    <t xml:space="preserve">Hacer seguimiento a la implementación del Plan Estratégico de Comunicaciones y a la Oficina de Gestión de la Información para promover el desarrollo de estrategias efectivas de identificación de actores e intereses, así como en la socialización de los planes, programas y proyectos, así como del quehacer de la Unidad. </t>
  </si>
  <si>
    <t xml:space="preserve">Actividad de gestión y acompañamiento. Se registran las reuniones en las cuales se buscó identificar actores e intereses, así como mecanismos efectivos que permitan elaborar un mejor mapeo de los actores e intereses. </t>
  </si>
  <si>
    <t>Dirección General - Control Interno</t>
  </si>
  <si>
    <t>Elaborar el Programa Anual de auditorias lnternas PAAI 2021</t>
  </si>
  <si>
    <t>Documento de PAAI 2021</t>
  </si>
  <si>
    <t>Cantidad de Documentos</t>
  </si>
  <si>
    <t>Bertha Sofía Ortiz Gutiérrez</t>
  </si>
  <si>
    <t>Enero</t>
  </si>
  <si>
    <t>D7 Control Interno</t>
  </si>
  <si>
    <t>POLÍTICA 16 Control Interno</t>
  </si>
  <si>
    <t>2. Incorporar las mejores prácticas organizacionales y tecnológicas que garanticen calidad e integridad de la gestión pública.</t>
  </si>
  <si>
    <t>19. Evaluación y Control</t>
  </si>
  <si>
    <t>Presentar al CCCI el Programa Anual de auditorias lnternas PAAI 2021 para aprobación</t>
  </si>
  <si>
    <t>Documento de PAAI 2021 aprobado</t>
  </si>
  <si>
    <t>Ejecutar las actividades programadas dentro del Plan Anual de Auditorías Internas - PAAI 2021, de conformidad con los roles establecidos para Control Interno.</t>
  </si>
  <si>
    <t>Realizar 1 Auditoría Interna</t>
  </si>
  <si>
    <t>Informe de Auditoría</t>
  </si>
  <si>
    <t>Indice de ejecución del PAAI 2021</t>
  </si>
  <si>
    <t>Febrero</t>
  </si>
  <si>
    <t>Abril</t>
  </si>
  <si>
    <t>2.4</t>
  </si>
  <si>
    <t>Junio</t>
  </si>
  <si>
    <t>2.5</t>
  </si>
  <si>
    <t>Julio</t>
  </si>
  <si>
    <t>2.6</t>
  </si>
  <si>
    <t>Septiembre</t>
  </si>
  <si>
    <t>2.7</t>
  </si>
  <si>
    <t>Octubre</t>
  </si>
  <si>
    <t>2.8</t>
  </si>
  <si>
    <t>Realizar 8 Informes de Ley</t>
  </si>
  <si>
    <t>Informes o reportes</t>
  </si>
  <si>
    <t>2.9</t>
  </si>
  <si>
    <t>Realizar 5 Informes de Ley</t>
  </si>
  <si>
    <t>2.10</t>
  </si>
  <si>
    <t>Realizar 6 Informes de Ley</t>
  </si>
  <si>
    <t>2.11</t>
  </si>
  <si>
    <t>Realizar 2 Informes de Ley</t>
  </si>
  <si>
    <t>2.12</t>
  </si>
  <si>
    <t>Mayo</t>
  </si>
  <si>
    <t>2.13</t>
  </si>
  <si>
    <t>2.14</t>
  </si>
  <si>
    <t>Realizar 7 Informes de Ley</t>
  </si>
  <si>
    <t>2.15</t>
  </si>
  <si>
    <t>Agosto</t>
  </si>
  <si>
    <t>2.16</t>
  </si>
  <si>
    <t>Realizar 3 Informes de Ley</t>
  </si>
  <si>
    <t>2.17</t>
  </si>
  <si>
    <t>2.18</t>
  </si>
  <si>
    <t>Noviembre</t>
  </si>
  <si>
    <t>2.19</t>
  </si>
  <si>
    <t>2.20</t>
  </si>
  <si>
    <t>Realizar 2 Seguimientos de Ley</t>
  </si>
  <si>
    <t>2.21</t>
  </si>
  <si>
    <t>2.22</t>
  </si>
  <si>
    <t>2.23</t>
  </si>
  <si>
    <t>Realizar 3 Seguimientos de Ley</t>
  </si>
  <si>
    <t>2.24</t>
  </si>
  <si>
    <t>2.25</t>
  </si>
  <si>
    <t>Realizar 1 Seguimientos de Ley</t>
  </si>
  <si>
    <t>2.26</t>
  </si>
  <si>
    <t>2.27</t>
  </si>
  <si>
    <t>2.28</t>
  </si>
  <si>
    <t>Realizar 5 Seguimientos de Ley</t>
  </si>
  <si>
    <t>2.29</t>
  </si>
  <si>
    <t>2.30</t>
  </si>
  <si>
    <t>2.31</t>
  </si>
  <si>
    <t>Realizar capacitación en riesgos</t>
  </si>
  <si>
    <t>Listado de Asistencia</t>
  </si>
  <si>
    <t>Revisar y actualizar la documentación del Proceso de Evaluación y Control a cargo de Control Interno.</t>
  </si>
  <si>
    <t>Revisar documentos (Estatuto de auditoría, procedimiento de auditoría y formatos)</t>
  </si>
  <si>
    <t>Documentos del Proceso de Evaluación y Control revisados y actualizados.</t>
  </si>
  <si>
    <t>Indice de documentos revisados y actualizados</t>
  </si>
  <si>
    <t>Tramitar y dar respuesta a los requerimientos de los entes de control. (A demanda)</t>
  </si>
  <si>
    <t>Dar respuesta a los requerimientos de los entes de control.</t>
  </si>
  <si>
    <t>Respuestas a requerimientos de entes de control</t>
  </si>
  <si>
    <t>Indice de respuestas a requerimientos de entes de control</t>
  </si>
  <si>
    <t>Dirección General - GIT Planeación</t>
  </si>
  <si>
    <t>Seguimiento</t>
  </si>
  <si>
    <t>Efectuar el seguimiento al PAAC I CUATRIMESTRE</t>
  </si>
  <si>
    <t>PAAC actualizado</t>
  </si>
  <si>
    <t xml:space="preserve">Aumento en el porcentaje de avance del PAAC : 
Actividades realizadas / Actividades planeadas </t>
  </si>
  <si>
    <t>Libardo Murillo - Carlos Felipe Rojas</t>
  </si>
  <si>
    <t>N.A</t>
  </si>
  <si>
    <t>9. Plan anticorrupción y de atención al ciudadano</t>
  </si>
  <si>
    <t>Efectuar el seguimiento al PAAC II CUATRIMESTRE</t>
  </si>
  <si>
    <t>Efectuar el seguimiento al PAAC III CUATRIMESTRE</t>
  </si>
  <si>
    <t>*Enero 2022</t>
  </si>
  <si>
    <t>Diligenciar el aplicativo de la matríz de transparencia ITA</t>
  </si>
  <si>
    <t xml:space="preserve">Matriz de transparencia ITA diligenciada y enviada </t>
  </si>
  <si>
    <t>% de avance del aplicativo:
Modulos diligenciados satisfactoriamente/ Modulos totales del aplicativo</t>
  </si>
  <si>
    <t>Libardo Murillo - Luz Mireya Gómez</t>
  </si>
  <si>
    <t>D4 Evaluación de Resultados</t>
  </si>
  <si>
    <t>POLÍTICA 13 Seguimiento y Evaluación del Desempeño Institucional</t>
  </si>
  <si>
    <t xml:space="preserve">Se han actualizado documentos con nuevas versiónes en la pagina de trasnparencia </t>
  </si>
  <si>
    <t>1.5</t>
  </si>
  <si>
    <t>DNP - Gestionar la actualización de la información del SISCOMPES</t>
  </si>
  <si>
    <t>Actualizaciones realizadas</t>
  </si>
  <si>
    <t xml:space="preserve">% de actualizaciones de modulo SISCOMPES </t>
  </si>
  <si>
    <t>Se realizo el seguimiento de acuerdo a los compromisos establecidos para Documento CONPES 3919 (Politica Nacional de Edificaciones Sostenibles), Documento CONPES 3934 (Politica Crecimiento Verde), Documento CONPES 3944 Estategía para el Desarrollo Integral del Departamento de al Guajira y sus púeblos indigenas.</t>
  </si>
  <si>
    <t>1.6</t>
  </si>
  <si>
    <t>Asesorar y validar el seguimiento al SPI de los proyectos de inversión</t>
  </si>
  <si>
    <t>Sistema y matriz SPI actualizada</t>
  </si>
  <si>
    <t xml:space="preserve">Aumento en el porcentaje de avance del SPI : 
Actividades realizadas / Actividades planeadas </t>
  </si>
  <si>
    <t>5 - Generación de valor público a traves del emprendimiento y la innovación para la UPME ubicada en Bogotá - 2019011000090</t>
  </si>
  <si>
    <t>Se realiza el seguimiento periodico al Sistema de proyectos de inversión lo cual se evidencia en los correos adjuntos en la carpeta de evidencias y en la matriz de seguimiento SPI</t>
  </si>
  <si>
    <t>1.7</t>
  </si>
  <si>
    <t xml:space="preserve">Generar el seguimiento y los reportes presupuestales de proyectos de inversión Primer trimestre </t>
  </si>
  <si>
    <t xml:space="preserve">Informe de seguimiento trimestral socializado con los dueños de proceso </t>
  </si>
  <si>
    <t># de indicadores presupuestales calculados/ # de indcadores presupuestales planteados</t>
  </si>
  <si>
    <t>Luz Mireya Gómez - Libardo Murillo</t>
  </si>
  <si>
    <t xml:space="preserve">En el seguimiento a proyectos de inversión se esta llevando los indicadores mensuales de la ejecucción que se presentan en las mesas de coordinación directiva </t>
  </si>
  <si>
    <t>1.8</t>
  </si>
  <si>
    <t xml:space="preserve">Generar el seguimiento y los reportes presupuestales de proyectos de inversión segundo trimestre </t>
  </si>
  <si>
    <t>1.9</t>
  </si>
  <si>
    <t xml:space="preserve">Generar el seguimiento y los reportes presupuestales de proyectos de inversión tercer trimestre </t>
  </si>
  <si>
    <t>1.10</t>
  </si>
  <si>
    <t xml:space="preserve">Generar el seguimiento y los reportes presupuestales de proyectos de inversión cuarto trimestre </t>
  </si>
  <si>
    <t>1.11</t>
  </si>
  <si>
    <t xml:space="preserve">Realizar el reporte de avance de trámites en el SUIT 1er trimestre </t>
  </si>
  <si>
    <t xml:space="preserve">Reporte actualizado de tramites ante el SUIT </t>
  </si>
  <si>
    <t xml:space="preserve">#de actualizaciónes realizadas / #de actualizaciones programadas </t>
  </si>
  <si>
    <t>A l afecha no se han generado tramites nuevos para subir en el SUIT, los tramites previamente gestionados se encuentrasn con la documentación completa</t>
  </si>
  <si>
    <t>1.12</t>
  </si>
  <si>
    <t xml:space="preserve">Realizar el reporte de avance de trámites en el SUIT 2er trimestre </t>
  </si>
  <si>
    <t>1.13</t>
  </si>
  <si>
    <t xml:space="preserve">Realizar el reporte de avance de trámites en el SUIT 3er trimestre </t>
  </si>
  <si>
    <t>1.14</t>
  </si>
  <si>
    <t>Realizar el reporte de avance de trámites en el SUIT 4er trimestre 2020</t>
  </si>
  <si>
    <t>Se cuenta con los (7)  proyectos actualizados en el SUIFP</t>
  </si>
  <si>
    <t>1.15</t>
  </si>
  <si>
    <t>Realizar el informe de seguimiento al Plan Anual de Adquisiciones - PAA cuando se requiera en el SECOP II</t>
  </si>
  <si>
    <t>Actualización del PAA subido al SECOP II</t>
  </si>
  <si>
    <t xml:space="preserve">Aumento en el porcentaje de avance del PAA en el SECOPII : 
actualizaciones realizadas / actualizaciones planeadas </t>
  </si>
  <si>
    <t>POLÍTICA 4 Gestión Presupuestal y Eficiencia del Gasto Público</t>
  </si>
  <si>
    <t>2. Plan anual de adquisiciones</t>
  </si>
  <si>
    <t>Se actualiza el Plan Anual de adquisiciones acorde a la aprobación del comite de contratos.</t>
  </si>
  <si>
    <t>1.16</t>
  </si>
  <si>
    <t>Realizar el seguimiento al Plan Estratégico Institucional - PEI I Trim</t>
  </si>
  <si>
    <t>Actualización de la matriz del PEI</t>
  </si>
  <si>
    <t xml:space="preserve">Aumento en el porcentaje de avance del PEI : 
Actividades realizadas / Actividades planeadas </t>
  </si>
  <si>
    <t>Se realizo una actualización al PEI: 
https://drive.google.com/drive/folders/10yozbdXz57ks1ZlnL3aZbEtC2b67YQdy?usp=sharing</t>
  </si>
  <si>
    <t>1.17</t>
  </si>
  <si>
    <t>Realizar el seguimiento al Plan Estratégico Institucional - PEI II Trim</t>
  </si>
  <si>
    <t>1.18</t>
  </si>
  <si>
    <t>Consolidar el informe de gestión</t>
  </si>
  <si>
    <t xml:space="preserve">Informe de gestión consolido </t>
  </si>
  <si>
    <t>Aumento en el porcentaje de avance del informe de gestión:  
logros y retos informados/ logros y retos planteados</t>
  </si>
  <si>
    <t>D5 Información y Comunicación</t>
  </si>
  <si>
    <t xml:space="preserve">Se consolido el informe de gestión de 2020 </t>
  </si>
  <si>
    <t>1.19</t>
  </si>
  <si>
    <t>Consolidar el informe de rendición de cuentas</t>
  </si>
  <si>
    <t xml:space="preserve">Informe de rendición de cuentas consolido </t>
  </si>
  <si>
    <t>Aumento en el porcentaje de avance del informe de rendición de cuentas:  
logros y retos informados/ logros y retos planteados</t>
  </si>
  <si>
    <t>1.20</t>
  </si>
  <si>
    <t>Consolidar las memorias al congreso</t>
  </si>
  <si>
    <t xml:space="preserve">Informe de memorias al congreso consolido </t>
  </si>
  <si>
    <t>Aumento en el porcentaje de avance de las memorias al congreso:   
logros y retos informados/ logros y retos planteados</t>
  </si>
  <si>
    <t>1.21</t>
  </si>
  <si>
    <t>Cooperación internacional</t>
  </si>
  <si>
    <t xml:space="preserve">Matriz de seguimiento a las iniciativas de cooperacion internacional </t>
  </si>
  <si>
    <t>Tiempo de respuesta frente a las iniciativas hasta su resultado
 (# dias)</t>
  </si>
  <si>
    <t>D6 Gestión del Conocimiento</t>
  </si>
  <si>
    <t>POLÍTICA 15 Gestión del Conocimiento</t>
  </si>
  <si>
    <t xml:space="preserve">Se publico el procedimiento para el tratamiento de inciativas de cooperación internacional para ser implementado en la vigencia, adicionalmente se lleva el control de solicitudes de cooperación internacional semanalmente. </t>
  </si>
  <si>
    <t>1.22</t>
  </si>
  <si>
    <t>Orientar y gestionar el presupuesto 2022 ante la Dirección General y en Consejo Directivo</t>
  </si>
  <si>
    <t>Presentación del presupuesto 2022</t>
  </si>
  <si>
    <t xml:space="preserve">Conformidad del presupuesto con lo planteado por la Dirección </t>
  </si>
  <si>
    <t xml:space="preserve">El anteproyecto de la Unidad para el año 2022 se encuentra consolidado </t>
  </si>
  <si>
    <t>Implementar del SGC bajo la norma ISO 9001-2015</t>
  </si>
  <si>
    <t>Actualizar el aplicativo SIGUEME en la versión del software que incluye MIPG</t>
  </si>
  <si>
    <t>Aplicativo Sigueme actualizado</t>
  </si>
  <si>
    <t>% implementacion en al Norma ISO 9001:2015</t>
  </si>
  <si>
    <t>Libardo Murillo - Laura Gómez</t>
  </si>
  <si>
    <t>21. Mejoramiento continuo</t>
  </si>
  <si>
    <t>El aplicativo esta actualizado de acuerdo a las actualizaciones de procedimientos e indicadores  realizadas por los dueños de procesos</t>
  </si>
  <si>
    <t>Validar la información actual del sistema SIGUEME.</t>
  </si>
  <si>
    <t>Backup documentacion Sigueme</t>
  </si>
  <si>
    <t>Se estan actualizando los procedimientos y ajustando la versión SIGUEME II</t>
  </si>
  <si>
    <t>Implementar las funcionalidades del sistema</t>
  </si>
  <si>
    <t xml:space="preserve">Aplicativo Sigueme y sus modulos </t>
  </si>
  <si>
    <t>Realizar capacitación sobre el manejo de la nueva versión del aplicativo SIGUEME a los funcionarios.</t>
  </si>
  <si>
    <t>Jornadas de capacitacion, listas de asistencia</t>
  </si>
  <si>
    <t>Actualizar y cargar la información en el aplicativo SIGUEME.</t>
  </si>
  <si>
    <t>Actualizacion nuevas versiones de la documentacion del SGC</t>
  </si>
  <si>
    <t>Pre auditoría (Auditoría interna)</t>
  </si>
  <si>
    <t>Informe auditoria interna</t>
  </si>
  <si>
    <t>Auditoría de certificación</t>
  </si>
  <si>
    <t>Certificacion en la norma ISO9001:2015</t>
  </si>
  <si>
    <t>Implementar, mantener y mejorar el Sistema de Gestión - MIPG</t>
  </si>
  <si>
    <t>Cargue de información al módulo MIPG en el SIGUEME</t>
  </si>
  <si>
    <t>Sistema SIGUEME con la documentación cargada, la cual se podrá observar en el módulo de documentos</t>
  </si>
  <si>
    <t>% de avance en la implementación del MIPG (2.5% anual)</t>
  </si>
  <si>
    <t>Realizar seguimiento al "Plan de trabajo para cierre de brechas de MIPG" I Trim</t>
  </si>
  <si>
    <t>Archivo excel con el avance del I Trim registrado</t>
  </si>
  <si>
    <t>Realizar seguimiento al "Plan de trabajo para cierre de brechas de MIPG" II Trim</t>
  </si>
  <si>
    <t>Archivo excel con el avance del II Trim registrado</t>
  </si>
  <si>
    <t>3.4</t>
  </si>
  <si>
    <t>Realizar seguimiento al "Plan de trabajo para cierre de brechas de MIPG" III Trim</t>
  </si>
  <si>
    <t>Archivo excel con el avance del III Trim registrado</t>
  </si>
  <si>
    <t>3.5</t>
  </si>
  <si>
    <t>Realizar seguimiento al "Plan de trabajo para cierre de brechas de MIPG" IV Trim</t>
  </si>
  <si>
    <t>Archivo excel con el avance del IV Trim registrado</t>
  </si>
  <si>
    <t>3.6</t>
  </si>
  <si>
    <t>Actualizar los autodiagnósticos de MIPG</t>
  </si>
  <si>
    <t>Archivos excel con los autodiagnósticos actualizados</t>
  </si>
  <si>
    <t>3.7</t>
  </si>
  <si>
    <t>Formular plan de trabajo cierre de brechas de MIPG 2022</t>
  </si>
  <si>
    <t>Archivo excel con el plan de trabajo cierre de brechas mi MIPG 2022</t>
  </si>
  <si>
    <t>3.8</t>
  </si>
  <si>
    <t>Formular el PAAC vigencia 2022</t>
  </si>
  <si>
    <t>Archivo excel con la formulación del PAAC vigencia 2022</t>
  </si>
  <si>
    <t>3.9</t>
  </si>
  <si>
    <t>Ejecutar, hacer seguimiento y reporte de las actividades establecidas en el plan de trabajo de MIPG para el cierre de brechas</t>
  </si>
  <si>
    <t>Archivo en excel consolidado del reporte del avance en implementación del MIPG de todas las áreas</t>
  </si>
  <si>
    <t>3.10</t>
  </si>
  <si>
    <t>Realizar la evaluación del MIPG en el aplicativo FURAG</t>
  </si>
  <si>
    <t xml:space="preserve">Certificado de cumplimiento emitido por el aplicativo </t>
  </si>
  <si>
    <t>Gestión de Proyectos</t>
  </si>
  <si>
    <t>Actualizar los proyectos de inversión 2022</t>
  </si>
  <si>
    <t>Proyectos de inversión 2022 registrados y actualizados en el SUIFP</t>
  </si>
  <si>
    <t>Avance en el registro de proyectos de inversión: 
# de proyectos registrados / # proyectos totales</t>
  </si>
  <si>
    <t>Se estan actualizando los proyectos de inversión acorde a las necesidades evidenciadas por los  gerentes de proyectosdependencias, una vez aprobado el anteproyecto por el Consejo Directivo</t>
  </si>
  <si>
    <t>Formular nuevos proyectos MGA (Metodologia General Ajustada)</t>
  </si>
  <si>
    <t xml:space="preserve">Proyecto registrado MGA </t>
  </si>
  <si>
    <t>Avance en el registro de proyecto MGA: 
# de proyectos registrados / # proyectos totales</t>
  </si>
  <si>
    <t>Mantener actualizada la información del sistema SUIFP - MGMP (Marco del Gasto de gasto de mediano Plazo)</t>
  </si>
  <si>
    <t>Proyección de presupuesto socializada MGMP</t>
  </si>
  <si>
    <t>Se realiza la presentación para la aprobacion del anteproyecto</t>
  </si>
  <si>
    <t>Mantener actualizada la información del sistema SUIFP - Actualización</t>
  </si>
  <si>
    <t xml:space="preserve">Proyectos actualizados </t>
  </si>
  <si>
    <t>4.5</t>
  </si>
  <si>
    <t>Mantener actualizada la información del sistema SUIFP - Decreto de liquidación</t>
  </si>
  <si>
    <t xml:space="preserve">Proyectos definitivos registrados y actualizados con documentación requerida </t>
  </si>
  <si>
    <t>4.6</t>
  </si>
  <si>
    <t>Realizar capacitaciones para formulación y actualización de proyectos</t>
  </si>
  <si>
    <t xml:space="preserve">Capacitaciones realizadas a los gerentes de proyecto y enlaces </t>
  </si>
  <si>
    <t xml:space="preserve">Grado de satisfacción frene a la capacitación </t>
  </si>
  <si>
    <t>Secretaría General - GIT Gestión Financiera</t>
  </si>
  <si>
    <t>Modernización Institucional</t>
  </si>
  <si>
    <t>Revisar y analizar los documentos del proceso de Modernización Institucional</t>
  </si>
  <si>
    <t>Componente financiero revisado</t>
  </si>
  <si>
    <t>Coordinador del GIT Financiero</t>
  </si>
  <si>
    <t>12. Gestión Financiera</t>
  </si>
  <si>
    <t>Cumplimiento de Planes Institucionales</t>
  </si>
  <si>
    <t>Cumplir con las actividades derivadas de los diferentes planes institucionales donde participe el proceso de gestión financiera</t>
  </si>
  <si>
    <t>Actividades de Gestión Financiera en Planes Cumplidas</t>
  </si>
  <si>
    <t>2.5%</t>
  </si>
  <si>
    <t>Coordinación con GIT planeación, para la planeación, ejecución y seguimiento de presupuesto (Gestión presupuestal):</t>
  </si>
  <si>
    <t>Anteproyecto Presupuesto 2022: Programación presupuestal a través de mesas de trabajo con el GIT de planeación y Áreas involucradas.</t>
  </si>
  <si>
    <t>Anteproyecto de Presupuesto 2022</t>
  </si>
  <si>
    <t>Anteproyecto de Presupuesto
  Validado y Recibido en MinHacienda</t>
  </si>
  <si>
    <t>Libardo Murillo - Holman Corredor y Coordinador del GIT Financiero</t>
  </si>
  <si>
    <t>Seguimiento coordinado con Planeación a la Ejecución del Presupuesto</t>
  </si>
  <si>
    <t>Reportes e Informes de Seguimiento periódicos</t>
  </si>
  <si>
    <t>#de reportes y seguimientos realizados / #de reportes y seguimientos programados</t>
  </si>
  <si>
    <t>Libardo Murillo - Holman Corredor</t>
  </si>
  <si>
    <t>5.25%</t>
  </si>
  <si>
    <t>Actualización y aplicación de las Políticas Contables de la Upme.</t>
  </si>
  <si>
    <t>Modificación al Manual de Políticas Contables</t>
  </si>
  <si>
    <t>Manual de Políticas Contables Actualizado y publicado</t>
  </si>
  <si>
    <t>Contabilidad: Sandra Alvarez García</t>
  </si>
  <si>
    <t>Gestión Transversal Coordinación del GITGF</t>
  </si>
  <si>
    <t>Elaboración y/o Actualización de los procedimientos de Gestión Financiera.</t>
  </si>
  <si>
    <t>Procedimientos Actualizados</t>
  </si>
  <si>
    <t>Total de procedimientos elaborados y actualizados / Procedimientos a implementar del GITGF</t>
  </si>
  <si>
    <t>Grupo Interno de Trabajo de Gestión Financiera y Albeiro Guzmán F. Coordinador GITGF</t>
  </si>
  <si>
    <t>Gestión de Riesgos: Seguimiento a los controles e indicadores</t>
  </si>
  <si>
    <t>Matriz de Riesgos GITGF</t>
  </si>
  <si>
    <t>Total de riesgos valorados / Riesgos del Proceso</t>
  </si>
  <si>
    <t>Evaluación y Seguimiento: Consolidación de Indicadores de Gestión y seguimiento mediante el Plan de Trabajo del GITGF</t>
  </si>
  <si>
    <t>Matriz de Indicadores</t>
  </si>
  <si>
    <t>Indicadores evaluados / Indicadores del Proceso</t>
  </si>
  <si>
    <t>Planes de Mejoramiento: Cumplimiento de acciones de mejora y reportes de avances</t>
  </si>
  <si>
    <t>Plan de Mejoramiento Consolidado</t>
  </si>
  <si>
    <t>Acciones Cumplidas / Acciones del Plan de Mejoramiento</t>
  </si>
  <si>
    <t>Plan de Trabajo: Seguimiento al cumplimiento de metas de presupuesto, contabilidad y tesorería.</t>
  </si>
  <si>
    <t>Plan de Trabajo Anual</t>
  </si>
  <si>
    <t>Metas Cumplidas / Metas del Plan de Trabajo</t>
  </si>
  <si>
    <t>Evaluación de Desempeño equipo de trabajo (provisionales)</t>
  </si>
  <si>
    <t>Evaluación de Desempeño</t>
  </si>
  <si>
    <t>Compromisos cumplidos / Compromisos programados</t>
  </si>
  <si>
    <t>Secretaría General - GIT Gestión Jurídica y Contractual</t>
  </si>
  <si>
    <t>Apoyar el proceso de modernización de la Entidad</t>
  </si>
  <si>
    <t>Revisar los documentos asociados al proceso de modernización de la Entidad, en las competencias del GIT Gestión Jurídica</t>
  </si>
  <si>
    <t>Documentos revisados</t>
  </si>
  <si>
    <t>Documentos solicitados/documentos revisados</t>
  </si>
  <si>
    <t>Coordinadora del GIT Gestión Contractual.</t>
  </si>
  <si>
    <t>37.5%</t>
  </si>
  <si>
    <t>Actividad realizada con la revisión jurídica de los diferentes documentos asociados a la modernización. Memorias justificativas y borradores de los decreto de estructura y planta. Tomo I y Tomo II</t>
  </si>
  <si>
    <t>Implementar el proceso de evaluación de provisionales y seguimiento a los indicadores de gestión</t>
  </si>
  <si>
    <t>Concertar objetivos, realizar seguimiento a la evaluación, y cumplir los indicadores de gestión</t>
  </si>
  <si>
    <t>Matriz de Indicadores diligenciadas.
 Evaluaciones realizadas</t>
  </si>
  <si>
    <t>Coordinadora del GIT Gestión Contractual
 Profesionales universitarios
 Profesionales especailizados
 Tecnico Admnistrativo</t>
  </si>
  <si>
    <t>Marzo (objetivos).
Los indicadores de gestión con corte al 30 de marzo, fueron diligenciados:
Gestión Jurídica:
- Conceptos jurídicos: 100% meta.
- Judicial: contestar demandas oportunamente es semestral (no hubo medición en este corte).
 Gestión Contractual
- Liquidaciones:
- Publicaciones: 100% meta</t>
  </si>
  <si>
    <t>Realizar seguimiento al cumplimiento de los planes a cargo del GIT Gestión Jurídica</t>
  </si>
  <si>
    <t>Realizar seguimiento y control a las acciones propuestas en cada uno de los planes a cargo del GIT Gestión Jurídica (Plan de Mejoramiento Entidad, Plan de Mejoramiento Interno, FURAG, Política de Prevención de Daño Antijurídico)</t>
  </si>
  <si>
    <t>Planes cumplidos</t>
  </si>
  <si>
    <t>actividades propuestas / actividades cumplidas</t>
  </si>
  <si>
    <t>Se realizaron actividades relativas a los diferentes planes de la coordinación, no encontrandose a la fecha, ninguna actividad vencida.</t>
  </si>
  <si>
    <t>Fortalecimiento del acompañamiento jurídico a las áreas misionales</t>
  </si>
  <si>
    <t>Realizar el comité de asuntos jurídicos con el fin de generar doctrina jurídica institucional</t>
  </si>
  <si>
    <t>Sesiones del comité de asuntos jurídicos</t>
  </si>
  <si>
    <t>#de sesiones del comité de asuntos jurídicios realizados / 4</t>
  </si>
  <si>
    <t>Coordinadora del GIT Gestión Contractual.
 Profesionales especializados con funciones jurídicas</t>
  </si>
  <si>
    <t>POLÍTICA 17 Mejora Normativa</t>
  </si>
  <si>
    <t>16. Gestion contractual</t>
  </si>
  <si>
    <t>#de sesiones del comité de asuntos jurídicios realizados / 6</t>
  </si>
  <si>
    <t>Efectuar seguimiento a la gestión contractual</t>
  </si>
  <si>
    <t>5.5</t>
  </si>
  <si>
    <t>Realizar mesas de articulación contractual, con el seguimiento a la ejecución</t>
  </si>
  <si>
    <t>Sesiones de mesas de articulación contractual</t>
  </si>
  <si>
    <t>#de mesas de articulación / 11</t>
  </si>
  <si>
    <t>Coordinadora del GIT Gestión Contractual
 Profesional universitario con funciones de apoyo contractual
 Profesional universitario con funciones contractuales.
 Tecnico Administrativo</t>
  </si>
  <si>
    <t>POLÍTICA 8 Defensa Jurídica</t>
  </si>
  <si>
    <t>5.6</t>
  </si>
  <si>
    <t>Implementar del SECOP II</t>
  </si>
  <si>
    <t>Contratos fimados electronicamente</t>
  </si>
  <si>
    <t># de contratos a firmar / # de contratos firmados</t>
  </si>
  <si>
    <t>A la fecha, se han firmado todos los contratos y ordenes electronicamnte, en el SECOP II
Ordenes Tienda Virtual: 5
Órdenes de compra y/o servicio: 7
Contratos: 51
Convenios: 1 sin presupuesto firmado con el MME</t>
  </si>
  <si>
    <t>5.7</t>
  </si>
  <si>
    <t>Revisar el Manual de Contratación - Res. 184 de 2020</t>
  </si>
  <si>
    <t>Documento de analisis, y propuesta de mejora, si hay lugar</t>
  </si>
  <si>
    <t>Coordinadora del GIT Gestión Contractual</t>
  </si>
  <si>
    <t>15. Gestión Jurídica</t>
  </si>
  <si>
    <t>Gestionar la defensa judicial en el marco del incremento de la litiogisidad de la Entidad</t>
  </si>
  <si>
    <t>6.8</t>
  </si>
  <si>
    <t>Realizar seguimiento a la defensa judicial, a través del comité de conciliación, una (1) vez al mes. Informes</t>
  </si>
  <si>
    <t>Sesiones del comité de conciliación</t>
  </si>
  <si>
    <t>#de comités de conciliación / 11</t>
  </si>
  <si>
    <t>Secretaria técnica del comité de conciliación
 Profesional especializada con funciones misionales</t>
  </si>
  <si>
    <t>Se realizaron 9 comités de conciliación:
Enero: 4
Febero: 3
Marzo: 2</t>
  </si>
  <si>
    <t>Subdirección de Demanda</t>
  </si>
  <si>
    <t>Proyección de demanda</t>
  </si>
  <si>
    <t>Proyección de demanda de energía eléctrica</t>
  </si>
  <si>
    <t>Documento publicado en la web</t>
  </si>
  <si>
    <t>Cumplimiento en la fecha programada</t>
  </si>
  <si>
    <t>William Martinez - Romel Rodriguez - Lina Escobar</t>
  </si>
  <si>
    <t>POLÍTICA 6 Gobierno Digital</t>
  </si>
  <si>
    <t>1. Generar valor económico y social a partir de la aplicación del conocimiento integral de los recursos minero energéticos.</t>
  </si>
  <si>
    <t>3. Demanda y Prospectiva Energética</t>
  </si>
  <si>
    <t>A  la fecha se tiene el seguimiento del consumo de energía eléctrica en 2020 y el comportamiento económico para ese año como pirmer insumo de los modelos y el documento a publicar.</t>
  </si>
  <si>
    <t>Proyección de demanda de gas natural</t>
  </si>
  <si>
    <t>Leonardo Camacho - Romel Rodriguez - Lina Escobar</t>
  </si>
  <si>
    <t>A  la fecha se tiene el seguimiento del consumo de gas natural en 2020 y el comportamiento económico para ese año como pirmer insumo de los modelos y el documento a publicar. El seguimiento se puede ver en el siguiente data studio: https://datastudio.google.com/u/1/reporting/1f0ffa1e-31a7-4671-9257-64372ecabf6c/page/jLbnB</t>
  </si>
  <si>
    <t>Proyección de demanda de combustibles líquidos</t>
  </si>
  <si>
    <t>Julieth García - Lina Escobar</t>
  </si>
  <si>
    <t>Se adelantará en conjunto con un contrato de consultoría</t>
  </si>
  <si>
    <t>Actualización del PAI-PROURE</t>
  </si>
  <si>
    <t>Proyecto a consulta de actualización del PROURE</t>
  </si>
  <si>
    <t>Olga Gonzalez - Lina Escobar</t>
  </si>
  <si>
    <t>Conpes de reactivación económica</t>
  </si>
  <si>
    <t>3 - Asesoría para la seguridad energética y el seguimiento del PEN a nivel Nacional - 2019011000088</t>
  </si>
  <si>
    <t>3. Orientar el aprovechamiento y uso eficiente y responsable de los recursos minero - energéticos.</t>
  </si>
  <si>
    <t>A la fecha se tienen identificadas las medidas de eficiencia energética por sectores, se adelantan los análisis de C/B del sector residencial, al igual que su modelamiento en el LEAP.  DE igual forma se cuenta con un borrador del documento.</t>
  </si>
  <si>
    <t>Proyecto definitivo de actualización del PROURE</t>
  </si>
  <si>
    <t>Publicación BECO</t>
  </si>
  <si>
    <t>Publicación a comentarios del BECO</t>
  </si>
  <si>
    <t>Datos publicados en la web</t>
  </si>
  <si>
    <t xml:space="preserve">Juan Franciso Martinez </t>
  </si>
  <si>
    <t>POLÍTICA 18 Gestión de la Información Estadística</t>
  </si>
  <si>
    <t>Se tienen compilados en la matriz del BECO</t>
  </si>
  <si>
    <t>Publicación definitiva del BECO</t>
  </si>
  <si>
    <t>Juan Franciso Martinez</t>
  </si>
  <si>
    <t>Observatorio de energía</t>
  </si>
  <si>
    <t>Puesta a punto de la visualización en pag web</t>
  </si>
  <si>
    <t>Nuevo diseño implementado en la página web</t>
  </si>
  <si>
    <t>% de avance en la puesta a punto</t>
  </si>
  <si>
    <t xml:space="preserve">El nuevo diseño de la pág web se encuentra en proceso de producción en OGI. La página de pruebas es la siguiente: </t>
  </si>
  <si>
    <t>Publicación de informes de inflación</t>
  </si>
  <si>
    <t>Documentos publicados en la web</t>
  </si>
  <si>
    <t># de publicaciones realizadas/# publicaciones programadas</t>
  </si>
  <si>
    <t>Romel Rodriguez</t>
  </si>
  <si>
    <t>Publicación de estadísticas</t>
  </si>
  <si>
    <t>Maria Paula Rojas</t>
  </si>
  <si>
    <t>Publicación costos de racionamiento</t>
  </si>
  <si>
    <t>DAtos publicados en la web</t>
  </si>
  <si>
    <t>William Martienez</t>
  </si>
  <si>
    <t>Mejoras incentivos tributarios</t>
  </si>
  <si>
    <t>5.1</t>
  </si>
  <si>
    <t>Talleres trimestrales de socialización</t>
  </si>
  <si>
    <t>Talleres virtuales por redes sociales</t>
  </si>
  <si>
    <t># de talleres realizados/# talleres programados</t>
  </si>
  <si>
    <t>Omar Baez</t>
  </si>
  <si>
    <t>POLÍTICA 9 Transparencia, Acceso a la Información y lucha contra la Corrupción</t>
  </si>
  <si>
    <t>8. Gestion conceptos tecnicos</t>
  </si>
  <si>
    <t>5.2</t>
  </si>
  <si>
    <t>Mejoras en automatización en el proceso de certificación</t>
  </si>
  <si>
    <t>Tablero de control</t>
  </si>
  <si>
    <t>% de avance del tablero</t>
  </si>
  <si>
    <t>Omar Baez - Lina Escobar</t>
  </si>
  <si>
    <t>Se tiene el tablero de control actualizado para los proyectos de GEE</t>
  </si>
  <si>
    <t>5.3</t>
  </si>
  <si>
    <t>Procesos del FENOGE</t>
  </si>
  <si>
    <t>Capacitación al personal de la oficina de fondos</t>
  </si>
  <si>
    <t>% de avance en la capacitación</t>
  </si>
  <si>
    <t>Se tiene la presentación para la capacitación al personal de la Oficina de Fondos</t>
  </si>
  <si>
    <t>Subdirección de Minería</t>
  </si>
  <si>
    <t>Formular el Plan Nacional de Desarrollo Minero con Enfoque territorial</t>
  </si>
  <si>
    <t xml:space="preserve">Definición del marco conceptual y la Unidad de Análisis  para el PND Cesar y Guajira </t>
  </si>
  <si>
    <t>Documento que consolide el marco conceptual del PND con enfoque territorial y establezca  la unidad de análisis  para abordar la región del Cesar y la Gujira</t>
  </si>
  <si>
    <t>Documentos realizados</t>
  </si>
  <si>
    <t>JUAN CARLOS LOAIZA</t>
  </si>
  <si>
    <t>PND</t>
  </si>
  <si>
    <t>7 - Asesoría para promover el desarrollo sostenible y la competitividad del sector minero Nacional - 2019011000300</t>
  </si>
  <si>
    <t>4. Desarrollar las acciones necesarias que permitan materializar los planes, programas y proyectos en el sector minero energético.</t>
  </si>
  <si>
    <t>6. Planeación Estratégica e Integral de Minerales</t>
  </si>
  <si>
    <t>Caracterización integral  del territorio definido dentro de la unidad de análisis</t>
  </si>
  <si>
    <t xml:space="preserve">Documento con la caracterización integral de la unidad de análisis establecida </t>
  </si>
  <si>
    <t>Análisis prospectivo del territorio</t>
  </si>
  <si>
    <t>Documento con el análisis prospectivo realizado</t>
  </si>
  <si>
    <t>Formulación de estrategias de gestión del territorio</t>
  </si>
  <si>
    <t>Documento con la formulación de estratégias de gestión del territorio</t>
  </si>
  <si>
    <t>Fijar los precios de los diferentes minerales para la liquidación de las regalías</t>
  </si>
  <si>
    <t>Resoluciones de precios de Carbón, Minerales Metálicos, Minerales no metálicos y Niquel</t>
  </si>
  <si>
    <t>Oportunidad en la fijación de precios para liquidación de regalías de los minerales</t>
  </si>
  <si>
    <t>JORGE FORERO/ ALEJANDRO GALVEZ</t>
  </si>
  <si>
    <t>DECRETO 1258/2013</t>
  </si>
  <si>
    <t>Resoluciones precios de Carbón, Minerales Metálicos y Niq</t>
  </si>
  <si>
    <t>Elaboración propuesta actos administrativos "Resoluciones de precios Trimestre III "</t>
  </si>
  <si>
    <t>Elaboración propuesta actos administrativos "Resoluciones de precios Trimestre IV"</t>
  </si>
  <si>
    <t>Elaborar estudios como insumo para la planeación, para análisis del comportamiento e incidencia, así como los requerimientos del sector minero</t>
  </si>
  <si>
    <t>Ampliación de la capacidad análitica del rubro de minas y canteras en las cuentas nacionales, a través del desarrollo de la cuenta satélite minera - DANE</t>
  </si>
  <si>
    <t>Cuenta satélite para 32 Minerales</t>
  </si>
  <si>
    <t>CAMILO GOMEZ</t>
  </si>
  <si>
    <t>PND  - PE 2018-2022 SUBSECTOR MINERÍA</t>
  </si>
  <si>
    <t>Complementación  diseño y prueba instrumento recolección versión Web</t>
  </si>
  <si>
    <t>Documento con diseño  y resultado de prueba Web</t>
  </si>
  <si>
    <t>Actualización del Modelo de Mercado Nacional de Minerales</t>
  </si>
  <si>
    <t xml:space="preserve">Modelo que permita generar los pronosticos en terminos de volumen de los minerales considerados  y los escenarios </t>
  </si>
  <si>
    <t>Pronosticos de mercado nacional actualizados en el SIMCO</t>
  </si>
  <si>
    <t xml:space="preserve">JORGE FORERO </t>
  </si>
  <si>
    <t>Desarrollo e implementación de los mecanismos para la formalización, legalización y acceso a la financiación en el sector minero.</t>
  </si>
  <si>
    <t>Elaborar insumos técnicos relacionados con la gestión de riesgos del sector minero como aporte al diseño de mecanismos para la formalización, legalización y acceso a la financiación en el sector minero</t>
  </si>
  <si>
    <t>ALEJANDRO GALVEZ</t>
  </si>
  <si>
    <t>DECRETO 1258/2014</t>
  </si>
  <si>
    <t>Elaborar estudio de fortalecimiento de la cadena de valor del sector minero con enfoque territorial Guajira y Cesar</t>
  </si>
  <si>
    <t>Documento cadena de valor en la zona norte del país</t>
  </si>
  <si>
    <t>SORAYA VARGAS</t>
  </si>
  <si>
    <t xml:space="preserve">Hoja de Ruta de cobre </t>
  </si>
  <si>
    <t>Actulización informe mineral de cobre en Colombia</t>
  </si>
  <si>
    <t>Documento con actualización del informe 2020</t>
  </si>
  <si>
    <t>RUBEN CHANCÍ</t>
  </si>
  <si>
    <t xml:space="preserve">Actualización analisis de costos de transporte multimodal de carbón de exportación del interior del país. </t>
  </si>
  <si>
    <t>Actualización análisis multimodal 2020</t>
  </si>
  <si>
    <t xml:space="preserve">Documento con actualización de datos de entrada del modelo: costos de transporte, costos de extracción y reservas entre otros; con datos sobre costos en los nodos de transferencia entre un modo de transporte y otro; con análisis comparativos y complementarios con el esquema de cálculo de costos de transporte georeferenciado entregado por Incoplan y BI2, con identifiacción de cada uno de los centros de producción (minas), centros de acopio y puertos de destino, documentando los datos ingresados en cada caso. </t>
  </si>
  <si>
    <t>FREDY ROJAS</t>
  </si>
  <si>
    <t>Mejorar el flujo, calidad y el análisis de lal información que nutre el Sistema de Información Minero Colombinao - SIMCO</t>
  </si>
  <si>
    <t>Adquirir suscripciones para el análisis del comportamiento de minerales</t>
  </si>
  <si>
    <t>Suscripción online de la publicación Metal Bulletin</t>
  </si>
  <si>
    <t xml:space="preserve">Renovación de la suscripción </t>
  </si>
  <si>
    <t>Adquirir la Suscripción Wood Mackenzie</t>
  </si>
  <si>
    <t>Realizar la renovación de la suscripción on line de argus media</t>
  </si>
  <si>
    <t>JORGE FORERO</t>
  </si>
  <si>
    <t>Suscripción online de la publicación the baltic exchange</t>
  </si>
  <si>
    <t>Creación de nuevos reportes en Tableau</t>
  </si>
  <si>
    <t>78 Reportes actualizado</t>
  </si>
  <si>
    <t>Reportes Tableau disponibles en el SIMCO</t>
  </si>
  <si>
    <t>CARLOS MEDINA</t>
  </si>
  <si>
    <t>Inventario Reportes Disponibles SIMCO</t>
  </si>
  <si>
    <t>Invetario consolidado semestralmente</t>
  </si>
  <si>
    <t>4.7</t>
  </si>
  <si>
    <t>Actualización contenido SIMCO</t>
  </si>
  <si>
    <t>4 Temas actualizados</t>
  </si>
  <si>
    <t>Secretaría General - GIT Talento Humano y Servicio al Ciudadano</t>
  </si>
  <si>
    <t>Formular, ejecutar, hacer seguimiento y evaluación a los planes relacionados con la gestión del Talento Humano de acuerdo con el MIPG</t>
  </si>
  <si>
    <t>Formulación y aprobación del Plan Estratégico de Talento Humano</t>
  </si>
  <si>
    <t>Documento con la formulación del Plan Estratégico del Talento Humano publicado en la página de la entidad</t>
  </si>
  <si>
    <t>(N° de actividades ejecutadas / N° de actividades planificadas) *100</t>
  </si>
  <si>
    <t>Coordinadora GIT Talento Humano y Atención al Ciudadano</t>
  </si>
  <si>
    <t>D1 Talento Humano</t>
  </si>
  <si>
    <t>POLÍTICA 1 Gestión Estratégica del Talento Humano</t>
  </si>
  <si>
    <t>11. Gestión del Talento Humano</t>
  </si>
  <si>
    <t>5. Plan estratégico de talento humano</t>
  </si>
  <si>
    <t>Ejecutar las actividades del cronograma del Plan Estratégico del Talento Humano programadas para el primer trimestre.</t>
  </si>
  <si>
    <t>Evidencia del cumplimiento trimestral de las actividades mediante la casilla "Producto" que se encuentra en el PETH.</t>
  </si>
  <si>
    <t>Ejecutar las actividades del cronograma del Plan Estratégico del Talento Humano</t>
  </si>
  <si>
    <t>Formulación y aprobación del Plan de Bienestar Social e Incentivos</t>
  </si>
  <si>
    <t>Documento con la formulación del Plan de Bienestar Social e Incentivos publicado en la página de la entidad</t>
  </si>
  <si>
    <t>7. Plan de incentivos institucionales</t>
  </si>
  <si>
    <t>Ejecutar las actividades del cronograma del Plan de bienestar Social e Incentivos</t>
  </si>
  <si>
    <t>Evidencia del cumplimiento trimestral de las actividades consignadas en el cronograma de ejecución del Plan de Bienestar Social e Incentivos 2021.</t>
  </si>
  <si>
    <t>Formulación y aprobación del Plan institucional de Capacitación</t>
  </si>
  <si>
    <t>Documento con la formulación del Plan institucional de Capacitación publicado en la página de la entidad</t>
  </si>
  <si>
    <t>Profesional Especializado 2028 grado 19 a cargo del proceso - GIT Talento humano y Atención al Ciudadano</t>
  </si>
  <si>
    <t>6. Plan institucional de capacitación</t>
  </si>
  <si>
    <t>Ejecutar las actividades del cronograma del Plan Institucional de Capacitación</t>
  </si>
  <si>
    <t>Evidencia del cumplimiento trimestral de las actividades consignadas en el cronograma de ejecución del Plan Institucional de Capacitación 2021.</t>
  </si>
  <si>
    <t>Documento con la formulación del Plan de Seguridad y Salud en el Trabajo publicado en la página de la entidad</t>
  </si>
  <si>
    <t>Profesional a cargo del tema - GIT Talento Humano y Atención al Ciudadano</t>
  </si>
  <si>
    <t>8. Plan anual de trabajo de seguridad y salud en el trabajo</t>
  </si>
  <si>
    <t>Ejecutar las actividades del cronograma del Plan de Seguridad y Salud en el Trabajo - SG SST</t>
  </si>
  <si>
    <t>Evidencia del cumplimiento trimestral de las actividades consignadas en el cronograma de ejecución del Plan de Seguridad y Salud en el Trabajo SG SST</t>
  </si>
  <si>
    <t>Formulación y aprobación del Plan de Previsión de Recursos Humanos</t>
  </si>
  <si>
    <t>Documento con la formulación del Plan de Previsión de recursos humanos, publicado en la página de la entidad</t>
  </si>
  <si>
    <t>4. Plan de previsión de recursos humanos</t>
  </si>
  <si>
    <t>Elaboración de documentos, según solicitud de la CNSC para el concurso de Méritos</t>
  </si>
  <si>
    <t>Documentos aprobados por la UPME/ radicados ante la CNSC</t>
  </si>
  <si>
    <t>(N° de documentos elaborados y aprobados / N° de documentos requeridos) *100</t>
  </si>
  <si>
    <t>Profesional Espec 2028-19 a cargo del tema Acuerdos de Gestión- GIT Talento Humano y Atención al Ciudadano</t>
  </si>
  <si>
    <t>1.23</t>
  </si>
  <si>
    <t>Actualización OPEC</t>
  </si>
  <si>
    <t>1.24</t>
  </si>
  <si>
    <t>Realizar el pago del valor faltante para la ejecución del concurso de méritos con la CNSC</t>
  </si>
  <si>
    <t>Certificado de pago del valor faltante a la CNSC</t>
  </si>
  <si>
    <t>(N° de pagos ejecutados / N° de pagos pendientes) *100</t>
  </si>
  <si>
    <t>1.25</t>
  </si>
  <si>
    <t>Asegurar el pago mensual por concepto de nómina a la planta de personal</t>
  </si>
  <si>
    <t>Nóminas mensuales, pagos mensuales de seguridad social (Planillas)</t>
  </si>
  <si>
    <t>(N° de nóminas pagadas / N° de nóminas planificadas) *100</t>
  </si>
  <si>
    <t>Profesional Espec 2028-19 a cargo del tema Nómina - GIT Talento Humano y Atención al Ciudadano</t>
  </si>
  <si>
    <t>1.26</t>
  </si>
  <si>
    <t>1.27</t>
  </si>
  <si>
    <t>1.28</t>
  </si>
  <si>
    <t>1.29</t>
  </si>
  <si>
    <t>implementar y estabilizar las diferentes funcionalidades  del software Kactus en la entidad.</t>
  </si>
  <si>
    <t>Circular para la comunidad sobre los lineamintos para el uso del Smart People</t>
  </si>
  <si>
    <t>(N° de comunicaciones difundidas / N° de comunicaciones requeridas) *100</t>
  </si>
  <si>
    <t>1.30</t>
  </si>
  <si>
    <t>Actualización procedimiento de Nómina</t>
  </si>
  <si>
    <t>Procedimiento de nómina actualizado.</t>
  </si>
  <si>
    <t>(N° de procedimientos actualizados / N° de procedimientos requeridos) *100</t>
  </si>
  <si>
    <t>1.31</t>
  </si>
  <si>
    <t>Formulación y aprobación del Plan Anual de Vacantes</t>
  </si>
  <si>
    <t>Documento con la formulación del Plan de Anual de Vacantes, publicado en la página de la entidad</t>
  </si>
  <si>
    <t>3. Plan anual de vacantes</t>
  </si>
  <si>
    <t>1.32</t>
  </si>
  <si>
    <t>Identificar las vacantes definitivas y temporales para adelantar gestiones necesarias para su provisión.</t>
  </si>
  <si>
    <t>Acto administrativo con la provisión de los cargos vacantes</t>
  </si>
  <si>
    <t>(N° de vacates cubiertas / N° de vacantes disponibles) *100</t>
  </si>
  <si>
    <t>1.33</t>
  </si>
  <si>
    <t>Liderar el proceso de modernización institucional</t>
  </si>
  <si>
    <t>Actualizar el manual de funciones que está vigente actualmente.</t>
  </si>
  <si>
    <t>Manual de funciones actualizado.</t>
  </si>
  <si>
    <t>Coordinadora GIT de Talento Humano y Atención al ciudadano</t>
  </si>
  <si>
    <t>Propuesta del nuevo manual de funciones para la entidad, producto del proceso de modernización que está surtiendo.</t>
  </si>
  <si>
    <t>Documento con la propuesta del nuevo manual de funciones, ajustado al proceso de modernización.</t>
  </si>
  <si>
    <t>Realizar el análisis de costos y establecer una propuesta de financiación, para la nueva planta de la modernización.</t>
  </si>
  <si>
    <t>Documento con la propuesta de financiación para la nueva planta del proceso de  modernización.</t>
  </si>
  <si>
    <t xml:space="preserve">Preparar en coordinación con las áreas competentes los documentos necesarios para el rediseño institucional, para la modificación de la estructura y planta de personal.
</t>
  </si>
  <si>
    <t>Proyecto de decretos necesarios para el rediseño institucional.</t>
  </si>
  <si>
    <t>(N° de actos administrativos elaborados y aprobados / N° de actos administrativos requeridos) *100</t>
  </si>
  <si>
    <t>Tramitar la aprobación de la viabilidad política de la propuesta de modernización, ante el Ministerio de Energía.</t>
  </si>
  <si>
    <t>Radicación de la solicitud de aprobación de la propuesta de rediseño institucional ante el Ministerio de Energía.</t>
  </si>
  <si>
    <t>Tramitar la viabilidad presupuestal de la propuesta de modernización, ante el Ministerio de Hacienda y Crédito público.</t>
  </si>
  <si>
    <t>Radicación de la solicitud de aprobación de la propuesta de rediseño institucional ante el Ministerio de Ghacienda y Crédito Público.</t>
  </si>
  <si>
    <t>Tramitar la aprobación de la viabilidad técnica de la propuesta de modernización, ante el Departamento Administrativo de la Función Pública.</t>
  </si>
  <si>
    <t>Radicación de la solicitud de aprobación de la propuesta de rediseño institucional ante el Departamento Administrativo de la Función Pública.</t>
  </si>
  <si>
    <t xml:space="preserve">Lograr la aprobación del proyecto de modernización ante la Presidencia de la República. </t>
  </si>
  <si>
    <t>Radicación de la solicitud de aprobación de la propuesta de rediseño institucional ante la Presidencia de la República.</t>
  </si>
  <si>
    <t>Elaboración y ejecución de la política de asistencia al ciudadano de la UPME</t>
  </si>
  <si>
    <t>Proponer para la aprobación del Director la política de asistencia al ciudadano estableciiendo líneas estratégicas y de acción que recojan las actividades del  PAAC</t>
  </si>
  <si>
    <t>Evidencia del cumplimiento trimestral de las actividades correspondientes a Talento humano, consignadas en el cronograma de ejecución del Plan Anticorrupción y de Atención al Ciudadano (PAAC)</t>
  </si>
  <si>
    <t>POLÍTICA 10 Servicio al ciudadano</t>
  </si>
  <si>
    <t>13. Participacion y servicio al ciudadano</t>
  </si>
  <si>
    <t>Implementar las líneas de acción de la Política de asistencia al ciudadano adoptada por la Dirección</t>
  </si>
  <si>
    <t>Evaluar y ajustar la Política de asistencia al ciudadano de acuerdo con los resultados de la evaluación</t>
  </si>
  <si>
    <t>Implementación del programa de teletrabajo en la entidad en un 35%</t>
  </si>
  <si>
    <t>6.1</t>
  </si>
  <si>
    <t>Ejecutar las actividades consignadas en los planes de Talento Humano, relacionadas con la conformación del equipo de teletrabajo, adelanto de estudios, análisis y establecimiento de una propuesta de teletrabajo para la entidad.</t>
  </si>
  <si>
    <t>Evidencia del cumplimiento trimestral de las actividades relacionadas con la planeación e implementación del programa de Teletrabajo en la entidad.</t>
  </si>
  <si>
    <t>6.2</t>
  </si>
  <si>
    <t>Realizar seguimiento a los acuerdos de gestión vigencia 2021 - 2022</t>
  </si>
  <si>
    <t>7.1</t>
  </si>
  <si>
    <t>Seguimiento semestral a los Acuerdos de Gestión 2021-2022</t>
  </si>
  <si>
    <t>Acuerdos de Gestión Firmados y archivados Historia Laboral</t>
  </si>
  <si>
    <t>(N° de acuerdos firmados / N° de gerentes públicos) *100</t>
  </si>
  <si>
    <t>7.2</t>
  </si>
  <si>
    <t>Seguimiento semestral a los Acuerdos de Gestión 2021-2023</t>
  </si>
  <si>
    <t>Realizar seguimiento y gestión para el cumplimiento de las diferentes etapas del proceso de evaluación de desempeño para los funcionarios de carrera administrativa</t>
  </si>
  <si>
    <t>8.1</t>
  </si>
  <si>
    <t>Realizar seguimiento a la concertación anual de compromisos para las evaluaciones de desempeño para el personal de carrera administrativa</t>
  </si>
  <si>
    <t>Evaluaciones de desempeño diligenciadas en la plataforma establecida por la Comisión nacional del Servicio Civil - EDL</t>
  </si>
  <si>
    <t>(N° de evaluaciones y concertación de compromisos cargados / N° de servidores públicos de carrera administrativa) *100</t>
  </si>
  <si>
    <t>Profesional Espec 2028-19 a cargo del tema - GIT Talento Humano y Atención al Ciudadano</t>
  </si>
  <si>
    <t>8.2</t>
  </si>
  <si>
    <t>Realizar seguimiento y gestión para el cumplimiento de las diferentes etapas del proceso de evaluación de la Gestión Institucional para servidores en provisionalidad y de libre nombramiento y remoción, que no ostenten condición de gerentes públicos</t>
  </si>
  <si>
    <t>9.1</t>
  </si>
  <si>
    <t>Realizar seguimiento semestral de la evaluación de la gestión institucional para servidores en provisionalidad y de libre nombramiento y remoción, que no ostenten condición de gerentes públicos</t>
  </si>
  <si>
    <t>(N° de evaluaciones cargadas / N° de servidores públicos de provisionalidad o LNR que no ostenten cargos de gerentes públicos) *100</t>
  </si>
  <si>
    <t>9.2</t>
  </si>
  <si>
    <t>Oficina de Gestión de la Información</t>
  </si>
  <si>
    <t>Adelantar campañas de comunicación y acercamiento al ciudadano</t>
  </si>
  <si>
    <t>Elaborar piezas gráficas y producción audiovisual de acuerdo con los requerimientos institucionales</t>
  </si>
  <si>
    <t>Campañas</t>
  </si>
  <si>
    <t># campañas realizadas / # campañas planeadas</t>
  </si>
  <si>
    <t>Angie Torres</t>
  </si>
  <si>
    <t>2. Comunicación Estratégica</t>
  </si>
  <si>
    <t>Adelantar los eventos institucionales y sectoriales requeridos en cumplimiento de la misionalidad</t>
  </si>
  <si>
    <t>Eventos</t>
  </si>
  <si>
    <t># eventos realizados / # eventos planeados</t>
  </si>
  <si>
    <t>Oliver Díaz Iglesias</t>
  </si>
  <si>
    <t>Generar diagnóstico de la percepción por parte de los usuarios finales de los servicios de planeación prestados por la entidad</t>
  </si>
  <si>
    <t>Caracterizar usuarios</t>
  </si>
  <si>
    <t>Informe de caracterización</t>
  </si>
  <si>
    <t>1 documento</t>
  </si>
  <si>
    <t>Aplicar encuestas</t>
  </si>
  <si>
    <t>Informe de resultado de percepción</t>
  </si>
  <si>
    <t>Renovar el web site institucional con énfasis en la interacción con el ciudadano</t>
  </si>
  <si>
    <t>Actualizar el Content Management System</t>
  </si>
  <si>
    <t>Web site</t>
  </si>
  <si>
    <t>Web site actualizado</t>
  </si>
  <si>
    <t>Sandra Patricia Zambrano</t>
  </si>
  <si>
    <t>10. Divulgación Minero Energética</t>
  </si>
  <si>
    <t>Adoptar los lineamientos de MINTIC y la comunidad internacional World Wide Web Consortium (W3C)</t>
  </si>
  <si>
    <t>Evaluación de cumplimiento</t>
  </si>
  <si>
    <t>Lineamientos cumplidos / lineamientos definidos</t>
  </si>
  <si>
    <t>Integrar portales</t>
  </si>
  <si>
    <t>Portales integrados</t>
  </si>
  <si>
    <t># portales integrados / # portales programados</t>
  </si>
  <si>
    <t>Actualizar la arquitectura empresarial enfocada en el nuevo marco de referencia emitido por MinTIC</t>
  </si>
  <si>
    <t>Actualizar los dominios de arquitectura definidos en el marco de referencia</t>
  </si>
  <si>
    <t>Dominios actualizados</t>
  </si>
  <si>
    <t>Dominios actualizados / dominios definidos en el marco de referencia</t>
  </si>
  <si>
    <t>7. Información Sectorial</t>
  </si>
  <si>
    <t>Generar reportes para la difusión y georreferenciación de información de acuerdo con los requerimientos institucionales</t>
  </si>
  <si>
    <t>Generar Reportes de información</t>
  </si>
  <si>
    <t>Reportes de información para difundir</t>
  </si>
  <si>
    <t># reportes generados / # reportes planeados</t>
  </si>
  <si>
    <t>Miguel Barrera</t>
  </si>
  <si>
    <t>Georeferenciar la información de los reportes generados</t>
  </si>
  <si>
    <t>Información georreferenciada</t>
  </si>
  <si>
    <t># capas de información georeferenciadas / # capas planeadas</t>
  </si>
  <si>
    <t>Alejandro Barrios</t>
  </si>
  <si>
    <t>Diseñar, desarrollar y poner en funcionamiento un cuadro de mando para el seguimiento a la gestión institucional</t>
  </si>
  <si>
    <t>Diseñar cuadro de mando de seguimiento institucional</t>
  </si>
  <si>
    <t>Cuadro de mando diseñado</t>
  </si>
  <si>
    <t>1 Documento de diseño</t>
  </si>
  <si>
    <t>Jairo Riaño Moreno</t>
  </si>
  <si>
    <t xml:space="preserve">14. Gestion de tecnologias de la informacion </t>
  </si>
  <si>
    <t>Desarrollar cuadro de mando de seguimiento institucional</t>
  </si>
  <si>
    <t>Cuadro de mando desarrollado</t>
  </si>
  <si>
    <t xml:space="preserve"> %Avance de desarrollo cuadro de mando</t>
  </si>
  <si>
    <t>6.3</t>
  </si>
  <si>
    <t>Poner en funcionamiento cuadro de mando de seguimiento institucional</t>
  </si>
  <si>
    <t>Cuadro de mando en funcionamiento</t>
  </si>
  <si>
    <t>Indicadores implementados / Indicadores diseñados</t>
  </si>
  <si>
    <t>Implementar la fase 1 del plan unificado de gobierno de datos para la gestión de la información de la entidad</t>
  </si>
  <si>
    <t>Formalizar el comité de gobierno de datos y poner en operación el gobierno definido</t>
  </si>
  <si>
    <t>Acta de comité</t>
  </si>
  <si>
    <t>1 Documento</t>
  </si>
  <si>
    <t>Cesar Jerez</t>
  </si>
  <si>
    <t>Definir arquitectura de datos</t>
  </si>
  <si>
    <t>Arquitectura de datos</t>
  </si>
  <si>
    <t>7.3</t>
  </si>
  <si>
    <t>Formalizar procedimientos para gestión de datos</t>
  </si>
  <si>
    <t>Procedimientos de gestión de datos</t>
  </si>
  <si>
    <t>Desarrollar la fase 2 del proyecto de automatización de procesos misionales</t>
  </si>
  <si>
    <t>Identificar y levantar requerimientos de los procesos a automatizar</t>
  </si>
  <si>
    <t>Documento de requerimientos por proceso identificado</t>
  </si>
  <si>
    <t>Requerimiento procesos levantados / Requerimiento procesos identificados</t>
  </si>
  <si>
    <t>Automatizar los procesos identificados</t>
  </si>
  <si>
    <t>Procesos automatizados</t>
  </si>
  <si>
    <t>Procesos automatizados / Procesos identificados</t>
  </si>
  <si>
    <t>Actualizar el Sistema de Gestión de Seguridad de la Información – SGSI</t>
  </si>
  <si>
    <t xml:space="preserve">Elaborar plan de mejoramiento resultado de la auditoria SGSI </t>
  </si>
  <si>
    <t>Plan de mejoramiento SGSI</t>
  </si>
  <si>
    <t>Luis Antonio Hurtado</t>
  </si>
  <si>
    <t>POLÍTICA 7 Seguridad Digital</t>
  </si>
  <si>
    <t>Elaborar plan de trabajo derivado de la evaluación del MSPI en desarrollo del proyecto GRC Sectorial</t>
  </si>
  <si>
    <t>Plan de trabajo MSPI</t>
  </si>
  <si>
    <t>9.3</t>
  </si>
  <si>
    <t>Ejecutar plan de mejoramiento SGSI</t>
  </si>
  <si>
    <t>Informes de ejecución plan SGSI</t>
  </si>
  <si>
    <t>% Actividades ejecutadas</t>
  </si>
  <si>
    <t>9.4</t>
  </si>
  <si>
    <t>Ejecutar plan de trabajo MSPI</t>
  </si>
  <si>
    <t>Informes de ejecución plan MSPI</t>
  </si>
  <si>
    <t>Fortalecer la mesa de servicios</t>
  </si>
  <si>
    <t>10.1</t>
  </si>
  <si>
    <t>Definir procedimientos para la mesa de servicios</t>
  </si>
  <si>
    <t>Procedimientos de la mesa de servicios</t>
  </si>
  <si>
    <t xml:space="preserve">#de procedimientos caracterizados / #de procedimientos identificados </t>
  </si>
  <si>
    <t>José Emilio Ramírez</t>
  </si>
  <si>
    <t>10.2</t>
  </si>
  <si>
    <t>Implementar la herramienta para la gestión de servicios TIC</t>
  </si>
  <si>
    <t>Herramienta implementada</t>
  </si>
  <si>
    <t>% implementación de la herramienta</t>
  </si>
  <si>
    <t>Edgar Alexander Pérez</t>
  </si>
  <si>
    <t>10.3</t>
  </si>
  <si>
    <t>Ejecutar campaña de sensibilización de usuarios, así como de uso y apropiación de la mesa de servicios</t>
  </si>
  <si>
    <t>Campaña de sensibilización</t>
  </si>
  <si>
    <t>% Avance de la campaña</t>
  </si>
  <si>
    <t>Implementar la solución de escritorios virtuales</t>
  </si>
  <si>
    <t>11.1</t>
  </si>
  <si>
    <t>Definir la solución a implementar</t>
  </si>
  <si>
    <t>Documento arquitectura de solución</t>
  </si>
  <si>
    <t>11.2</t>
  </si>
  <si>
    <t>Implementar la solución</t>
  </si>
  <si>
    <t>Solución implementada</t>
  </si>
  <si>
    <t>% Avance de implementación</t>
  </si>
  <si>
    <t>11.3</t>
  </si>
  <si>
    <t>Monitorear la solución</t>
  </si>
  <si>
    <t>Informes de monitoreo</t>
  </si>
  <si>
    <t>Informes generados / Informes planeados</t>
  </si>
  <si>
    <t>Actualizar la infraestructura de red institucional</t>
  </si>
  <si>
    <t>12.1</t>
  </si>
  <si>
    <t>Definir arquitectura de solución de networking</t>
  </si>
  <si>
    <t>12.2</t>
  </si>
  <si>
    <t>Migrar la solución de telefonía IP implementada en la entidad</t>
  </si>
  <si>
    <t>13.1</t>
  </si>
  <si>
    <t>Definir arquitectura de solución de telefonia IP</t>
  </si>
  <si>
    <t>13.2</t>
  </si>
  <si>
    <t>Implementar el DRP acorde con las necesidades institucionales</t>
  </si>
  <si>
    <t>14.1</t>
  </si>
  <si>
    <t>Definir arquitectura de solución de DRP</t>
  </si>
  <si>
    <t>14.2</t>
  </si>
  <si>
    <t>Secretaría General - GIT Gestión Administrativa</t>
  </si>
  <si>
    <t>Apoyar el proyecto de la modernizacion frente al proceso de gestión documental</t>
  </si>
  <si>
    <t>Revisar los documentos que se derivan del proyecto de la modernización</t>
  </si>
  <si>
    <t>Documentos</t>
  </si>
  <si>
    <t>#documentos/#documentos revisados</t>
  </si>
  <si>
    <t>Coordinación GITGA</t>
  </si>
  <si>
    <t>Revisar los documentos que se derivan del proyecto de la modernización y que sean del resorte para la gestión documental</t>
  </si>
  <si>
    <t>#documentos entregados/#documentos revisados</t>
  </si>
  <si>
    <t>Formato y documento</t>
  </si>
  <si>
    <t>#compromisos concertados para la evaluación/#evaluación realizada</t>
  </si>
  <si>
    <t>Coordinador GITGA</t>
  </si>
  <si>
    <t>Se realizo la concertación de objetivos y metas para cada uno de los servidores con caracter de provisionalidad</t>
  </si>
  <si>
    <t>Gestionar la adopción del programa de gestión documental e implentar su contenido</t>
  </si>
  <si>
    <t>Presentar el proyecto del programa de gestión documental ante el comité de gestión de desarrollo</t>
  </si>
  <si>
    <t>Documento con el programa de gestión documental</t>
  </si>
  <si>
    <t>Documento aprobado</t>
  </si>
  <si>
    <t>Profesional especializado con funciones de gestión documental y coordinación del grupo interno de trabajo</t>
  </si>
  <si>
    <t>POLÍTICA 14 Gestión Documental</t>
  </si>
  <si>
    <t>18. Gestion documental</t>
  </si>
  <si>
    <t>1. Plan institucional de archivos de la entidad - PINAR</t>
  </si>
  <si>
    <t>Se socializará para comentarios del comite de gestión y desarrollo. Este avance constituye el 80% de la meta de la subactividad</t>
  </si>
  <si>
    <t>Implementar el programa de gestión documental (Ajustes de los flujos documentales)</t>
  </si>
  <si>
    <t>Documento con actualizaciones/ Flujo de gestión</t>
  </si>
  <si>
    <t># instrumentos archivisticos aprobados e implementados/Flujo documental ajustado e implementado</t>
  </si>
  <si>
    <t>Profesional con funciones de gestión documental y coordinación del grupo interno de trabajo</t>
  </si>
  <si>
    <t>Avance del 12% de la subactividad. Se esta ejecutando el contrato de la OPS con los entregables programados. Se presento al AGN las TVD y fueron aprobadas. se está a la espera del pronunciaiento del AGN en lo relacionado con las TRD</t>
  </si>
  <si>
    <t>Adoptar programa de gestión documental en la herramienta de gestión ORFEO</t>
  </si>
  <si>
    <t>Herramienta actualizada</t>
  </si>
  <si>
    <t># Ajustes a la herramienta orfeo</t>
  </si>
  <si>
    <t>Avance del 30% de la subactividad. Corresponde a la etapa de diagnostico ( se identifica la estructura de almacenamiento para doc de archivos y tipos de documentos y soportes en los cuales se producen documentación electronica.) En orfeo se avanzo en traza historica de perfilamiento y niveles de seguridad</t>
  </si>
  <si>
    <t>Administrar los bienes, bienes inmuebles y servicios para el funcionamiento de la entidad</t>
  </si>
  <si>
    <t>Alimentar el software SEVEN para la generación de reportes</t>
  </si>
  <si>
    <t>Reportes periodicos</t>
  </si>
  <si>
    <t>Reporte de compras e inventarios actualizado</t>
  </si>
  <si>
    <t>Técnico administrativo con funciones de almacenista y coordinación del grupo interno de trabajo</t>
  </si>
  <si>
    <t>17. Gestión Servicios Administrativos</t>
  </si>
  <si>
    <t>Avance del  20% de la subactividad. Se inicio la actualización del inventario en el software SEVEN ER. avance del 100% en la acción de devolver las oficinas que tenia UPME en arriendo</t>
  </si>
  <si>
    <t>Adelantar los trámites precontractuales y seguimiento a la ejecución del Plan de Adquisiciones, generando informes de la ejecución del presupuesto de funcionamiento</t>
  </si>
  <si>
    <t>Estudios previos y soportes e informes</t>
  </si>
  <si>
    <t># de informes de seguimiento</t>
  </si>
  <si>
    <t>Profesional especializado con funciones de compras y coordinación del grupo interno de trabajo</t>
  </si>
  <si>
    <t>Avance del 30% en la subactividad PAA. Se viene ejecutando el PAA y el programa de mantenimientos generales con la modificaciones propuesta por el nuevo coordinador de grupo</t>
  </si>
  <si>
    <t>Subdirección de Hidrocarburos</t>
  </si>
  <si>
    <t>Proyectar los precios de los energéticos.</t>
  </si>
  <si>
    <t>Recopilar información actualizada y generar bases de datos</t>
  </si>
  <si>
    <t>Bases de datos actualizadas</t>
  </si>
  <si>
    <t>% de avance =
 (Actividades realizadas / Actividades planeadas)</t>
  </si>
  <si>
    <t>Juan Camilo Torres - Esteban Gómez - Katherine Rodriguez</t>
  </si>
  <si>
    <t>2 - Asesoría para la planeación de abastecimiento y confiabilidad del sub sector de hidrocarburos a nivel Nacional - 2019011000089</t>
  </si>
  <si>
    <t>5. Planeación Estratégica e Integral de Hidrocarburos</t>
  </si>
  <si>
    <t>Definición y cálculo de escenarios.</t>
  </si>
  <si>
    <t>Tablas de resultados</t>
  </si>
  <si>
    <t>Revisión y discusión</t>
  </si>
  <si>
    <t>Informe con diagnóstico</t>
  </si>
  <si>
    <t>Presentación y socialización</t>
  </si>
  <si>
    <t>Documento definitivo</t>
  </si>
  <si>
    <t>Convocatorias de gas natural</t>
  </si>
  <si>
    <t>Respuestas a observaciones y elaboración de adendas GN 001-2020</t>
  </si>
  <si>
    <t>Circuales, adendas y oficios</t>
  </si>
  <si>
    <t>Sandra Leyva - Andrés Popayán</t>
  </si>
  <si>
    <t>Realizar proceso de selección de Auditores de obras en Plan de Abastecimiento de Gas Natural</t>
  </si>
  <si>
    <t>Actas de adjudicación</t>
  </si>
  <si>
    <t>Realizar el proceso de selección de Inversionista - Infraestructura de Importación de gas del Pacífico.</t>
  </si>
  <si>
    <t>Sandra Leyva - Andrés Popayán - Katherine Rodriguez</t>
  </si>
  <si>
    <t>Seguimiento a auditores de obras del Plan de Abastecimiento de Gas Natural.</t>
  </si>
  <si>
    <t>Certificados de cumplimiento</t>
  </si>
  <si>
    <t>Participar en la definición de proyectos IPAT - Resolución 40304 de 2020.</t>
  </si>
  <si>
    <t>Resoluciones de proyectos prioritarios</t>
  </si>
  <si>
    <t>Participar en los estudios de Ingenierías conceptuales de posibles proyectos a ejecutarse mediante convocatorias públicas.</t>
  </si>
  <si>
    <t>Sondeos de mercado, términos de referencia, certificados de cumplimiento</t>
  </si>
  <si>
    <t>Plan de Abastecimiento de Gas Natural 2021</t>
  </si>
  <si>
    <t>Recolección de insumos y análisis de información</t>
  </si>
  <si>
    <t>Tablas, bases de datos, gráficas, programas.</t>
  </si>
  <si>
    <t>Jaime Andrade - Ibrahim Massy</t>
  </si>
  <si>
    <t>Diagnóstico e identificación de alternativas</t>
  </si>
  <si>
    <t>Documento de avances y soportes</t>
  </si>
  <si>
    <t>Jaime Andrade - Ibrahim Massy - Katherine Rodriguez</t>
  </si>
  <si>
    <t>Consolidación de documentos</t>
  </si>
  <si>
    <t>Estudio técnico y anexos</t>
  </si>
  <si>
    <t>Socialización de resultados</t>
  </si>
  <si>
    <t>Presentaciones, informes</t>
  </si>
  <si>
    <t>Plan Indicativo de Abastecimiento de Combustibles Líquidos</t>
  </si>
  <si>
    <t>Bases de datos, tablas y gráficas de resultados, informe consolidado.</t>
  </si>
  <si>
    <t>Esteban Gómez - Juan Cam ilo Torres - Santiago Hurtado</t>
  </si>
  <si>
    <t>Documento de análisis de alternativas</t>
  </si>
  <si>
    <t>Documento del plan y conclusiones. Anexos con sustentación metodológica.</t>
  </si>
  <si>
    <t>Presentaciones. Resumen ejecutivo</t>
  </si>
  <si>
    <t>Análisis de eficiencia en el consumo de energéticos (sustitución de leña y expansión de cobertura de gas combustible).</t>
  </si>
  <si>
    <t>Esteban Gómez - Santiago Hurtado - Héctor Herrera - Katherine Rodriguez</t>
  </si>
  <si>
    <t>NA</t>
  </si>
  <si>
    <t>Esteban Gómez - Héctor Herrera - Katherine Rodriguez</t>
  </si>
  <si>
    <t>5.4</t>
  </si>
  <si>
    <t>Calcular la estructura de precios</t>
  </si>
  <si>
    <t>Consolidar información para actualizar la estructura de precios (Trim 1)</t>
  </si>
  <si>
    <t>Archivos con la estructura de precios y formatos para publicación</t>
  </si>
  <si>
    <t>Juan Camilo Torres - Santiago Hurtado</t>
  </si>
  <si>
    <t>Consolidar información para actualizar la estructura de precios (Trim 2)</t>
  </si>
  <si>
    <t>Consolidar información para actualizar la estructura de precios (Trim 3)</t>
  </si>
  <si>
    <t>6.4</t>
  </si>
  <si>
    <t>Consolidar información para actualizar la estructura de precios (Trim 4)</t>
  </si>
  <si>
    <t>Trámites y procesos de cupos y compensaciones</t>
  </si>
  <si>
    <t>Asignación de cupos de diésel marino excentos de sobretasa</t>
  </si>
  <si>
    <t>Registro de trámites con cupos asignados</t>
  </si>
  <si>
    <t>Carlos Niño - Santiago Hurtado</t>
  </si>
  <si>
    <t>Actualización de novedades en cupos de diésel marino - Trim 1</t>
  </si>
  <si>
    <t>Registro de novedades recibidas y tramitadas</t>
  </si>
  <si>
    <t>Actualización de novedades en cupos de diésel marino - Trim 2</t>
  </si>
  <si>
    <t>7.4</t>
  </si>
  <si>
    <t>Actualización de novedades en cupos de diésel marino - Trim 3</t>
  </si>
  <si>
    <t>7.5</t>
  </si>
  <si>
    <t>Actualización de novedades en cupos de diésel marino - Trim 4</t>
  </si>
  <si>
    <t>7.6</t>
  </si>
  <si>
    <t>Cálculo de compensaciones de transporte de GLP Yumbo-Pasto</t>
  </si>
  <si>
    <t>Reporte de volúmenes con derecho a compensación</t>
  </si>
  <si>
    <t>Ibrahim Massy - Carlos Niño</t>
  </si>
  <si>
    <t>7.7</t>
  </si>
  <si>
    <t>Listado Grandes Consumidores Individuales No Intermediarios ACPM - Sem I</t>
  </si>
  <si>
    <t>Resolución con listado de grandes consumidores individuales no intermediarios de ACPM - Primer semestre</t>
  </si>
  <si>
    <t>7.8</t>
  </si>
  <si>
    <t>Listado Grandes Consumidores Individuales No Intermediarios ACPM - Sem II</t>
  </si>
  <si>
    <t>Resolución con listado de grandes consumidores individuales no intermediarios de ACPM - Segundo semestre</t>
  </si>
  <si>
    <t>7.9</t>
  </si>
  <si>
    <t>Actualización metodología de compensación de transporte GLP</t>
  </si>
  <si>
    <t>Resolución con nueva metodología de compensación de transporte de GLP</t>
  </si>
  <si>
    <t>Andrés Popayán - Esteban Gómez</t>
  </si>
  <si>
    <t>Cooperación interinstitucional</t>
  </si>
  <si>
    <t>Conformación y participación en CNoGas</t>
  </si>
  <si>
    <t>Resoluciones de conformación de CNOGas</t>
  </si>
  <si>
    <t>Esteban Gómez - Héctor Herrera</t>
  </si>
  <si>
    <t>Secretaría técnica del CACSSE</t>
  </si>
  <si>
    <t>Actas y demás documentos derivados de la secretaría técnica del CACSSE</t>
  </si>
  <si>
    <t>Sandra Leyva - Héctor Herrera</t>
  </si>
  <si>
    <t>Subdirección de Energía Eléctrica - GIT Convocatorias públicas</t>
  </si>
  <si>
    <t>Identificar posibilidades y condicionantes de los proyectos de transmisión (alertas tempranas: físicas, sociales, ambientales, etc.) en fase de planeación y en fase de convocatoria.</t>
  </si>
  <si>
    <t>Realizar solicitud de información socio-ambietal a las entidades involucradas</t>
  </si>
  <si>
    <t>Solicitud a las entidades involucradas</t>
  </si>
  <si>
    <t># de solicitudes realizadas / # de solicitudes programadas</t>
  </si>
  <si>
    <t>Grupo Convocatorias</t>
  </si>
  <si>
    <t>4. Planeación Estratégica e Integral de Energía Eléctrica</t>
  </si>
  <si>
    <t>Elaborar Documento de alertas tempranas en fase de planeacion
 - Primer momento: informe analisis obras</t>
  </si>
  <si>
    <t>informe para transmision</t>
  </si>
  <si>
    <t>% de avance de la elaboracion del informe para transmisión en fase de planeacion</t>
  </si>
  <si>
    <t>Plan de Expansión</t>
  </si>
  <si>
    <t>Elaborar Documento de alertas tempranas en fase de planeacion
 - Segundo momento: Plan</t>
  </si>
  <si>
    <t>documento final</t>
  </si>
  <si>
    <t>% de avance de la elaboracion del documento de alertas tempranas en fase de planeacion</t>
  </si>
  <si>
    <t>Elaborar Documento de alertas tempranas para proyectos objeto de convocatorias públicas - trim II</t>
  </si>
  <si>
    <t>Documentos con alertas tempranas</t>
  </si>
  <si>
    <t># de documentos realizados / # de documentos programados</t>
  </si>
  <si>
    <t>Elaborar Documento de alertas tempranas para proyectos objeto de convocatorias públicas - trim III</t>
  </si>
  <si>
    <t>Elaborar Documento de alertas tempranas para proyectos objeto de convocatorias públicas - trim IV</t>
  </si>
  <si>
    <t>Actualizar Geovisor Convocatorias - Trim I</t>
  </si>
  <si>
    <t>Ejecución de la actualización del geovisor</t>
  </si>
  <si>
    <t>Actualizar Geovisor Convocatorias - Trim II</t>
  </si>
  <si>
    <t>Actualizar Geovisor Convocatorias - Trim III</t>
  </si>
  <si>
    <t>Actualizar Geovisor Convocatorias - Trim IV</t>
  </si>
  <si>
    <t>Realizar el análisis a los procesos de convocatorias y subastas para la estructuración de documentos para la selección del inversionista y de la interventoría, tanto en asuntos jurídicos como en aspectos técnicos. 
 (Contratos de consultorias)</t>
  </si>
  <si>
    <t>Ficha para presentar a comité de contratos, solicitud de CDP y Estudios previos para la estructuración de documentos de Convocatorias públicas convencionales - Trim III</t>
  </si>
  <si>
    <t>Ficha para presentar a comité de contratos, solicitud de CDP y Estudios previos</t>
  </si>
  <si>
    <t>% de avance de la elaboracion de los documentos</t>
  </si>
  <si>
    <t>4 - Implementación de acciones para la confiabilidad del subsector eléctrico a nivel Nacional - 2019011000085</t>
  </si>
  <si>
    <t>Avances entregables, Informe final de la estructuración de documentos de Convocatorias públicas convencionales - Trim IV</t>
  </si>
  <si>
    <t>Informes con los resultados de la contratación</t>
  </si>
  <si>
    <t>% de avance</t>
  </si>
  <si>
    <t>Ficha para presentar a comité de contratos, solicitud de CDP y Estudios previos para la estructuración de documentos de Convocatorias públicas HDVC - Trim II</t>
  </si>
  <si>
    <t>Avances entregables, Informe final de la estructuración de documentos de Convocatorias públicas HDVC - Trim IV</t>
  </si>
  <si>
    <t>Estructurar convocatorías públicas y documentos de Selección</t>
  </si>
  <si>
    <t>Elaborar documentos de las convocatorias (DSI y anexos) - Trim I</t>
  </si>
  <si>
    <t>Documentos DSI y sus anexos</t>
  </si>
  <si>
    <t>Elaborar documentos de las convocatorias (DSI y anexos) - Trim II</t>
  </si>
  <si>
    <t>Elaborar documentos de las convocatorias (DSI y anexos) - Trim III</t>
  </si>
  <si>
    <t>Elaborar documentos de las convocatorias (DSI y anexos) - Trim IV</t>
  </si>
  <si>
    <t>Efectuar los procesos de selección de Interventores o Inversionistas.</t>
  </si>
  <si>
    <t>Publicación de la convocatoria en página web - Trim I</t>
  </si>
  <si>
    <t>- Correo electrónico autorizando la publicacion
 - Link donde se encuentra publicada la convocatoria</t>
  </si>
  <si>
    <t># de publicaciones realizadas / # de publicaciones programadas</t>
  </si>
  <si>
    <t>Selección del interventor - Trim I</t>
  </si>
  <si>
    <t>Memorando con resultados de la evaluación y la correspondiente Resolución</t>
  </si>
  <si>
    <t># de documentos publicados / # de documentos programados</t>
  </si>
  <si>
    <t>Respuesta a observaciones de los DSI - Trim I</t>
  </si>
  <si>
    <t>Documento de Respuesta</t>
  </si>
  <si>
    <t>Audiencia de selección del inversionista - Trim I</t>
  </si>
  <si>
    <t>Acta de apertura, Acta de evalución y Acta de continuación.</t>
  </si>
  <si>
    <t>Oficios informando los resultados del proceso de selección del inversionista (CREG y Minenergía) - Trim I</t>
  </si>
  <si>
    <t>Oficio dirgidos a Minenergía y CREG</t>
  </si>
  <si>
    <t># de documentos enviados / # de documentos programados</t>
  </si>
  <si>
    <t>Publicación de la convocatoria en página web - Trim II</t>
  </si>
  <si>
    <t>Selección del interventor - Trim II</t>
  </si>
  <si>
    <t>4.8</t>
  </si>
  <si>
    <t>Respuesta a observaciones de los DSI - Trim II</t>
  </si>
  <si>
    <t>4.9</t>
  </si>
  <si>
    <t>Audiencia de selección del inversionista - Trim II</t>
  </si>
  <si>
    <t>4.10</t>
  </si>
  <si>
    <t>Oficios informando los resultados del proceso de selección del inversionista (CREG y Minenergía) - Trim II</t>
  </si>
  <si>
    <t>4.11</t>
  </si>
  <si>
    <t>Publicación de la convocatoria en página web - Trim III</t>
  </si>
  <si>
    <t>4.12</t>
  </si>
  <si>
    <t>Selección del interventor - Trim III</t>
  </si>
  <si>
    <t>4.13</t>
  </si>
  <si>
    <t>Respuesta a observaciones de los DSI - Trim III</t>
  </si>
  <si>
    <t>4.14</t>
  </si>
  <si>
    <t>Audiencia de selección del inversionista - Trim III</t>
  </si>
  <si>
    <t>4.15</t>
  </si>
  <si>
    <t>Oficios informando los resultados del proceso de selección del inversionista (CREG y Minenergía) - Trim III</t>
  </si>
  <si>
    <t>4.16</t>
  </si>
  <si>
    <t>Publicación de la convocatoria en página web - Trim IV</t>
  </si>
  <si>
    <t>4.17</t>
  </si>
  <si>
    <t>Selección del interventor - Trim IV</t>
  </si>
  <si>
    <t>4.18</t>
  </si>
  <si>
    <t>Respuesta a observaciones de los DSI - Trim IV</t>
  </si>
  <si>
    <t>4.19</t>
  </si>
  <si>
    <t>Audiencia de selección del inversionista - Trim IV</t>
  </si>
  <si>
    <t>4.20</t>
  </si>
  <si>
    <t>Oficios informando los resultados del proceso de selección del inversionista (CREG y Minenergía) - Trim IV</t>
  </si>
  <si>
    <t>Efectuar seguimiento a los proyectos en ejecución objeto de convocatoria pública y generar los debidos reportes.</t>
  </si>
  <si>
    <t>Revisión de informes de interventoría - Trim I</t>
  </si>
  <si>
    <t>- Correo con observaciones a los informes
 - Oficio con devolución o aprobación de informes</t>
  </si>
  <si>
    <t># de documentos revisados / # de documentos radicados</t>
  </si>
  <si>
    <t>Informe avance ejecución proyectos objetos de convocatorias - Trim I</t>
  </si>
  <si>
    <t>Documento</t>
  </si>
  <si>
    <t># de documetos realizados / # de documentos programados</t>
  </si>
  <si>
    <t>Revisión de informes de interventoría - Trim II</t>
  </si>
  <si>
    <t>Informe avance ejecución proyectos objetos de convocatorias - Trim II</t>
  </si>
  <si>
    <t>Revisión de informes de interventoría - Trim III</t>
  </si>
  <si>
    <t>Informe avance ejecución proyectos objetos de convocatorias - Trim III</t>
  </si>
  <si>
    <t>Revisión de informes de interventoría - Trim IV</t>
  </si>
  <si>
    <t>5.8</t>
  </si>
  <si>
    <t>Informe avance ejecución proyectos objetos de convocatorias - Trim IV</t>
  </si>
  <si>
    <t>Subdirección de Energía Eléctrica - GIT Transmisión</t>
  </si>
  <si>
    <t>Elaborar el Plan de Expansión de Transmisión de energía eléctrica (Analisis corto circuito, reconfiguración subestaciones, HVDC, BESS, Smart Wires, ETC).</t>
  </si>
  <si>
    <t>Objetivos del plan</t>
  </si>
  <si>
    <t>Documento y/o presentación donde se presenten los objetivos del plan</t>
  </si>
  <si>
    <t>% cumplimiento actividad</t>
  </si>
  <si>
    <t>Grupo de Transmisión</t>
  </si>
  <si>
    <t>marzo</t>
  </si>
  <si>
    <t>Bases de datos para inicar analisis plan:
 Ajuste demanda (30%)
 Ajuste de red (30%)
 Preparación base de datos (40%)</t>
  </si>
  <si>
    <t>Plan preliminar:
 Elaboración Plan Preliminar (90%)
 Publicación Plan Preliminar (10%)</t>
  </si>
  <si>
    <t>Plan preliminar:
 Elaboración Plan Preliminar (90%)</t>
  </si>
  <si>
    <t>Grupo de Transmisión/subdirección</t>
  </si>
  <si>
    <t>Publicación Plan Preliminar (10%)</t>
  </si>
  <si>
    <t>plan definitvo:
 Procesamiento y respuesta observaciones (10%)</t>
  </si>
  <si>
    <t>plan definitvo:
 Documento respuestass Procesamiento y respuesta observaciones</t>
  </si>
  <si>
    <t>%cumplimiento actividad</t>
  </si>
  <si>
    <t>Elaboración Plan definitivo (80%)</t>
  </si>
  <si>
    <t>Remisión al MME (10%)</t>
  </si>
  <si>
    <t>Oficio envio Ministerio</t>
  </si>
  <si>
    <t>Análisis de solicitudes de conexión &lt; 20 MW</t>
  </si>
  <si>
    <t>Respuesta oportuna</t>
  </si>
  <si>
    <t>% cumplimiento actividad (inferior 6 meses)</t>
  </si>
  <si>
    <t>Análisis de solicitudes de conexión &lt; 50 MW</t>
  </si>
  <si>
    <t>% cumplimiento actividad (inferior 8 meses)</t>
  </si>
  <si>
    <t>Análisis de solicitudes de conexión &lt; 100 MW</t>
  </si>
  <si>
    <t>% cumplimiento actividad (inferior 12 meses)</t>
  </si>
  <si>
    <t>Análisis de solicitudes de conexión &gt; 100 MW</t>
  </si>
  <si>
    <t>% cumplimiento actividad (inferior 18 meses)</t>
  </si>
  <si>
    <t>Seguimiento Obras STRs</t>
  </si>
  <si>
    <t>Análisis HVDC</t>
  </si>
  <si>
    <t>Terminos de referencia consultoria</t>
  </si>
  <si>
    <t>Recomendaciones finales</t>
  </si>
  <si>
    <t>documento con recomendaciones finales</t>
  </si>
  <si>
    <t>Misión Transformación</t>
  </si>
  <si>
    <t>Análisis segunda fase misión de transformación</t>
  </si>
  <si>
    <t>Documento identificación activiades UPME en temas de planeación STN y STR</t>
  </si>
  <si>
    <t>Grupo Transmisión</t>
  </si>
  <si>
    <t>Documento estrategia para incorporación actividades UPME en temas de planeación de STN y STR</t>
  </si>
  <si>
    <t>Subdirección de Energía Eléctrica - GIT Generación y Registro</t>
  </si>
  <si>
    <t>Elaborar Plan de Expansión de Energía Eléctrica</t>
  </si>
  <si>
    <t>Desarrollar objetivos del Plan</t>
  </si>
  <si>
    <t>Documento y/o presentación donde se presenten los objetivos del Plan</t>
  </si>
  <si>
    <t>% de Avance en la Gestión del Plan de Expansión</t>
  </si>
  <si>
    <t>GIT Generación</t>
  </si>
  <si>
    <t>Desarrollar y actualizar bases de datos SDDP, OPTGEN, PLEXOS para análisis energéticos</t>
  </si>
  <si>
    <t>Bases de datos para iniciar análisis plan: Actualización (30%) Validación (30%)</t>
  </si>
  <si>
    <t>Elaboración Plan Preliminar (90%) Publicación Plan Preliminar (10%)</t>
  </si>
  <si>
    <t>Documento Plan de Expansión preliminar</t>
  </si>
  <si>
    <t>Publicación Plan de Expansión preliminar</t>
  </si>
  <si>
    <t>Plan definitvo:
 Procesamiento y respuesta observaciones (10%)
 Elaboración Plan definitivo (80%)
 Remisión al MME (10%)</t>
  </si>
  <si>
    <t>Documento de respuestas a observaciones</t>
  </si>
  <si>
    <t>Documento Plan de Expansión definitivo</t>
  </si>
  <si>
    <t>Oficio de remisión al MME</t>
  </si>
  <si>
    <t>Registrar proyectos de generación</t>
  </si>
  <si>
    <t>Analizar información de solicitud de registro y elaborar oficio de registro u oficio solicitando aclaraciones. T I</t>
  </si>
  <si>
    <t>Oficio de registro u Oficio de requerimientos</t>
  </si>
  <si>
    <t>#Oficios emitidos en tiempo/# Solicitudes</t>
  </si>
  <si>
    <t>Elaborar informe de registro de proyectos. T I</t>
  </si>
  <si>
    <t>Informe de registro de proyectos de generación</t>
  </si>
  <si>
    <t>#Informes publicados/3</t>
  </si>
  <si>
    <t>Analizar información de solicitud de registro y elaborar oficio de registro u oficio solicitando aclaraciones. T II</t>
  </si>
  <si>
    <t>Elaborar informe de registro de proyectos. T II</t>
  </si>
  <si>
    <t>Analizar información de solicitud de registro y elaborar oficio de registro u oficio solicitando aclaraciones. T III</t>
  </si>
  <si>
    <t>Elaborar informe de registro de proyectos. T III</t>
  </si>
  <si>
    <t>Analizar información de solicitud de registro y elaborar oficio de registro u oficio solicitando aclaraciones. T IV</t>
  </si>
  <si>
    <t>Elaborar informe de registro de proyectos. T IV</t>
  </si>
  <si>
    <t>Elaborar concepto de potencial hidroenergético</t>
  </si>
  <si>
    <t>Analizar información de solicitud de concepto y elaborar oficio de concepto de potencial u oficio solicitando aclaraciones. T I</t>
  </si>
  <si>
    <t>Oficio de concepto u Oficio de requerimientos</t>
  </si>
  <si>
    <t>Elaborar informe de conceptos de potencial. T I</t>
  </si>
  <si>
    <t>Informe de conceptos de potencial hidroenergético</t>
  </si>
  <si>
    <t>Analizar información de solicitud de concepto y elaborar oficio de concepto de potencial u oficio solicitando aclaraciones. T II</t>
  </si>
  <si>
    <t>Elaborar informe de conceptos de potencial. T II</t>
  </si>
  <si>
    <t>Analizar información de solicitud de concepto y elaborar oficio de concepto de potencial u oficio solicitando aclaraciones. T III</t>
  </si>
  <si>
    <t>Elaborar informe de conceptos de potencial. T III</t>
  </si>
  <si>
    <t>Analizar información de solicitud de concepto y elaborar oficio de concepto de potencial u oficio solicitando aclaraciones. T IV</t>
  </si>
  <si>
    <t>Elaborar informe de conceptos de potencial. T IV</t>
  </si>
  <si>
    <t>Gestión de Convenios Minciencias-UPME-IDEAM</t>
  </si>
  <si>
    <t>Elaborar informe de seguimiento</t>
  </si>
  <si>
    <t>Informe final convenio Minciencias-UPME-IDEAM</t>
  </si>
  <si>
    <t>% de avance informes de seguimiento</t>
  </si>
  <si>
    <t>Realizar simulaciones energéticas del sistema de generación para plan de gas</t>
  </si>
  <si>
    <t>Preparación de bases de datos y simulaciones</t>
  </si>
  <si>
    <t>Resultados preliminares</t>
  </si>
  <si>
    <t>Presentación de resultados</t>
  </si>
  <si>
    <t>Resultados finales</t>
  </si>
  <si>
    <t>Elaborar informe de seguimiento de proyectos de generación</t>
  </si>
  <si>
    <t>Elaborar informe de seguimiento. Trim I</t>
  </si>
  <si>
    <t>Informe de seguimiento publicado</t>
  </si>
  <si>
    <t>Elaborar informe de seguimiento. Trim II</t>
  </si>
  <si>
    <t>Elaborar informe de seguimiento. Trim III</t>
  </si>
  <si>
    <t>Elaborar informe de seguimiento. Trim IV</t>
  </si>
  <si>
    <t>Subdirección de Energía Eléctrica - GIT Cobertura</t>
  </si>
  <si>
    <t>Elaborar el documento con la estimación del ICEE</t>
  </si>
  <si>
    <t>Realizar gestión para la obtención de datos e información necesaria para la estimación del ICEE</t>
  </si>
  <si>
    <t>Correos a los proveedores de la información (OR, IPSE, SSPD,) solicitando la información.</t>
  </si>
  <si>
    <t># de solicitudes enviadas / 
 # de solicitudes programadas</t>
  </si>
  <si>
    <t>Grupo Cobertura</t>
  </si>
  <si>
    <t>PIEC - PECOR - PNER - PERS</t>
  </si>
  <si>
    <t>Consolidar la información recopilada realizando la gestión sobre información inconsistente</t>
  </si>
  <si>
    <t>Versión preliminar de lo cálculos del ICEE</t>
  </si>
  <si>
    <t>% avance</t>
  </si>
  <si>
    <t>mayo</t>
  </si>
  <si>
    <t>Elaborar documento y realizar la actualizacion en la Base de Datos</t>
  </si>
  <si>
    <t>Versión preliminar del documento metodologico con anexos</t>
  </si>
  <si>
    <t>% avance del documento para publicación</t>
  </si>
  <si>
    <t>junio</t>
  </si>
  <si>
    <t>Publicación del ICEE en la página de SIEL</t>
  </si>
  <si>
    <t>Autorización de la subdirección para publicar los resultados del ICEE</t>
  </si>
  <si>
    <t>Elaborar el documento del Plan Indicativo de Expansión de Cobertura - PIEC</t>
  </si>
  <si>
    <t>Procesar la información necesaria para elaborar el PIEC.</t>
  </si>
  <si>
    <t>información base del PIEC debidamente estructurada</t>
  </si>
  <si>
    <t>Definir la metodología para el Plan.</t>
  </si>
  <si>
    <t>Metodología del Plan estructurada</t>
  </si>
  <si>
    <t>PIEC - PND - PNER</t>
  </si>
  <si>
    <t>Realizar las corridas en los diferentes software y analizar sus resultados.</t>
  </si>
  <si>
    <t>Corridas espaciales para la interconexión y de homer para soluciones aisladas</t>
  </si>
  <si>
    <t>Participación consultoria REM</t>
  </si>
  <si>
    <t>Presentar el documento preliminar a las directivas para aprobación</t>
  </si>
  <si>
    <t>Reunión programada para tal fin</t>
  </si>
  <si>
    <t>Ajustar resultados de acuerdo con los comentarios</t>
  </si>
  <si>
    <t>Autorización de la subdirección para publicar los resultados del PIEC</t>
  </si>
  <si>
    <t>Publicar versión definitiva</t>
  </si>
  <si>
    <t>Emitir los conceptos PECOR a los OR que lo presenten para el año vigente</t>
  </si>
  <si>
    <t>Realizar recolección y validación de datos de VSS en Sitios y la infraestructura Eléctrica</t>
  </si>
  <si>
    <t>Capa de Sitios actualizada, depende del reporte que realice cada OR</t>
  </si>
  <si>
    <t>Res. CREG 015/2018</t>
  </si>
  <si>
    <t>Establecer los costos de las soluciones con renovables</t>
  </si>
  <si>
    <t>Base de costos actualizada</t>
  </si>
  <si>
    <t>Evaluación de los proyectos PECOR - Trim II</t>
  </si>
  <si>
    <t>Formatos de evaluación revisados y gestionados con cada OR</t>
  </si>
  <si>
    <t>#evaluaciones realizadas en tiempo/# Solicitudes</t>
  </si>
  <si>
    <t>Evaluación de los proyectos PECOR - Trim III</t>
  </si>
  <si>
    <t>Evaluación de los proyectos PECOR - Trim IV</t>
  </si>
  <si>
    <t>Presentar resultados de PECOR al Ministerio de Minas y Energía.</t>
  </si>
  <si>
    <t>Comunicación firmada para el MME</t>
  </si>
  <si>
    <t>Oficina de Gestión de Proyectos de Fondos</t>
  </si>
  <si>
    <t>Evaluar técnica y financieramente los proyectos de energía eléctrica y gas combustible presentados a los mecanismos y fondos de apoyo financiero</t>
  </si>
  <si>
    <t>Evaluar proyectos Obras por Impuestos y Obras por Regalias</t>
  </si>
  <si>
    <t>Conceptos de evaluación</t>
  </si>
  <si>
    <t>(N° de proyectos evaluados/Saldo anterior+recibidos al corte definido)+100</t>
  </si>
  <si>
    <t>Sandra Alzate</t>
  </si>
  <si>
    <t>1 - Asesoría para la equidad y conectividad energética a nivel Nacional - 2019011000092</t>
  </si>
  <si>
    <t>Evaluar proyectos Sistema General de Regalias Regalias y OCAD PAZ</t>
  </si>
  <si>
    <t>Diana Delgado; Cesar Sotelo</t>
  </si>
  <si>
    <t>Evaluar proyectos FAER</t>
  </si>
  <si>
    <t>Andres Rodriguez</t>
  </si>
  <si>
    <t>Evaluar proyectos Plan Todos Somos Pazcífico</t>
  </si>
  <si>
    <t>Angelica Baena</t>
  </si>
  <si>
    <t>Evaluar proyectos FINDETER</t>
  </si>
  <si>
    <t>Harold Quiñones</t>
  </si>
  <si>
    <t>Evaluar proyectos FENOGE</t>
  </si>
  <si>
    <t>Evaluar proyectos PGLP y FECF</t>
  </si>
  <si>
    <t>Cesar Sotelo</t>
  </si>
  <si>
    <t>Realizar seguimiento gerencial, trazabilidad y transparencia en la evaluación de proyectos</t>
  </si>
  <si>
    <t>Actualizar el aplicativo o herramienta con la información de los proyectos evaluados</t>
  </si>
  <si>
    <t>Documento terminado</t>
  </si>
  <si>
    <t>Aplicativo actualizado con la información de los proyectos evaluados</t>
  </si>
  <si>
    <t>Lideres de fondos</t>
  </si>
  <si>
    <t>Elaborar un informe de gestión de proyectos con reportes Tableau y publicado</t>
  </si>
  <si>
    <t>Borman Leguizamo y Andres Rodriguez</t>
  </si>
  <si>
    <t>Racionalizar los procedimientos con la construcción de manuales operativos o guías de evaluación.</t>
  </si>
  <si>
    <t>Elaborar una guía de evaluación de proyectos de Obras por Impuestos</t>
  </si>
  <si>
    <t>Elaborar una guía o Manual Operativode evaluación de proyectos de Sistema General de Regalias</t>
  </si>
  <si>
    <t>Actualizar la guía de evaluación de proyectos de FINDETER</t>
  </si>
  <si>
    <t>Actualizar la guía de evaluación de proyectos de Plan Todos Somos PAZcífico</t>
  </si>
  <si>
    <t>Elaborar una guía general de evaluación de proyectos.</t>
  </si>
  <si>
    <t>Planes de Energización Rural Sostenible-PERS</t>
  </si>
  <si>
    <t>Realizar la Gestión previa, elaboración de convenio.</t>
  </si>
  <si>
    <t>Convenio firmado</t>
  </si>
  <si>
    <t>Johanna Larrotta</t>
  </si>
  <si>
    <t>DNP</t>
  </si>
  <si>
    <t>Realizar el Seguimiento y control General de los PERS</t>
  </si>
  <si>
    <t>Actas de reuniones</t>
  </si>
  <si>
    <t>1 Archivo con evidencias</t>
  </si>
  <si>
    <t>Revisar la información de Oferta</t>
  </si>
  <si>
    <t>Documentos con las observaciones y recomendaciones realizadas</t>
  </si>
  <si>
    <t>Dora Castaño</t>
  </si>
  <si>
    <t>Revisar la información de Demanda</t>
  </si>
  <si>
    <t>Revisar la información Socioeconómica</t>
  </si>
  <si>
    <t>Revisar la información de Proyectos</t>
  </si>
  <si>
    <t>Cesar sotelo</t>
  </si>
  <si>
    <t>Revisar la información de Política Pública</t>
  </si>
  <si>
    <t>Borman Leguizamo, Cesar Sotelo y Johanna Larrotta</t>
  </si>
  <si>
    <t>Realizar critica de datos de las encuestas</t>
  </si>
  <si>
    <t>Promover PERS en las regiones</t>
  </si>
  <si>
    <t>Desarrollo de un PERS por otras entidades</t>
  </si>
  <si>
    <t>Promover cambios estrategicos en los PERS</t>
  </si>
  <si>
    <t>Documento con los cambios planteados para los PERS</t>
  </si>
  <si>
    <t>Desarrollar actividades con enfoque territorial y estrategia de comunicación adecuada.</t>
  </si>
  <si>
    <t>Desarrollar capacitaciones regionales en formulación de proyectos identificando primero necesidades</t>
  </si>
  <si>
    <t>Listado de asistencia a las capacitaciones</t>
  </si>
  <si>
    <t>Desarrollar documento de estrategias de energización en las regiones.</t>
  </si>
  <si>
    <t>Documento preliminar</t>
  </si>
  <si>
    <t>X</t>
  </si>
  <si>
    <t>Apoyar el desarrollo del PIEC</t>
  </si>
  <si>
    <t>Documento explicativo del apoyo prestado y</t>
  </si>
  <si>
    <t>Borman Leguizamo</t>
  </si>
  <si>
    <t>Encabezado</t>
  </si>
  <si>
    <t>Instructivo de diligenciamiento</t>
  </si>
  <si>
    <t>Escribir si el desarrollo de la actividad se hace por que obliga alguna norma.
Esta casilla debe estar diligenciada para las subactividades de todo el año.</t>
  </si>
  <si>
    <t>Seleccionar el proyecto de inversión en el cual está incluido el desarrollo de la presente actividad. En caso de no haber un proyecto de inversión relacionado, seleccionar N/A.
Esta casilla debe estar diligenciada para las subactividades de todo el año.</t>
  </si>
  <si>
    <t>Seleccionar la dimensión MIPG que corresponda.
Esta casilla debe estar diligenciada para las subactividades de todo el año.</t>
  </si>
  <si>
    <t>Seleccionar la política MIPG que corresponda.
Esta casilla debe estar diligenciada para las subactividades de todo el año.</t>
  </si>
  <si>
    <t>Seleccionar el objetivo estratégico institucional relacionado.
Esta casilla debe estar diligenciada para las subactividades de todo el año.</t>
  </si>
  <si>
    <t>Seleccione el proceso al cual está relacionado la actividad.
Esta casilla debe estar diligenciada para las subactividades de todo el año.</t>
  </si>
  <si>
    <t>Seleccione el Plan Institucional al cual está relacionada la actividad, de no estar relacionada se debe seleccionar "N/A".
Esta casilla debe estar diligenciada para las subactividades de todo el año.</t>
  </si>
  <si>
    <t>Seleccione la dependencia o Grupo Interno de Trabajo (GIT) al cual pertenece la actividad. Si en su área no hay GIT, se debe seleccionar "N/A"
Esta casilla debe estar diligenciada para las subactividades de todo el año.</t>
  </si>
  <si>
    <t>Escriba el número de la actividad que está ingresando.
Esta casilla debe estar diligenciada para las subactividades de todo el año.</t>
  </si>
  <si>
    <r>
      <rPr>
        <sz val="11"/>
        <color theme="1"/>
        <rFont val="Calibri"/>
        <family val="2"/>
      </rPr>
      <t xml:space="preserve">Escriba el valor porcentual (%) que la actividad que está ingresando tiene dentro de su área.
La actividad y su valor porcentual (Ponderación % Actividad) debe tener tantas filas como sub actividades tenga la actividad. 
El valor porcentual de la actividad </t>
    </r>
    <r>
      <rPr>
        <b/>
        <sz val="11"/>
        <color theme="1"/>
        <rFont val="Calibri"/>
        <family val="2"/>
      </rPr>
      <t>NO</t>
    </r>
    <r>
      <rPr>
        <sz val="11"/>
        <color theme="1"/>
        <rFont val="Calibri"/>
        <family val="2"/>
      </rPr>
      <t xml:space="preserve"> se debe dividir entre el número de sub actividades. 
El valor total de la actividad se debe repetir en cada sub actividad y no debe interpretarse como la suma, simplemente el valor asignado se repite.
Esta casilla debe estar diligenciada para las subactividades de todo el año.</t>
    </r>
  </si>
  <si>
    <t>Escriba el número secuencial de la Sub Actividad.
Tenga en cuenta que al empezar una nueva actividad la numeración de la sub actividad vuelve a 1.</t>
  </si>
  <si>
    <t>Definición: Conjunto de pequeñas actividades que se desarrollan para lograr una actividad determinada.
La Subactividad se debe redactar de manera que se pueda medir, que sea cuantificable.
Escriba el nombre de la subactividad que está ingresando.
Esta casilla debe estar diligenciada para las subactividades de todo el año.</t>
  </si>
  <si>
    <t>Escriba el valor porcentual (%) de la subactividad que está ingresando. 
La suma del valor porcentual de las subactividades, de una misma actividad, debe ser igual al valor de la actividad a la cual pertenecen.
La suma de todas las sub actividades de cada área debe ser igual a 100%
Esta casilla debe estar diligenciada para las subactividades de todo el año.</t>
  </si>
  <si>
    <t>Escriba el producto entregable relacionado a la sub actividad.
Esta casilla debe estar diligenciada para las subactividades de todo el año.</t>
  </si>
  <si>
    <t>Indicador</t>
  </si>
  <si>
    <r>
      <rPr>
        <sz val="11"/>
        <color theme="1"/>
        <rFont val="Calibri"/>
        <family val="2"/>
      </rPr>
      <t xml:space="preserve">Escriba la fórmula del indicador con la cual será medido. 
Ver pág 24 del documento que se relaciona en el link.
El indicador se debe formular para la actividad </t>
    </r>
    <r>
      <rPr>
        <b/>
        <sz val="11"/>
        <color theme="1"/>
        <rFont val="Calibri"/>
        <family val="2"/>
      </rPr>
      <t>(NO POR SUBACTIVIDAD)</t>
    </r>
    <r>
      <rPr>
        <sz val="11"/>
        <color theme="1"/>
        <rFont val="Calibri"/>
        <family val="2"/>
      </rPr>
      <t xml:space="preserve">
Esta casilla debe estar diligenciada para las subactividades de todo el año.</t>
    </r>
  </si>
  <si>
    <t>https://www.funcionpublica.gov.co/documents/418537/506911/GuiaConstruccionyAnalisisIndicadoresGestionV3_Noviembre2015/dd2a4557-5ca1-48e3-aa49-3e688aeabfb2</t>
  </si>
  <si>
    <t>Escriba el nombre de la persona responsable. El responsable de todas las actividades y subactividades debe ser el enlace que determine el jefe de área y debe ser el mismo para todas.
Esta casilla debe estar diligenciada para las subactividades de todo el año.</t>
  </si>
  <si>
    <t>Escriba el mes en el cual planea cumplir con la sub actividad.
Esta casilla debe estar diligenciada para las subactividades de todo el año.</t>
  </si>
  <si>
    <r>
      <rPr>
        <sz val="11"/>
        <color theme="1"/>
        <rFont val="Calibri"/>
        <family val="2"/>
      </rPr>
      <t xml:space="preserve">Escriba el porcentaje de avance de la sub actividad.
El valor máximo de esta casilla es el valor especificado en la casilla "Ponderación (%) Sub actividad".
Solo se deben diligenciar aquellas casillas en las cuales el "Mes de cumplimiento" se encuentra vencido". 
Si la casilla "Mes de cumplimiento" se encuetnra vencida y no se tiene avance, se debe diligenciar esta casilla con 0%.
</t>
    </r>
    <r>
      <rPr>
        <b/>
        <sz val="11"/>
        <color theme="1"/>
        <rFont val="Calibri"/>
        <family val="2"/>
      </rPr>
      <t>El porcentaje de avance debe ir soportado con los anexos correspondientes en la carpeta de DRIVE creada para tal fin.</t>
    </r>
  </si>
  <si>
    <t>Escriba el mes en el cual se cumplió con la sub actividad.</t>
  </si>
  <si>
    <t>Trimestre</t>
  </si>
  <si>
    <t>Acumulado</t>
  </si>
  <si>
    <t>Total Dirección General - Asesoras</t>
  </si>
  <si>
    <t>Total Dirección General - Control Interno</t>
  </si>
  <si>
    <t>Total Dirección General - GIT Planeación</t>
  </si>
  <si>
    <t>Total Oficina de Gestión de la Información</t>
  </si>
  <si>
    <t>Total Oficina de Gestión de Proyectos de Fondos</t>
  </si>
  <si>
    <t>Total Secretaría General - GIT Gestión Administrativa</t>
  </si>
  <si>
    <t>Total Secretaría General - GIT Gestión Financiera</t>
  </si>
  <si>
    <t>Total Secretaría General - GIT Gestión Jurídica y Contractual</t>
  </si>
  <si>
    <t>Total Secretaría General - GIT Talento Humano y Servicio al Ciudadano</t>
  </si>
  <si>
    <t>Total Subdirección de Demanda</t>
  </si>
  <si>
    <t>Total Subdirección de Energía Eléctrica - GIT Cobertura</t>
  </si>
  <si>
    <t>Total Subdirección de Energía Eléctrica - GIT Convocatorias públicas</t>
  </si>
  <si>
    <t>Total Subdirección de Energía Eléctrica - GIT Generación y Registro</t>
  </si>
  <si>
    <t>Total Subdirección de Energía Eléctrica - GIT Transmisión</t>
  </si>
  <si>
    <t>Total Subdirección de Hidrocarburos</t>
  </si>
  <si>
    <t>Total Subdirección de Minería</t>
  </si>
  <si>
    <t>Área - Dependencia</t>
  </si>
  <si>
    <t>Subdirección de Demanda - GIT Incentivos</t>
  </si>
  <si>
    <t>Tipo de indicador</t>
  </si>
  <si>
    <t>Eficiencia</t>
  </si>
  <si>
    <t>Eficacia</t>
  </si>
  <si>
    <t>Calidad</t>
  </si>
  <si>
    <t>Economìa</t>
  </si>
  <si>
    <t>DIMESIÓN</t>
  </si>
  <si>
    <t>POLÍTICA</t>
  </si>
  <si>
    <t>POLÍTICA 2 Integridad</t>
  </si>
  <si>
    <t>POLÍTICA 11 Racionalización de Trámites</t>
  </si>
  <si>
    <t>Planes institucionales</t>
  </si>
  <si>
    <t>10. Plan estratégico de tecnologías de la información y las comunicaciones - PETI</t>
  </si>
  <si>
    <t>11. Plan de tratamiento de riesgos de seguridad y privacidad de la información</t>
  </si>
  <si>
    <t>12. Plan de seguridad y privacidad de la información</t>
  </si>
  <si>
    <t>PROCESOS</t>
  </si>
  <si>
    <t>9. Fondos energeticos y proyectos para cobertura</t>
  </si>
  <si>
    <t>20. Gestion Convocatorias</t>
  </si>
  <si>
    <t>Objetivos Estratégicos</t>
  </si>
  <si>
    <t>6 - Desarrollo de estrategias para dotar de sentido social y ambiental la planeación minero energética a nivel Nacional - 2019011000084</t>
  </si>
  <si>
    <t/>
  </si>
  <si>
    <t>SUM of Ponderación (%) 
Sub actividad</t>
  </si>
  <si>
    <t>SUM of % avance Sub Actividad</t>
  </si>
  <si>
    <t>Total general</t>
  </si>
  <si>
    <t>(Todas)</t>
  </si>
  <si>
    <r>
      <rPr>
        <sz val="11"/>
        <rFont val="Calibri, Arial"/>
      </rPr>
      <t>Brindar soporte técnico a las áreas para la implementación de la transformación cultural, organizacional y digital a través de la modernización institucional.</t>
    </r>
  </si>
  <si>
    <r>
      <rPr>
        <sz val="11"/>
        <rFont val="Calibri, Arial"/>
      </rPr>
      <t>Facilitar el proceso de flujo efectivo de información entre las áreas de la entidad, así como de la entidad con sus grupos de interés</t>
    </r>
  </si>
  <si>
    <r>
      <rPr>
        <sz val="11"/>
        <rFont val="Calibri, Arial"/>
      </rPr>
      <t>Brindar soporte técnico a las áreas en la aplicación del enfoque territorial en los planes de la UPME</t>
    </r>
  </si>
  <si>
    <r>
      <rPr>
        <sz val="11"/>
        <rFont val="Calibri, sans-serif"/>
      </rPr>
      <t xml:space="preserve">Se han realizado 4 comités de asuntos jurídicos: 2 en febrero y 2 en marzo
La evidencia se encuentra en la carpeta en el drive:
</t>
    </r>
    <r>
      <rPr>
        <u/>
        <sz val="11"/>
        <rFont val="Calibri, sans-serif"/>
      </rPr>
      <t>https://drive.google.com/drive/u/1/folders/1NAd1Lbhxg1HmeqaV_dSmA9malL67LQUW</t>
    </r>
    <r>
      <rPr>
        <sz val="11"/>
        <rFont val="Calibri, sans-serif"/>
      </rPr>
      <t xml:space="preserve">   </t>
    </r>
  </si>
  <si>
    <r>
      <rPr>
        <sz val="11"/>
        <rFont val="Calibri, sans-serif"/>
      </rPr>
      <t xml:space="preserve">
Se han realizado 3 mesas de articulación contractual:
1 en febrero y 2 en marzo
La evidencia se encuentra en la carpeta
</t>
    </r>
    <r>
      <rPr>
        <u/>
        <sz val="11"/>
        <rFont val="Calibri, sans-serif"/>
      </rPr>
      <t>https://drive.google.com/drive/u/1/folders/14QnMYsMS7wO2sBV1-71RBcd1lSD8ayAA</t>
    </r>
    <r>
      <rPr>
        <sz val="11"/>
        <rFont val="Calibri, sans-serif"/>
      </rPr>
      <t xml:space="preserve"> </t>
    </r>
  </si>
  <si>
    <r>
      <rPr>
        <sz val="11"/>
        <rFont val="Calibri, sans-serif"/>
      </rPr>
      <t xml:space="preserve">Se programaron entregas parciales. Al corte, se han revisado los primeros 38 artículos del manual de contratación. Res. 184-2020.
Se encuentra en el siguiente vínculo
</t>
    </r>
    <r>
      <rPr>
        <u/>
        <sz val="11"/>
        <rFont val="Calibri, sans-serif"/>
      </rPr>
      <t>https://docs.google.com/spreadsheets/d/1PjYVLAsw_7NJhwzDkJq-sIkLnMdBk8PPIsCHlQfbe1g/edit#gid=651401555</t>
    </r>
    <r>
      <rPr>
        <sz val="11"/>
        <rFont val="Calibri, sans-serif"/>
      </rPr>
      <t xml:space="preserve"> </t>
    </r>
  </si>
  <si>
    <r>
      <rPr>
        <sz val="11"/>
        <rFont val="Calibri, Arial"/>
      </rPr>
      <t xml:space="preserve">Los informes de inflación se encuentran en este link: </t>
    </r>
    <r>
      <rPr>
        <u/>
        <sz val="11"/>
        <rFont val="Calibri, Arial"/>
      </rPr>
      <t>https://www1.upme.gov.co/InformacionCifras/Paginas/precios-energia-electrica-comparacion-paises.aspx</t>
    </r>
  </si>
  <si>
    <r>
      <rPr>
        <sz val="11"/>
        <rFont val="Calibri, Arial"/>
      </rPr>
      <t xml:space="preserve">Mensualmente se publica la actualización del costo de racionamiento. Los datos se encuentran disponibles en </t>
    </r>
    <r>
      <rPr>
        <u/>
        <sz val="11"/>
        <rFont val="Calibri, Arial"/>
      </rPr>
      <t>http://www.upme.gov.co/CostosEnergia.asp</t>
    </r>
  </si>
  <si>
    <r>
      <rPr>
        <sz val="11"/>
        <rFont val="Calibri, Arial"/>
      </rPr>
      <t xml:space="preserve">El primer taller pedagógico de incentivos tributarios se realizó en marzo a través del canal oficial de la UPME en YouTube. Enlace: </t>
    </r>
    <r>
      <rPr>
        <u/>
        <sz val="11"/>
        <rFont val="Calibri, Arial"/>
      </rPr>
      <t>https://www.youtube.com/watch?v=XOo4RalZqmI&amp;t=108s</t>
    </r>
  </si>
  <si>
    <t>Etiquetas de fila</t>
  </si>
  <si>
    <t>Suma de % avance Sub Actividad</t>
  </si>
  <si>
    <t>(Varios elementos)</t>
  </si>
  <si>
    <t xml:space="preserve">Suma de Ponderación (%)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</si>
</sst>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d\.m\."/>
    <numFmt numFmtId="166" formatCode="d\.m"/>
  </numFmts>
  <fonts count="19">
    <font>
      <sz val="11"/>
      <color theme="1"/>
      <name val="Arial"/>
    </font>
    <font>
      <sz val="11"/>
      <name val="Arial"/>
      <family val="2"/>
    </font>
    <font>
      <sz val="11"/>
      <color theme="1"/>
      <name val="Calibri"/>
      <family val="2"/>
    </font>
    <font>
      <b/>
      <sz val="11"/>
      <color theme="1"/>
      <name val="Calibri"/>
      <family val="2"/>
    </font>
    <font>
      <sz val="11"/>
      <color theme="1"/>
      <name val="Calibri"/>
      <family val="2"/>
    </font>
    <font>
      <u/>
      <sz val="11"/>
      <color theme="10"/>
      <name val="Arial"/>
      <family val="2"/>
    </font>
    <font>
      <b/>
      <sz val="11"/>
      <color theme="1"/>
      <name val="Calibri"/>
      <family val="2"/>
    </font>
    <font>
      <sz val="11"/>
      <color rgb="FF000000"/>
      <name val="Calibri"/>
      <family val="2"/>
    </font>
    <font>
      <sz val="10"/>
      <color rgb="FF000000"/>
      <name val="Calibri"/>
      <family val="2"/>
    </font>
    <font>
      <sz val="24"/>
      <name val="Calibri"/>
      <family val="2"/>
    </font>
    <font>
      <b/>
      <sz val="24"/>
      <name val="Calibri"/>
      <family val="2"/>
    </font>
    <font>
      <sz val="11"/>
      <name val="Calibri"/>
      <family val="2"/>
    </font>
    <font>
      <b/>
      <sz val="11"/>
      <name val="Calibri"/>
      <family val="2"/>
    </font>
    <font>
      <sz val="8"/>
      <name val="Arial"/>
      <family val="2"/>
    </font>
    <font>
      <sz val="11"/>
      <name val="Calibri, Arial"/>
    </font>
    <font>
      <u/>
      <sz val="11"/>
      <name val="Calibri"/>
      <family val="2"/>
    </font>
    <font>
      <sz val="11"/>
      <name val="Calibri, sans-serif"/>
    </font>
    <font>
      <u/>
      <sz val="11"/>
      <name val="Calibri, sans-serif"/>
    </font>
    <font>
      <u/>
      <sz val="11"/>
      <name val="Calibri, Arial"/>
    </font>
  </fonts>
  <fills count="15">
    <fill>
      <patternFill patternType="none"/>
    </fill>
    <fill>
      <patternFill patternType="gray125"/>
    </fill>
    <fill>
      <patternFill patternType="solid">
        <fgColor rgb="FFB4C6E7"/>
        <bgColor rgb="FFB4C6E7"/>
      </patternFill>
    </fill>
    <fill>
      <patternFill patternType="solid">
        <fgColor rgb="FFFFE598"/>
        <bgColor rgb="FFFFE598"/>
      </patternFill>
    </fill>
    <fill>
      <patternFill patternType="solid">
        <fgColor rgb="FFC5E0B3"/>
        <bgColor rgb="FFC5E0B3"/>
      </patternFill>
    </fill>
    <fill>
      <patternFill patternType="solid">
        <fgColor rgb="FFD9E2F3"/>
        <bgColor rgb="FFD9E2F3"/>
      </patternFill>
    </fill>
    <fill>
      <patternFill patternType="solid">
        <fgColor rgb="FFFEF2CB"/>
        <bgColor rgb="FFFEF2CB"/>
      </patternFill>
    </fill>
    <fill>
      <patternFill patternType="solid">
        <fgColor rgb="FFE2EFD9"/>
        <bgColor rgb="FFE2EFD9"/>
      </patternFill>
    </fill>
    <fill>
      <patternFill patternType="solid">
        <fgColor rgb="FFD9D2E9"/>
        <bgColor rgb="FFD9D2E9"/>
      </patternFill>
    </fill>
    <fill>
      <patternFill patternType="solid">
        <fgColor rgb="FFFFF2CC"/>
        <bgColor rgb="FFFFF2CC"/>
      </patternFill>
    </fill>
    <fill>
      <patternFill patternType="solid">
        <fgColor rgb="FFF4CCCC"/>
        <bgColor rgb="FFF4CCCC"/>
      </patternFill>
    </fill>
    <fill>
      <patternFill patternType="solid">
        <fgColor rgb="FFD9EAD3"/>
        <bgColor rgb="FFD9EAD3"/>
      </patternFill>
    </fill>
    <fill>
      <patternFill patternType="solid">
        <fgColor rgb="FFFFFFFF"/>
        <bgColor rgb="FFFFFFFF"/>
      </patternFill>
    </fill>
    <fill>
      <patternFill patternType="solid">
        <fgColor rgb="FFFFE699"/>
        <bgColor rgb="FFFFE699"/>
      </patternFill>
    </fill>
    <fill>
      <patternFill patternType="solid">
        <fgColor rgb="FFFFCCCC"/>
        <bgColor rgb="FFFFCCCC"/>
      </patternFill>
    </fill>
  </fills>
  <borders count="39">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style="thin">
        <color rgb="FF000000"/>
      </bottom>
      <diagonal/>
    </border>
    <border>
      <left style="medium">
        <color rgb="FF000000"/>
      </left>
      <right/>
      <top/>
      <bottom/>
      <diagonal/>
    </border>
    <border>
      <left style="medium">
        <color rgb="FF000000"/>
      </left>
      <right style="medium">
        <color rgb="FF000000"/>
      </right>
      <top style="thin">
        <color rgb="FF000000"/>
      </top>
      <bottom style="thin">
        <color rgb="FF000000"/>
      </bottom>
      <diagonal/>
    </border>
    <border>
      <left style="medium">
        <color rgb="FF000000"/>
      </left>
      <right/>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style="medium">
        <color rgb="FF000000"/>
      </left>
      <right style="medium">
        <color rgb="FF000000"/>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style="thin">
        <color indexed="65"/>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indexed="64"/>
      </left>
      <right style="thin">
        <color indexed="64"/>
      </right>
      <top style="thin">
        <color indexed="64"/>
      </top>
      <bottom style="thin">
        <color indexed="64"/>
      </bottom>
      <diagonal/>
    </border>
    <border>
      <left/>
      <right/>
      <top style="medium">
        <color rgb="FF000000"/>
      </top>
      <bottom/>
      <diagonal/>
    </border>
    <border>
      <left/>
      <right style="medium">
        <color rgb="FF000000"/>
      </right>
      <top style="medium">
        <color rgb="FF000000"/>
      </top>
      <bottom/>
      <diagonal/>
    </border>
  </borders>
  <cellStyleXfs count="1">
    <xf numFmtId="0" fontId="0" fillId="0" borderId="0"/>
  </cellStyleXfs>
  <cellXfs count="131">
    <xf numFmtId="0" fontId="0" fillId="0" borderId="0" xfId="0" applyFont="1" applyAlignment="1"/>
    <xf numFmtId="0" fontId="3" fillId="5" borderId="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7" borderId="0" xfId="0" applyFont="1" applyFill="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vertical="center"/>
    </xf>
    <xf numFmtId="0" fontId="3" fillId="0" borderId="12" xfId="0" applyFont="1" applyBorder="1" applyAlignment="1">
      <alignment horizontal="center" vertical="center"/>
    </xf>
    <xf numFmtId="0" fontId="3" fillId="0" borderId="3" xfId="0" applyFont="1" applyBorder="1" applyAlignment="1">
      <alignment horizontal="center" vertical="center" wrapText="1"/>
    </xf>
    <xf numFmtId="0" fontId="2" fillId="6" borderId="14" xfId="0" applyFont="1" applyFill="1" applyBorder="1" applyAlignment="1">
      <alignment horizontal="center" vertical="center" wrapText="1"/>
    </xf>
    <xf numFmtId="0" fontId="2" fillId="6" borderId="14" xfId="0" applyFont="1" applyFill="1" applyBorder="1" applyAlignment="1">
      <alignment horizontal="left" vertical="center" wrapText="1"/>
    </xf>
    <xf numFmtId="0" fontId="2" fillId="6" borderId="16" xfId="0" applyFont="1" applyFill="1" applyBorder="1" applyAlignment="1">
      <alignment horizontal="center" vertical="center" wrapText="1"/>
    </xf>
    <xf numFmtId="0" fontId="2" fillId="6" borderId="16" xfId="0" applyFont="1" applyFill="1" applyBorder="1" applyAlignment="1">
      <alignment horizontal="left" vertical="center" wrapText="1"/>
    </xf>
    <xf numFmtId="0" fontId="2" fillId="6" borderId="18" xfId="0" applyFont="1" applyFill="1" applyBorder="1" applyAlignment="1">
      <alignment horizontal="center" vertical="center" wrapText="1"/>
    </xf>
    <xf numFmtId="0" fontId="2" fillId="6" borderId="18" xfId="0" applyFont="1" applyFill="1" applyBorder="1" applyAlignment="1">
      <alignment horizontal="left" vertical="center" wrapText="1"/>
    </xf>
    <xf numFmtId="0" fontId="2" fillId="5" borderId="16" xfId="0" applyFont="1" applyFill="1" applyBorder="1" applyAlignment="1">
      <alignment horizontal="center" vertical="center" wrapText="1"/>
    </xf>
    <xf numFmtId="0" fontId="2" fillId="5" borderId="16" xfId="0" applyFont="1" applyFill="1" applyBorder="1" applyAlignment="1">
      <alignment horizontal="left" vertical="center" wrapText="1"/>
    </xf>
    <xf numFmtId="0" fontId="2" fillId="5" borderId="16" xfId="0" applyFont="1" applyFill="1" applyBorder="1" applyAlignment="1">
      <alignment horizontal="left" vertical="center" wrapText="1"/>
    </xf>
    <xf numFmtId="0" fontId="2" fillId="0" borderId="0" xfId="0" applyFont="1" applyAlignment="1">
      <alignment vertical="center"/>
    </xf>
    <xf numFmtId="0" fontId="2" fillId="5" borderId="16" xfId="0" applyFont="1" applyFill="1" applyBorder="1" applyAlignment="1">
      <alignment horizontal="center" vertical="center" wrapText="1"/>
    </xf>
    <xf numFmtId="0" fontId="5" fillId="0" borderId="0" xfId="0" applyFont="1" applyAlignment="1">
      <alignment vertical="center"/>
    </xf>
    <xf numFmtId="0" fontId="2" fillId="5" borderId="20" xfId="0" applyFont="1" applyFill="1" applyBorder="1" applyAlignment="1">
      <alignment horizontal="left"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left" vertical="center" wrapText="1"/>
    </xf>
    <xf numFmtId="0" fontId="6" fillId="0" borderId="0" xfId="0" applyFont="1" applyAlignment="1">
      <alignment horizontal="center" vertical="center"/>
    </xf>
    <xf numFmtId="0" fontId="4" fillId="0" borderId="0" xfId="0" applyFont="1"/>
    <xf numFmtId="0" fontId="4" fillId="0" borderId="0" xfId="0" applyFont="1" applyAlignment="1"/>
    <xf numFmtId="0" fontId="7" fillId="0" borderId="0" xfId="0" applyFont="1"/>
    <xf numFmtId="0" fontId="3" fillId="7" borderId="8" xfId="0" applyFont="1" applyFill="1" applyBorder="1" applyAlignment="1">
      <alignment horizontal="center" vertical="center" wrapText="1"/>
    </xf>
    <xf numFmtId="0" fontId="4" fillId="0" borderId="0" xfId="0" applyFont="1" applyAlignment="1">
      <alignment vertical="center" wrapText="1"/>
    </xf>
    <xf numFmtId="9" fontId="4" fillId="0" borderId="0" xfId="0" applyNumberFormat="1" applyFont="1" applyAlignment="1">
      <alignment vertical="center" wrapText="1"/>
    </xf>
    <xf numFmtId="10" fontId="4" fillId="0" borderId="0" xfId="0" applyNumberFormat="1" applyFont="1" applyAlignment="1">
      <alignment vertical="center" wrapText="1"/>
    </xf>
    <xf numFmtId="0" fontId="4" fillId="0" borderId="0" xfId="0" applyFont="1" applyAlignment="1">
      <alignment vertical="center"/>
    </xf>
    <xf numFmtId="164" fontId="4" fillId="0" borderId="0" xfId="0" applyNumberFormat="1" applyFont="1" applyAlignment="1">
      <alignment vertical="center"/>
    </xf>
    <xf numFmtId="0" fontId="1" fillId="0" borderId="0" xfId="0" applyFont="1" applyAlignment="1">
      <alignment vertical="center" wrapText="1"/>
    </xf>
    <xf numFmtId="0" fontId="1" fillId="0" borderId="0" xfId="0" applyFont="1" applyAlignment="1">
      <alignment vertical="center"/>
    </xf>
    <xf numFmtId="164" fontId="1" fillId="0" borderId="0" xfId="0" applyNumberFormat="1" applyFont="1" applyAlignment="1">
      <alignment vertical="center"/>
    </xf>
    <xf numFmtId="0" fontId="3" fillId="0" borderId="0" xfId="0" applyFont="1" applyAlignment="1">
      <alignment horizontal="center" vertical="center"/>
    </xf>
    <xf numFmtId="0" fontId="3" fillId="0" borderId="0" xfId="0" applyFont="1" applyAlignment="1">
      <alignment horizontal="center" vertical="center"/>
    </xf>
    <xf numFmtId="0" fontId="6" fillId="0" borderId="0" xfId="0" applyFont="1" applyAlignment="1"/>
    <xf numFmtId="0" fontId="4" fillId="0" borderId="0" xfId="0" applyFont="1" applyAlignment="1">
      <alignment horizontal="center"/>
    </xf>
    <xf numFmtId="0" fontId="8" fillId="0" borderId="0" xfId="0" applyFont="1" applyAlignment="1">
      <alignment vertical="top" wrapText="1"/>
    </xf>
    <xf numFmtId="0" fontId="3" fillId="0" borderId="0" xfId="0" applyFont="1" applyAlignment="1">
      <alignment horizontal="center"/>
    </xf>
    <xf numFmtId="0" fontId="2" fillId="0" borderId="0" xfId="0" applyFont="1" applyAlignment="1">
      <alignment horizontal="center" vertical="center"/>
    </xf>
    <xf numFmtId="0" fontId="0" fillId="0" borderId="25" xfId="0" applyFont="1" applyBorder="1" applyAlignment="1"/>
    <xf numFmtId="0" fontId="0" fillId="0" borderId="26" xfId="0" applyFont="1" applyBorder="1" applyAlignment="1"/>
    <xf numFmtId="0" fontId="0" fillId="0" borderId="25" xfId="0" pivotButton="1" applyFont="1" applyBorder="1" applyAlignment="1"/>
    <xf numFmtId="0" fontId="0" fillId="0" borderId="27" xfId="0" applyFont="1" applyBorder="1" applyAlignment="1"/>
    <xf numFmtId="0" fontId="0" fillId="0" borderId="28" xfId="0" applyFont="1" applyBorder="1" applyAlignment="1"/>
    <xf numFmtId="0" fontId="0" fillId="0" borderId="25" xfId="0" applyNumberFormat="1" applyFont="1" applyBorder="1" applyAlignment="1"/>
    <xf numFmtId="0" fontId="0" fillId="0" borderId="28" xfId="0" applyNumberFormat="1" applyFont="1" applyBorder="1" applyAlignment="1"/>
    <xf numFmtId="0" fontId="0" fillId="0" borderId="29" xfId="0" applyFont="1" applyBorder="1" applyAlignment="1"/>
    <xf numFmtId="0" fontId="0" fillId="0" borderId="30" xfId="0" applyFont="1" applyBorder="1" applyAlignment="1"/>
    <xf numFmtId="0" fontId="0" fillId="0" borderId="30" xfId="0" applyNumberFormat="1" applyFont="1" applyBorder="1" applyAlignment="1"/>
    <xf numFmtId="0" fontId="0" fillId="0" borderId="31" xfId="0" applyNumberFormat="1" applyFont="1" applyBorder="1" applyAlignment="1"/>
    <xf numFmtId="14" fontId="0" fillId="0" borderId="25" xfId="0" applyNumberFormat="1" applyFont="1" applyBorder="1" applyAlignment="1"/>
    <xf numFmtId="14" fontId="0" fillId="0" borderId="30" xfId="0" applyNumberFormat="1" applyFont="1" applyBorder="1" applyAlignment="1"/>
    <xf numFmtId="0" fontId="0" fillId="0" borderId="32" xfId="0" applyFont="1" applyBorder="1" applyAlignment="1"/>
    <xf numFmtId="0" fontId="0" fillId="0" borderId="33" xfId="0" applyFont="1" applyBorder="1" applyAlignment="1"/>
    <xf numFmtId="0" fontId="0" fillId="0" borderId="32" xfId="0" applyNumberFormat="1" applyFont="1" applyBorder="1" applyAlignment="1"/>
    <xf numFmtId="0" fontId="0" fillId="0" borderId="34" xfId="0" applyNumberFormat="1" applyFont="1" applyBorder="1" applyAlignment="1"/>
    <xf numFmtId="0" fontId="0" fillId="0" borderId="35" xfId="0" pivotButton="1" applyFont="1" applyBorder="1" applyAlignment="1"/>
    <xf numFmtId="0" fontId="0" fillId="0" borderId="35" xfId="0" applyFont="1" applyBorder="1" applyAlignment="1"/>
    <xf numFmtId="0" fontId="10" fillId="0" borderId="0" xfId="0" applyFont="1" applyAlignment="1">
      <alignment horizontal="center" vertical="center" wrapText="1"/>
    </xf>
    <xf numFmtId="0" fontId="11" fillId="0" borderId="0" xfId="0" applyFont="1" applyAlignment="1">
      <alignment horizontal="center" vertical="center" wrapText="1"/>
    </xf>
    <xf numFmtId="0" fontId="12" fillId="7" borderId="0" xfId="0" applyFont="1" applyFill="1" applyAlignment="1">
      <alignment horizontal="center" vertical="center" wrapText="1"/>
    </xf>
    <xf numFmtId="0" fontId="12" fillId="0" borderId="0" xfId="0" applyFont="1" applyAlignment="1">
      <alignment horizontal="center" vertical="center" wrapText="1"/>
    </xf>
    <xf numFmtId="0" fontId="11" fillId="8" borderId="0" xfId="0" applyFont="1" applyFill="1" applyAlignment="1">
      <alignment horizontal="center" vertical="center" wrapText="1"/>
    </xf>
    <xf numFmtId="0" fontId="11" fillId="9" borderId="0" xfId="0" applyFont="1" applyFill="1" applyAlignment="1">
      <alignment horizontal="center" vertical="center" wrapText="1"/>
    </xf>
    <xf numFmtId="0" fontId="11" fillId="10" borderId="0" xfId="0" applyFont="1" applyFill="1" applyAlignment="1">
      <alignment horizontal="center" vertical="center" wrapText="1"/>
    </xf>
    <xf numFmtId="0" fontId="11" fillId="11" borderId="0" xfId="0" applyFont="1" applyFill="1" applyAlignment="1">
      <alignment horizontal="center" vertical="center" wrapText="1"/>
    </xf>
    <xf numFmtId="9" fontId="11" fillId="0" borderId="0" xfId="0" applyNumberFormat="1" applyFont="1" applyAlignment="1">
      <alignment horizontal="center" vertical="center" wrapText="1"/>
    </xf>
    <xf numFmtId="0" fontId="11" fillId="13" borderId="0" xfId="0" applyFont="1" applyFill="1" applyAlignment="1">
      <alignment horizontal="center" vertical="center" wrapText="1"/>
    </xf>
    <xf numFmtId="0" fontId="11" fillId="14" borderId="10" xfId="0" applyFont="1" applyFill="1" applyBorder="1" applyAlignment="1">
      <alignment horizontal="center" vertical="center" wrapText="1"/>
    </xf>
    <xf numFmtId="0" fontId="11" fillId="14" borderId="11" xfId="0" applyFont="1" applyFill="1" applyBorder="1" applyAlignment="1">
      <alignment horizontal="center" vertical="center" wrapText="1"/>
    </xf>
    <xf numFmtId="0" fontId="11" fillId="12" borderId="0" xfId="0" applyFont="1" applyFill="1" applyAlignment="1">
      <alignment horizontal="center" vertical="center" wrapText="1"/>
    </xf>
    <xf numFmtId="0" fontId="11" fillId="12" borderId="10" xfId="0" applyFont="1" applyFill="1" applyBorder="1" applyAlignment="1">
      <alignment horizontal="center" vertical="center" wrapText="1"/>
    </xf>
    <xf numFmtId="0" fontId="1" fillId="0" borderId="0" xfId="0" applyFont="1" applyAlignment="1">
      <alignment horizontal="center" vertical="center" wrapText="1"/>
    </xf>
    <xf numFmtId="0" fontId="11" fillId="0" borderId="0" xfId="0" applyFont="1" applyAlignment="1">
      <alignment horizontal="left" vertical="center" wrapText="1"/>
    </xf>
    <xf numFmtId="164" fontId="11" fillId="0" borderId="0" xfId="0" applyNumberFormat="1" applyFont="1" applyAlignment="1">
      <alignment horizontal="center" vertical="center" wrapText="1"/>
    </xf>
    <xf numFmtId="0" fontId="12" fillId="5" borderId="19"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38" xfId="0" applyFont="1" applyFill="1" applyBorder="1" applyAlignment="1">
      <alignment horizontal="center" vertical="center" wrapText="1"/>
    </xf>
    <xf numFmtId="164" fontId="12" fillId="7" borderId="37" xfId="0" applyNumberFormat="1" applyFont="1" applyFill="1" applyBorder="1" applyAlignment="1">
      <alignment horizontal="center" vertical="center" wrapText="1"/>
    </xf>
    <xf numFmtId="0" fontId="12" fillId="7" borderId="38" xfId="0" applyFont="1" applyFill="1" applyBorder="1" applyAlignment="1">
      <alignment horizontal="center" vertical="center" wrapText="1"/>
    </xf>
    <xf numFmtId="0" fontId="11" fillId="0" borderId="36" xfId="0" applyFont="1" applyFill="1" applyBorder="1" applyAlignment="1">
      <alignment horizontal="center" vertical="center" wrapText="1"/>
    </xf>
    <xf numFmtId="0" fontId="11" fillId="0" borderId="36" xfId="0" applyFont="1" applyFill="1" applyBorder="1" applyAlignment="1">
      <alignment horizontal="left" vertical="center" wrapText="1"/>
    </xf>
    <xf numFmtId="9" fontId="11" fillId="0" borderId="36" xfId="0" applyNumberFormat="1" applyFont="1" applyFill="1" applyBorder="1" applyAlignment="1">
      <alignment horizontal="center" vertical="center" wrapText="1"/>
    </xf>
    <xf numFmtId="0" fontId="11" fillId="0" borderId="36" xfId="0" applyFont="1" applyFill="1" applyBorder="1" applyAlignment="1">
      <alignment vertical="center" wrapText="1"/>
    </xf>
    <xf numFmtId="10" fontId="11" fillId="0" borderId="36" xfId="0" applyNumberFormat="1" applyFont="1" applyFill="1" applyBorder="1" applyAlignment="1">
      <alignment horizontal="center" vertical="center" wrapText="1"/>
    </xf>
    <xf numFmtId="0" fontId="13" fillId="0" borderId="36" xfId="0" applyFont="1" applyFill="1" applyBorder="1" applyAlignment="1">
      <alignment vertical="center" wrapText="1"/>
    </xf>
    <xf numFmtId="0" fontId="1" fillId="0" borderId="36" xfId="0" applyFont="1" applyFill="1" applyBorder="1" applyAlignment="1">
      <alignment horizontal="center" vertical="center" wrapText="1"/>
    </xf>
    <xf numFmtId="164" fontId="11" fillId="0" borderId="36" xfId="0" applyNumberFormat="1" applyFont="1" applyFill="1" applyBorder="1" applyAlignment="1">
      <alignment horizontal="center" vertical="center" wrapText="1"/>
    </xf>
    <xf numFmtId="165" fontId="11" fillId="0" borderId="36" xfId="0" applyNumberFormat="1" applyFont="1" applyFill="1" applyBorder="1" applyAlignment="1">
      <alignment horizontal="center" vertical="center" wrapText="1"/>
    </xf>
    <xf numFmtId="9" fontId="1" fillId="0" borderId="36" xfId="0" applyNumberFormat="1" applyFont="1" applyFill="1" applyBorder="1" applyAlignment="1">
      <alignment horizontal="center" vertical="center" wrapText="1"/>
    </xf>
    <xf numFmtId="0" fontId="1" fillId="0" borderId="36" xfId="0" applyFont="1" applyFill="1" applyBorder="1" applyAlignment="1">
      <alignment horizontal="left" vertical="center" wrapText="1"/>
    </xf>
    <xf numFmtId="10" fontId="1" fillId="0" borderId="36" xfId="0" applyNumberFormat="1" applyFont="1" applyFill="1" applyBorder="1" applyAlignment="1">
      <alignment horizontal="center" vertical="center" wrapText="1"/>
    </xf>
    <xf numFmtId="0" fontId="1" fillId="0" borderId="36" xfId="0" applyFont="1" applyFill="1" applyBorder="1" applyAlignment="1">
      <alignment vertical="center" wrapText="1"/>
    </xf>
    <xf numFmtId="0" fontId="15" fillId="0" borderId="36" xfId="0" applyFont="1" applyFill="1" applyBorder="1" applyAlignment="1">
      <alignment horizontal="left" vertical="center" wrapText="1"/>
    </xf>
    <xf numFmtId="4" fontId="11" fillId="0" borderId="36" xfId="0" applyNumberFormat="1" applyFont="1" applyFill="1" applyBorder="1" applyAlignment="1">
      <alignment horizontal="center" vertical="center" wrapText="1"/>
    </xf>
    <xf numFmtId="166" fontId="11" fillId="0" borderId="36" xfId="0" applyNumberFormat="1" applyFont="1" applyFill="1" applyBorder="1" applyAlignment="1">
      <alignment horizontal="center" vertical="center" wrapText="1"/>
    </xf>
    <xf numFmtId="9" fontId="11" fillId="0" borderId="36" xfId="0" applyNumberFormat="1" applyFont="1" applyFill="1" applyBorder="1" applyAlignment="1">
      <alignment vertical="center" wrapText="1"/>
    </xf>
    <xf numFmtId="10" fontId="11" fillId="0" borderId="36" xfId="0" applyNumberFormat="1" applyFont="1" applyFill="1" applyBorder="1" applyAlignment="1">
      <alignment horizontal="left" vertical="center" wrapText="1"/>
    </xf>
    <xf numFmtId="10" fontId="1" fillId="0" borderId="36" xfId="0" applyNumberFormat="1" applyFont="1" applyFill="1" applyBorder="1" applyAlignment="1">
      <alignment vertical="center" wrapText="1"/>
    </xf>
    <xf numFmtId="0" fontId="0" fillId="0" borderId="0" xfId="0" pivotButton="1" applyFont="1" applyAlignment="1"/>
    <xf numFmtId="0" fontId="0" fillId="0" borderId="0" xfId="0" applyFont="1" applyAlignment="1">
      <alignment horizontal="left"/>
    </xf>
    <xf numFmtId="164" fontId="0" fillId="0" borderId="0" xfId="0" applyNumberFormat="1" applyFont="1" applyAlignment="1"/>
    <xf numFmtId="14" fontId="0" fillId="0" borderId="0" xfId="0" applyNumberFormat="1" applyFont="1" applyAlignment="1">
      <alignment horizontal="left"/>
    </xf>
    <xf numFmtId="0" fontId="9" fillId="0" borderId="1" xfId="0" applyFont="1" applyBorder="1" applyAlignment="1">
      <alignment horizontal="center"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1" fillId="2" borderId="1"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164" fontId="12" fillId="4" borderId="4" xfId="0" applyNumberFormat="1" applyFont="1" applyFill="1" applyBorder="1" applyAlignment="1">
      <alignment horizontal="center" vertical="center" wrapText="1"/>
    </xf>
    <xf numFmtId="0" fontId="2" fillId="3" borderId="13" xfId="0" applyFont="1" applyFill="1" applyBorder="1" applyAlignment="1">
      <alignment horizontal="center" vertical="center" textRotation="90" wrapText="1"/>
    </xf>
    <xf numFmtId="0" fontId="1" fillId="0" borderId="15" xfId="0" applyFont="1" applyBorder="1"/>
    <xf numFmtId="0" fontId="1" fillId="0" borderId="17" xfId="0" applyFont="1" applyBorder="1"/>
    <xf numFmtId="0" fontId="2" fillId="2" borderId="19" xfId="0" applyFont="1" applyFill="1" applyBorder="1" applyAlignment="1">
      <alignment horizontal="center" vertical="center" textRotation="90" wrapText="1"/>
    </xf>
    <xf numFmtId="0" fontId="2" fillId="4" borderId="21" xfId="0" applyFont="1" applyFill="1" applyBorder="1" applyAlignment="1">
      <alignment horizontal="center" vertical="center" textRotation="90" wrapText="1"/>
    </xf>
    <xf numFmtId="0" fontId="1" fillId="0" borderId="24" xfId="0" applyFont="1" applyBorder="1"/>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pivotCacheDefinition" Target="pivotCache/pivotCacheDefinition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[PA V2 Trim 2 2021 20210521.xlsx]Hoja1!Tabla dinámica1</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Hoja1!$B$4</c:f>
              <c:strCache>
                <c:ptCount val="1"/>
                <c:pt idx="0">
                  <c:v>Suma de Ponderación (%) </c:v>
                </c:pt>
              </c:strCache>
            </c:strRef>
          </c:tx>
          <c:spPr>
            <a:solidFill>
              <a:schemeClr val="accent1"/>
            </a:solidFill>
            <a:ln>
              <a:noFill/>
            </a:ln>
            <a:effectLst/>
          </c:spPr>
          <c:invertIfNegative val="0"/>
          <c:cat>
            <c:strRef>
              <c:f>Hoja1!$A$5:$A$31</c:f>
              <c:strCache>
                <c:ptCount val="26"/>
                <c:pt idx="0">
                  <c:v>01/01/2021</c:v>
                </c:pt>
                <c:pt idx="1">
                  <c:v>02/01/2021</c:v>
                </c:pt>
                <c:pt idx="2">
                  <c:v>03/01/2021</c:v>
                </c:pt>
                <c:pt idx="3">
                  <c:v>04/01/2021</c:v>
                </c:pt>
                <c:pt idx="4">
                  <c:v>05/01/2021</c:v>
                </c:pt>
                <c:pt idx="5">
                  <c:v>01/02/2021</c:v>
                </c:pt>
                <c:pt idx="6">
                  <c:v>02/02/2021</c:v>
                </c:pt>
                <c:pt idx="7">
                  <c:v>03/02/2021</c:v>
                </c:pt>
                <c:pt idx="8">
                  <c:v>04/02/2021</c:v>
                </c:pt>
                <c:pt idx="9">
                  <c:v>05/02/2021</c:v>
                </c:pt>
                <c:pt idx="10">
                  <c:v>01/03/2021</c:v>
                </c:pt>
                <c:pt idx="11">
                  <c:v>03/03/2021</c:v>
                </c:pt>
                <c:pt idx="12">
                  <c:v>04/03/2021</c:v>
                </c:pt>
                <c:pt idx="13">
                  <c:v>01/04/2021</c:v>
                </c:pt>
                <c:pt idx="14">
                  <c:v>03/04/2021</c:v>
                </c:pt>
                <c:pt idx="15">
                  <c:v>04/04/2021</c:v>
                </c:pt>
                <c:pt idx="16">
                  <c:v>01/05/2021</c:v>
                </c:pt>
                <c:pt idx="17">
                  <c:v>03/05/2021</c:v>
                </c:pt>
                <c:pt idx="18">
                  <c:v>04/05/2021</c:v>
                </c:pt>
                <c:pt idx="19">
                  <c:v>01/06/2021</c:v>
                </c:pt>
                <c:pt idx="20">
                  <c:v>04/06/2021</c:v>
                </c:pt>
                <c:pt idx="21">
                  <c:v>01/07/2021</c:v>
                </c:pt>
                <c:pt idx="22">
                  <c:v>04/07/2021</c:v>
                </c:pt>
                <c:pt idx="23">
                  <c:v>04/08/2021</c:v>
                </c:pt>
                <c:pt idx="24">
                  <c:v>04/09/2021</c:v>
                </c:pt>
                <c:pt idx="25">
                  <c:v>04/10/2021</c:v>
                </c:pt>
              </c:strCache>
            </c:strRef>
          </c:cat>
          <c:val>
            <c:numRef>
              <c:f>Hoja1!$B$5:$B$31</c:f>
              <c:numCache>
                <c:formatCode>0.0%</c:formatCode>
                <c:ptCount val="26"/>
                <c:pt idx="0">
                  <c:v>1.2500000000000001E-2</c:v>
                </c:pt>
                <c:pt idx="1">
                  <c:v>1.2500000000000001E-2</c:v>
                </c:pt>
                <c:pt idx="2">
                  <c:v>0</c:v>
                </c:pt>
                <c:pt idx="3">
                  <c:v>0.01</c:v>
                </c:pt>
                <c:pt idx="4">
                  <c:v>1.6799999999999999E-2</c:v>
                </c:pt>
                <c:pt idx="5">
                  <c:v>1.2500000000000001E-2</c:v>
                </c:pt>
                <c:pt idx="6">
                  <c:v>1.2500000000000001E-2</c:v>
                </c:pt>
                <c:pt idx="7">
                  <c:v>7.4999999999999997E-3</c:v>
                </c:pt>
                <c:pt idx="8">
                  <c:v>5.0000000000000001E-3</c:v>
                </c:pt>
                <c:pt idx="9">
                  <c:v>1.6799999999999999E-2</c:v>
                </c:pt>
                <c:pt idx="10">
                  <c:v>1.2500000000000001E-2</c:v>
                </c:pt>
                <c:pt idx="11">
                  <c:v>5.0000000000000001E-3</c:v>
                </c:pt>
                <c:pt idx="12">
                  <c:v>5.0000000000000001E-3</c:v>
                </c:pt>
                <c:pt idx="13">
                  <c:v>1.2500000000000001E-2</c:v>
                </c:pt>
                <c:pt idx="14">
                  <c:v>5.0000000000000001E-3</c:v>
                </c:pt>
                <c:pt idx="15">
                  <c:v>0.01</c:v>
                </c:pt>
                <c:pt idx="16">
                  <c:v>1.2500000000000001E-2</c:v>
                </c:pt>
                <c:pt idx="17">
                  <c:v>7.4999999999999997E-3</c:v>
                </c:pt>
                <c:pt idx="18">
                  <c:v>5.0000000000000001E-3</c:v>
                </c:pt>
                <c:pt idx="19">
                  <c:v>1.2500000000000001E-2</c:v>
                </c:pt>
                <c:pt idx="20">
                  <c:v>5.0000000000000001E-3</c:v>
                </c:pt>
                <c:pt idx="21">
                  <c:v>1.2500000000000001E-2</c:v>
                </c:pt>
                <c:pt idx="22">
                  <c:v>5.0000000000000001E-3</c:v>
                </c:pt>
                <c:pt idx="23">
                  <c:v>0.01</c:v>
                </c:pt>
                <c:pt idx="24">
                  <c:v>0.01</c:v>
                </c:pt>
                <c:pt idx="25">
                  <c:v>1.4999999999999999E-2</c:v>
                </c:pt>
              </c:numCache>
            </c:numRef>
          </c:val>
        </c:ser>
        <c:ser>
          <c:idx val="1"/>
          <c:order val="1"/>
          <c:tx>
            <c:strRef>
              <c:f>Hoja1!$C$4</c:f>
              <c:strCache>
                <c:ptCount val="1"/>
                <c:pt idx="0">
                  <c:v>Suma de % avance Sub Actividad</c:v>
                </c:pt>
              </c:strCache>
            </c:strRef>
          </c:tx>
          <c:spPr>
            <a:solidFill>
              <a:schemeClr val="accent2"/>
            </a:solidFill>
            <a:ln>
              <a:noFill/>
            </a:ln>
            <a:effectLst/>
          </c:spPr>
          <c:invertIfNegative val="0"/>
          <c:cat>
            <c:strRef>
              <c:f>Hoja1!$A$5:$A$31</c:f>
              <c:strCache>
                <c:ptCount val="26"/>
                <c:pt idx="0">
                  <c:v>01/01/2021</c:v>
                </c:pt>
                <c:pt idx="1">
                  <c:v>02/01/2021</c:v>
                </c:pt>
                <c:pt idx="2">
                  <c:v>03/01/2021</c:v>
                </c:pt>
                <c:pt idx="3">
                  <c:v>04/01/2021</c:v>
                </c:pt>
                <c:pt idx="4">
                  <c:v>05/01/2021</c:v>
                </c:pt>
                <c:pt idx="5">
                  <c:v>01/02/2021</c:v>
                </c:pt>
                <c:pt idx="6">
                  <c:v>02/02/2021</c:v>
                </c:pt>
                <c:pt idx="7">
                  <c:v>03/02/2021</c:v>
                </c:pt>
                <c:pt idx="8">
                  <c:v>04/02/2021</c:v>
                </c:pt>
                <c:pt idx="9">
                  <c:v>05/02/2021</c:v>
                </c:pt>
                <c:pt idx="10">
                  <c:v>01/03/2021</c:v>
                </c:pt>
                <c:pt idx="11">
                  <c:v>03/03/2021</c:v>
                </c:pt>
                <c:pt idx="12">
                  <c:v>04/03/2021</c:v>
                </c:pt>
                <c:pt idx="13">
                  <c:v>01/04/2021</c:v>
                </c:pt>
                <c:pt idx="14">
                  <c:v>03/04/2021</c:v>
                </c:pt>
                <c:pt idx="15">
                  <c:v>04/04/2021</c:v>
                </c:pt>
                <c:pt idx="16">
                  <c:v>01/05/2021</c:v>
                </c:pt>
                <c:pt idx="17">
                  <c:v>03/05/2021</c:v>
                </c:pt>
                <c:pt idx="18">
                  <c:v>04/05/2021</c:v>
                </c:pt>
                <c:pt idx="19">
                  <c:v>01/06/2021</c:v>
                </c:pt>
                <c:pt idx="20">
                  <c:v>04/06/2021</c:v>
                </c:pt>
                <c:pt idx="21">
                  <c:v>01/07/2021</c:v>
                </c:pt>
                <c:pt idx="22">
                  <c:v>04/07/2021</c:v>
                </c:pt>
                <c:pt idx="23">
                  <c:v>04/08/2021</c:v>
                </c:pt>
                <c:pt idx="24">
                  <c:v>04/09/2021</c:v>
                </c:pt>
                <c:pt idx="25">
                  <c:v>04/10/2021</c:v>
                </c:pt>
              </c:strCache>
            </c:strRef>
          </c:cat>
          <c:val>
            <c:numRef>
              <c:f>Hoja1!$C$5:$C$31</c:f>
              <c:numCache>
                <c:formatCode>0.0%</c:formatCode>
                <c:ptCount val="26"/>
                <c:pt idx="0">
                  <c:v>1.2500000000000001E-2</c:v>
                </c:pt>
                <c:pt idx="1">
                  <c:v>1.2500000000000001E-2</c:v>
                </c:pt>
                <c:pt idx="2">
                  <c:v>0</c:v>
                </c:pt>
                <c:pt idx="3">
                  <c:v>5.0000000000000001E-3</c:v>
                </c:pt>
                <c:pt idx="4">
                  <c:v>1.6799999999999999E-2</c:v>
                </c:pt>
                <c:pt idx="5">
                  <c:v>1.2500000000000001E-2</c:v>
                </c:pt>
                <c:pt idx="6">
                  <c:v>1.2500000000000001E-2</c:v>
                </c:pt>
                <c:pt idx="7">
                  <c:v>2.3E-3</c:v>
                </c:pt>
                <c:pt idx="8">
                  <c:v>5.0000000000000001E-3</c:v>
                </c:pt>
                <c:pt idx="9">
                  <c:v>1.6799999999999999E-2</c:v>
                </c:pt>
                <c:pt idx="10">
                  <c:v>1.2500000000000001E-2</c:v>
                </c:pt>
                <c:pt idx="11">
                  <c:v>2.5000000000000001E-3</c:v>
                </c:pt>
                <c:pt idx="12">
                  <c:v>5.0000000000000001E-3</c:v>
                </c:pt>
                <c:pt idx="13">
                  <c:v>1.2500000000000001E-2</c:v>
                </c:pt>
                <c:pt idx="14">
                  <c:v>2.9999999999999997E-4</c:v>
                </c:pt>
                <c:pt idx="15">
                  <c:v>0.01</c:v>
                </c:pt>
                <c:pt idx="16">
                  <c:v>1.2500000000000001E-2</c:v>
                </c:pt>
                <c:pt idx="17">
                  <c:v>8.0000000000000004E-4</c:v>
                </c:pt>
                <c:pt idx="18">
                  <c:v>5.0000000000000001E-3</c:v>
                </c:pt>
                <c:pt idx="19">
                  <c:v>1.2500000000000001E-2</c:v>
                </c:pt>
                <c:pt idx="20">
                  <c:v>5.0000000000000001E-3</c:v>
                </c:pt>
                <c:pt idx="21">
                  <c:v>1.2500000000000001E-2</c:v>
                </c:pt>
                <c:pt idx="22">
                  <c:v>5.0000000000000001E-3</c:v>
                </c:pt>
                <c:pt idx="23">
                  <c:v>0.01</c:v>
                </c:pt>
                <c:pt idx="24">
                  <c:v>0.01</c:v>
                </c:pt>
                <c:pt idx="25">
                  <c:v>1.4999999999999999E-2</c:v>
                </c:pt>
              </c:numCache>
            </c:numRef>
          </c:val>
        </c:ser>
        <c:dLbls>
          <c:showLegendKey val="0"/>
          <c:showVal val="0"/>
          <c:showCatName val="0"/>
          <c:showSerName val="0"/>
          <c:showPercent val="0"/>
          <c:showBubbleSize val="0"/>
        </c:dLbls>
        <c:gapWidth val="219"/>
        <c:overlap val="-27"/>
        <c:axId val="1033131072"/>
        <c:axId val="1033115840"/>
      </c:barChart>
      <c:catAx>
        <c:axId val="1033131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33115840"/>
        <c:crosses val="autoZero"/>
        <c:auto val="1"/>
        <c:lblAlgn val="ctr"/>
        <c:lblOffset val="100"/>
        <c:noMultiLvlLbl val="0"/>
      </c:catAx>
      <c:valAx>
        <c:axId val="103311584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33131072"/>
        <c:crosses val="autoZero"/>
        <c:crossBetween val="between"/>
      </c:valAx>
      <c:spPr>
        <a:noFill/>
        <a:ln>
          <a:noFill/>
        </a:ln>
        <a:effectLst/>
      </c:spPr>
    </c:plotArea>
    <c:legend>
      <c:legendPos val="b"/>
      <c:layout>
        <c:manualLayout>
          <c:xMode val="edge"/>
          <c:yMode val="edge"/>
          <c:x val="0.36824472317844686"/>
          <c:y val="0.88079935841353163"/>
          <c:w val="0.62978637720536201"/>
          <c:h val="0.1163135024788568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title>
      <c:tx>
        <c:rich>
          <a:bodyPr/>
          <a:lstStyle/>
          <a:p>
            <a:pPr lvl="0">
              <a:defRPr b="0">
                <a:solidFill>
                  <a:srgbClr val="757575"/>
                </a:solidFill>
                <a:latin typeface="+mn-lt"/>
              </a:defRPr>
            </a:pPr>
            <a:r>
              <a:rPr lang="es-ES" b="0">
                <a:solidFill>
                  <a:srgbClr val="757575"/>
                </a:solidFill>
                <a:latin typeface="+mn-lt"/>
              </a:rPr>
              <a:t>Secretaría General - Gestión Administrativa</a:t>
            </a:r>
          </a:p>
        </c:rich>
      </c:tx>
      <c:overlay val="0"/>
    </c:title>
    <c:autoTitleDeleted val="0"/>
    <c:plotArea>
      <c:layout/>
      <c:barChart>
        <c:barDir val="col"/>
        <c:grouping val="clustered"/>
        <c:varyColors val="1"/>
        <c:ser>
          <c:idx val="0"/>
          <c:order val="0"/>
          <c:tx>
            <c:v>Meta</c:v>
          </c:tx>
          <c:spPr>
            <a:solidFill>
              <a:srgbClr val="5B9BD5"/>
            </a:solidFill>
            <a:ln cmpd="sng">
              <a:solidFill>
                <a:srgbClr val="000000"/>
              </a:solidFill>
            </a:ln>
          </c:spPr>
          <c:invertIfNegative val="1"/>
          <c:cat>
            <c:strRef>
              <c:f>'1er Trim 21'!$E$2:$E$1001</c:f>
              <c:strCache>
                <c:ptCount val="1"/>
                <c:pt idx="0">
                  <c:v>3.1</c:v>
                </c:pt>
              </c:strCache>
            </c:strRef>
          </c:cat>
          <c:val>
            <c:numRef>
              <c:f>'1er Trim 21'!$G$2:$G$1001</c:f>
              <c:numCache>
                <c:formatCode>General</c:formatCode>
                <c:ptCount val="1000"/>
                <c:pt idx="0" formatCode="0.00%">
                  <c:v>0.2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1"/>
          <c:order val="1"/>
          <c:tx>
            <c:v>Avance</c:v>
          </c:tx>
          <c:spPr>
            <a:solidFill>
              <a:srgbClr val="ED7D31"/>
            </a:solidFill>
            <a:ln cmpd="sng">
              <a:solidFill>
                <a:srgbClr val="000000"/>
              </a:solidFill>
            </a:ln>
          </c:spPr>
          <c:invertIfNegative val="1"/>
          <c:cat>
            <c:strRef>
              <c:f>'1er Trim 21'!$E$2:$E$1001</c:f>
              <c:strCache>
                <c:ptCount val="1"/>
                <c:pt idx="0">
                  <c:v>3.1</c:v>
                </c:pt>
              </c:strCache>
            </c:strRef>
          </c:cat>
          <c:val>
            <c:numRef>
              <c:f>'1er Trim 21'!$S$2:$S$1001</c:f>
              <c:numCache>
                <c:formatCode>General</c:formatCode>
                <c:ptCount val="1000"/>
                <c:pt idx="0" formatCode="0.00%">
                  <c:v>0.16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1341283584"/>
        <c:axId val="1341289568"/>
      </c:barChart>
      <c:catAx>
        <c:axId val="1341283584"/>
        <c:scaling>
          <c:orientation val="minMax"/>
        </c:scaling>
        <c:delete val="0"/>
        <c:axPos val="b"/>
        <c:title>
          <c:tx>
            <c:rich>
              <a:bodyPr/>
              <a:lstStyle/>
              <a:p>
                <a:pPr lvl="0">
                  <a:defRPr b="0">
                    <a:solidFill>
                      <a:srgbClr val="000000"/>
                    </a:solidFill>
                    <a:latin typeface="+mn-lt"/>
                  </a:defRPr>
                </a:pPr>
                <a:endParaRPr lang="es-ES"/>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ES"/>
          </a:p>
        </c:txPr>
        <c:crossAx val="1341289568"/>
        <c:crosses val="autoZero"/>
        <c:auto val="1"/>
        <c:lblAlgn val="ctr"/>
        <c:lblOffset val="100"/>
        <c:noMultiLvlLbl val="1"/>
      </c:catAx>
      <c:valAx>
        <c:axId val="134128956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s-ES"/>
              </a:p>
            </c:rich>
          </c:tx>
          <c:overlay val="0"/>
        </c:title>
        <c:numFmt formatCode="0.00%" sourceLinked="0"/>
        <c:majorTickMark val="none"/>
        <c:minorTickMark val="none"/>
        <c:tickLblPos val="nextTo"/>
        <c:spPr>
          <a:ln>
            <a:solidFill/>
          </a:ln>
        </c:spPr>
        <c:txPr>
          <a:bodyPr/>
          <a:lstStyle/>
          <a:p>
            <a:pPr lvl="0">
              <a:defRPr b="0">
                <a:solidFill>
                  <a:srgbClr val="000000"/>
                </a:solidFill>
                <a:latin typeface="Arial"/>
              </a:defRPr>
            </a:pPr>
            <a:endParaRPr lang="es-ES"/>
          </a:p>
        </c:txPr>
        <c:crossAx val="1341283584"/>
        <c:crosses val="autoZero"/>
        <c:crossBetween val="between"/>
      </c:valAx>
    </c:plotArea>
    <c:legend>
      <c:legendPos val="b"/>
      <c:overlay val="0"/>
      <c:txPr>
        <a:bodyPr/>
        <a:lstStyle/>
        <a:p>
          <a:pPr lvl="0">
            <a:defRPr b="0">
              <a:solidFill>
                <a:srgbClr val="1A1A1A"/>
              </a:solidFill>
              <a:latin typeface="+mn-lt"/>
            </a:defRPr>
          </a:pPr>
          <a:endParaRPr lang="es-ES"/>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ASESORAS</a:t>
            </a:r>
          </a:p>
        </c:rich>
      </c:tx>
      <c:overlay val="0"/>
    </c:title>
    <c:autoTitleDeleted val="0"/>
    <c:plotArea>
      <c:layout/>
      <c:barChart>
        <c:barDir val="col"/>
        <c:grouping val="clustered"/>
        <c:varyColors val="1"/>
        <c:ser>
          <c:idx val="0"/>
          <c:order val="0"/>
          <c:tx>
            <c:v>Meta</c:v>
          </c:tx>
          <c:spPr>
            <a:solidFill>
              <a:srgbClr val="5B9BD5"/>
            </a:solidFill>
            <a:ln cmpd="sng">
              <a:solidFill>
                <a:srgbClr val="000000"/>
              </a:solidFill>
            </a:ln>
          </c:spPr>
          <c:invertIfNegative val="1"/>
          <c:cat>
            <c:strRef>
              <c:f>'Tabla dinámica 1'!$C$3:$C$16</c:f>
              <c:strCache>
                <c:ptCount val="14"/>
                <c:pt idx="1">
                  <c:v>Número de Subactividad</c:v>
                </c:pt>
                <c:pt idx="2">
                  <c:v>1.1</c:v>
                </c:pt>
                <c:pt idx="3">
                  <c:v>1.2</c:v>
                </c:pt>
                <c:pt idx="4">
                  <c:v>1.3</c:v>
                </c:pt>
                <c:pt idx="5">
                  <c:v>1.4</c:v>
                </c:pt>
                <c:pt idx="6">
                  <c:v>2.1</c:v>
                </c:pt>
                <c:pt idx="7">
                  <c:v>2.2</c:v>
                </c:pt>
                <c:pt idx="8">
                  <c:v>2.3</c:v>
                </c:pt>
                <c:pt idx="9">
                  <c:v>3.1</c:v>
                </c:pt>
                <c:pt idx="10">
                  <c:v>3.2</c:v>
                </c:pt>
                <c:pt idx="11">
                  <c:v>3.3</c:v>
                </c:pt>
                <c:pt idx="12">
                  <c:v>4.1</c:v>
                </c:pt>
                <c:pt idx="13">
                  <c:v>4.2</c:v>
                </c:pt>
              </c:strCache>
            </c:strRef>
          </c:cat>
          <c:val>
            <c:numRef>
              <c:f>'Tabla dinámica 1'!$D$3:$D$16</c:f>
              <c:numCache>
                <c:formatCode>General</c:formatCode>
                <c:ptCount val="14"/>
                <c:pt idx="0">
                  <c:v>0</c:v>
                </c:pt>
                <c:pt idx="1">
                  <c:v>0</c:v>
                </c:pt>
                <c:pt idx="2">
                  <c:v>6.25E-2</c:v>
                </c:pt>
                <c:pt idx="3">
                  <c:v>6.25E-2</c:v>
                </c:pt>
                <c:pt idx="4">
                  <c:v>6.25E-2</c:v>
                </c:pt>
                <c:pt idx="5">
                  <c:v>6.25E-2</c:v>
                </c:pt>
                <c:pt idx="6">
                  <c:v>8.3333333333333329E-2</c:v>
                </c:pt>
                <c:pt idx="7">
                  <c:v>8.3333333333333329E-2</c:v>
                </c:pt>
                <c:pt idx="8">
                  <c:v>8.3333333333333329E-2</c:v>
                </c:pt>
                <c:pt idx="9">
                  <c:v>8.3333333333333329E-2</c:v>
                </c:pt>
                <c:pt idx="10">
                  <c:v>8.3333333333333329E-2</c:v>
                </c:pt>
                <c:pt idx="11">
                  <c:v>8.3333333333333329E-2</c:v>
                </c:pt>
                <c:pt idx="12">
                  <c:v>6.25E-2</c:v>
                </c:pt>
                <c:pt idx="13">
                  <c:v>6.25E-2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1"/>
          <c:order val="1"/>
          <c:tx>
            <c:v>Avance</c:v>
          </c:tx>
          <c:spPr>
            <a:solidFill>
              <a:srgbClr val="ED7D31"/>
            </a:solidFill>
            <a:ln cmpd="sng">
              <a:solidFill>
                <a:srgbClr val="000000"/>
              </a:solidFill>
            </a:ln>
          </c:spPr>
          <c:invertIfNegative val="1"/>
          <c:cat>
            <c:strRef>
              <c:f>'Tabla dinámica 1'!$C$3:$C$16</c:f>
              <c:strCache>
                <c:ptCount val="14"/>
                <c:pt idx="1">
                  <c:v>Número de Subactividad</c:v>
                </c:pt>
                <c:pt idx="2">
                  <c:v>1.1</c:v>
                </c:pt>
                <c:pt idx="3">
                  <c:v>1.2</c:v>
                </c:pt>
                <c:pt idx="4">
                  <c:v>1.3</c:v>
                </c:pt>
                <c:pt idx="5">
                  <c:v>1.4</c:v>
                </c:pt>
                <c:pt idx="6">
                  <c:v>2.1</c:v>
                </c:pt>
                <c:pt idx="7">
                  <c:v>2.2</c:v>
                </c:pt>
                <c:pt idx="8">
                  <c:v>2.3</c:v>
                </c:pt>
                <c:pt idx="9">
                  <c:v>3.1</c:v>
                </c:pt>
                <c:pt idx="10">
                  <c:v>3.2</c:v>
                </c:pt>
                <c:pt idx="11">
                  <c:v>3.3</c:v>
                </c:pt>
                <c:pt idx="12">
                  <c:v>4.1</c:v>
                </c:pt>
                <c:pt idx="13">
                  <c:v>4.2</c:v>
                </c:pt>
              </c:strCache>
            </c:strRef>
          </c:cat>
          <c:val>
            <c:numRef>
              <c:f>'Tabla dinámica 1'!$E$3:$E$16</c:f>
              <c:numCache>
                <c:formatCode>General</c:formatCode>
                <c:ptCount val="14"/>
                <c:pt idx="1">
                  <c:v>0</c:v>
                </c:pt>
                <c:pt idx="2">
                  <c:v>1.5599999999999999E-2</c:v>
                </c:pt>
                <c:pt idx="3">
                  <c:v>1.5599999999999999E-2</c:v>
                </c:pt>
                <c:pt idx="4">
                  <c:v>1.5599999999999999E-2</c:v>
                </c:pt>
                <c:pt idx="5">
                  <c:v>1.5599999999999999E-2</c:v>
                </c:pt>
                <c:pt idx="6">
                  <c:v>1.5599999999999999E-2</c:v>
                </c:pt>
                <c:pt idx="7">
                  <c:v>1.5599999999999999E-2</c:v>
                </c:pt>
                <c:pt idx="8">
                  <c:v>1.5599999999999999E-2</c:v>
                </c:pt>
                <c:pt idx="9">
                  <c:v>0</c:v>
                </c:pt>
                <c:pt idx="10">
                  <c:v>0</c:v>
                </c:pt>
                <c:pt idx="11">
                  <c:v>0</c:v>
                </c:pt>
                <c:pt idx="12">
                  <c:v>0</c:v>
                </c:pt>
                <c:pt idx="13">
                  <c:v>1.5599999999999999E-2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1341282496"/>
        <c:axId val="1341287392"/>
      </c:barChart>
      <c:catAx>
        <c:axId val="134128249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ES"/>
          </a:p>
        </c:txPr>
        <c:crossAx val="1341287392"/>
        <c:crosses val="autoZero"/>
        <c:auto val="1"/>
        <c:lblAlgn val="ctr"/>
        <c:lblOffset val="100"/>
        <c:noMultiLvlLbl val="1"/>
      </c:catAx>
      <c:valAx>
        <c:axId val="134128739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ES"/>
          </a:p>
        </c:txPr>
        <c:crossAx val="1341282496"/>
        <c:crosses val="autoZero"/>
        <c:crossBetween val="between"/>
      </c:valAx>
    </c:plotArea>
    <c:legend>
      <c:legendPos val="b"/>
      <c:overlay val="0"/>
      <c:txPr>
        <a:bodyPr/>
        <a:lstStyle/>
        <a:p>
          <a:pPr lvl="0">
            <a:defRPr b="0">
              <a:solidFill>
                <a:srgbClr val="1A1A1A"/>
              </a:solidFill>
              <a:latin typeface="+mn-lt"/>
            </a:defRPr>
          </a:pPr>
          <a:endParaRPr lang="es-ES"/>
        </a:p>
      </c:txPr>
    </c:legend>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Control Interno</a:t>
            </a:r>
          </a:p>
        </c:rich>
      </c:tx>
      <c:overlay val="0"/>
    </c:title>
    <c:autoTitleDeleted val="0"/>
    <c:plotArea>
      <c:layout/>
      <c:barChart>
        <c:barDir val="col"/>
        <c:grouping val="clustered"/>
        <c:varyColors val="1"/>
        <c:ser>
          <c:idx val="0"/>
          <c:order val="0"/>
          <c:tx>
            <c:strRef>
              <c:f>'Tabla dinámica 1'!$D$18</c:f>
              <c:strCache>
                <c:ptCount val="1"/>
                <c:pt idx="0">
                  <c:v>0,0625</c:v>
                </c:pt>
              </c:strCache>
            </c:strRef>
          </c:tx>
          <c:spPr>
            <a:solidFill>
              <a:srgbClr val="5B9BD5"/>
            </a:solidFill>
            <a:ln cmpd="sng">
              <a:solidFill>
                <a:srgbClr val="000000"/>
              </a:solidFill>
            </a:ln>
          </c:spPr>
          <c:invertIfNegative val="1"/>
          <c:cat>
            <c:strRef>
              <c:f>'Tabla dinámica 1'!$C$19:$C$55</c:f>
              <c:strCache>
                <c:ptCount val="37"/>
                <c:pt idx="1">
                  <c:v>1.1</c:v>
                </c:pt>
                <c:pt idx="2">
                  <c:v>1.2</c:v>
                </c:pt>
                <c:pt idx="3">
                  <c:v>2.1</c:v>
                </c:pt>
                <c:pt idx="4">
                  <c:v>2.10</c:v>
                </c:pt>
                <c:pt idx="5">
                  <c:v>2.11</c:v>
                </c:pt>
                <c:pt idx="6">
                  <c:v>2.12</c:v>
                </c:pt>
                <c:pt idx="7">
                  <c:v>2.13</c:v>
                </c:pt>
                <c:pt idx="8">
                  <c:v>2.14</c:v>
                </c:pt>
                <c:pt idx="9">
                  <c:v>2.15</c:v>
                </c:pt>
                <c:pt idx="10">
                  <c:v>2.16</c:v>
                </c:pt>
                <c:pt idx="11">
                  <c:v>2.17</c:v>
                </c:pt>
                <c:pt idx="12">
                  <c:v>2.18</c:v>
                </c:pt>
                <c:pt idx="13">
                  <c:v>2.19</c:v>
                </c:pt>
                <c:pt idx="14">
                  <c:v>2.2</c:v>
                </c:pt>
                <c:pt idx="15">
                  <c:v>2.20</c:v>
                </c:pt>
                <c:pt idx="16">
                  <c:v>2.21</c:v>
                </c:pt>
                <c:pt idx="17">
                  <c:v>2.22</c:v>
                </c:pt>
                <c:pt idx="18">
                  <c:v>2.23</c:v>
                </c:pt>
                <c:pt idx="19">
                  <c:v>2.24</c:v>
                </c:pt>
                <c:pt idx="20">
                  <c:v>2.25</c:v>
                </c:pt>
                <c:pt idx="21">
                  <c:v>2.26</c:v>
                </c:pt>
                <c:pt idx="22">
                  <c:v>2.27</c:v>
                </c:pt>
                <c:pt idx="23">
                  <c:v>2.28</c:v>
                </c:pt>
                <c:pt idx="24">
                  <c:v>2.29</c:v>
                </c:pt>
                <c:pt idx="25">
                  <c:v>2.3</c:v>
                </c:pt>
                <c:pt idx="26">
                  <c:v>2.30</c:v>
                </c:pt>
                <c:pt idx="27">
                  <c:v>2.31</c:v>
                </c:pt>
                <c:pt idx="28">
                  <c:v>2.4</c:v>
                </c:pt>
                <c:pt idx="29">
                  <c:v>2.5</c:v>
                </c:pt>
                <c:pt idx="30">
                  <c:v>2.6</c:v>
                </c:pt>
                <c:pt idx="31">
                  <c:v>2.7</c:v>
                </c:pt>
                <c:pt idx="32">
                  <c:v>2.8</c:v>
                </c:pt>
                <c:pt idx="33">
                  <c:v>2.9</c:v>
                </c:pt>
                <c:pt idx="34">
                  <c:v>3.1</c:v>
                </c:pt>
                <c:pt idx="35">
                  <c:v>4.1</c:v>
                </c:pt>
                <c:pt idx="36">
                  <c:v>4.2</c:v>
                </c:pt>
              </c:strCache>
            </c:strRef>
          </c:cat>
          <c:val>
            <c:numRef>
              <c:f>'Tabla dinámica 1'!$D$19:$D$55</c:f>
              <c:numCache>
                <c:formatCode>General</c:formatCode>
                <c:ptCount val="37"/>
                <c:pt idx="0">
                  <c:v>1</c:v>
                </c:pt>
                <c:pt idx="1">
                  <c:v>0.05</c:v>
                </c:pt>
                <c:pt idx="2">
                  <c:v>0.05</c:v>
                </c:pt>
                <c:pt idx="3">
                  <c:v>0.04</c:v>
                </c:pt>
                <c:pt idx="4">
                  <c:v>0.03</c:v>
                </c:pt>
                <c:pt idx="5">
                  <c:v>5.0000000000000001E-3</c:v>
                </c:pt>
                <c:pt idx="6">
                  <c:v>5.0000000000000001E-3</c:v>
                </c:pt>
                <c:pt idx="7">
                  <c:v>5.0000000000000001E-3</c:v>
                </c:pt>
                <c:pt idx="8">
                  <c:v>0.04</c:v>
                </c:pt>
                <c:pt idx="9">
                  <c:v>5.0000000000000001E-3</c:v>
                </c:pt>
                <c:pt idx="10">
                  <c:v>0.01</c:v>
                </c:pt>
                <c:pt idx="11">
                  <c:v>5.0000000000000001E-3</c:v>
                </c:pt>
                <c:pt idx="12">
                  <c:v>5.0000000000000001E-3</c:v>
                </c:pt>
                <c:pt idx="13">
                  <c:v>5.0000000000000001E-3</c:v>
                </c:pt>
                <c:pt idx="14">
                  <c:v>0.04</c:v>
                </c:pt>
                <c:pt idx="15">
                  <c:v>0.01</c:v>
                </c:pt>
                <c:pt idx="16">
                  <c:v>0.01</c:v>
                </c:pt>
                <c:pt idx="17">
                  <c:v>0.01</c:v>
                </c:pt>
                <c:pt idx="18">
                  <c:v>1.4999999999999999E-2</c:v>
                </c:pt>
                <c:pt idx="19">
                  <c:v>0.01</c:v>
                </c:pt>
                <c:pt idx="20">
                  <c:v>5.0000000000000001E-3</c:v>
                </c:pt>
                <c:pt idx="21">
                  <c:v>5.0000000000000001E-3</c:v>
                </c:pt>
                <c:pt idx="22">
                  <c:v>0.01</c:v>
                </c:pt>
                <c:pt idx="23">
                  <c:v>0.03</c:v>
                </c:pt>
                <c:pt idx="24">
                  <c:v>0.01</c:v>
                </c:pt>
                <c:pt idx="25">
                  <c:v>0.04</c:v>
                </c:pt>
                <c:pt idx="26">
                  <c:v>0.01</c:v>
                </c:pt>
                <c:pt idx="27">
                  <c:v>0.01</c:v>
                </c:pt>
                <c:pt idx="28">
                  <c:v>0.04</c:v>
                </c:pt>
                <c:pt idx="29">
                  <c:v>0.04</c:v>
                </c:pt>
                <c:pt idx="30">
                  <c:v>0.04</c:v>
                </c:pt>
                <c:pt idx="31">
                  <c:v>0.04</c:v>
                </c:pt>
                <c:pt idx="32">
                  <c:v>0.05</c:v>
                </c:pt>
                <c:pt idx="33">
                  <c:v>0.02</c:v>
                </c:pt>
                <c:pt idx="34">
                  <c:v>0.1</c:v>
                </c:pt>
                <c:pt idx="35">
                  <c:v>0.05</c:v>
                </c:pt>
                <c:pt idx="36">
                  <c:v>0.05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1341277056"/>
        <c:axId val="1341284128"/>
      </c:barChart>
      <c:catAx>
        <c:axId val="134127705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Dependencia</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ES"/>
          </a:p>
        </c:txPr>
        <c:crossAx val="1341284128"/>
        <c:crosses val="autoZero"/>
        <c:auto val="1"/>
        <c:lblAlgn val="ctr"/>
        <c:lblOffset val="100"/>
        <c:noMultiLvlLbl val="1"/>
      </c:catAx>
      <c:valAx>
        <c:axId val="134128412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ES"/>
          </a:p>
        </c:txPr>
        <c:crossAx val="1341277056"/>
        <c:crosses val="autoZero"/>
        <c:crossBetween val="between"/>
      </c:valAx>
    </c:plotArea>
    <c:legend>
      <c:legendPos val="b"/>
      <c:overlay val="0"/>
      <c:txPr>
        <a:bodyPr/>
        <a:lstStyle/>
        <a:p>
          <a:pPr lvl="0">
            <a:defRPr b="0">
              <a:solidFill>
                <a:srgbClr val="1A1A1A"/>
              </a:solidFill>
              <a:latin typeface="+mn-lt"/>
            </a:defRPr>
          </a:pPr>
          <a:endParaRPr lang="es-ES"/>
        </a:p>
      </c:txPr>
    </c:legend>
    <c:plotVisOnly val="1"/>
    <c:dispBlanksAs val="zero"/>
    <c:showDLblsOverMax val="1"/>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380999</xdr:colOff>
      <xdr:row>0</xdr:row>
      <xdr:rowOff>104775</xdr:rowOff>
    </xdr:from>
    <xdr:to>
      <xdr:col>10</xdr:col>
      <xdr:colOff>200024</xdr:colOff>
      <xdr:row>19</xdr:row>
      <xdr:rowOff>95250</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2</xdr:col>
      <xdr:colOff>76200</xdr:colOff>
      <xdr:row>3</xdr:row>
      <xdr:rowOff>152400</xdr:rowOff>
    </xdr:from>
    <xdr:ext cx="5715000" cy="3533775"/>
    <xdr:graphicFrame macro="">
      <xdr:nvGraphicFramePr>
        <xdr:cNvPr id="2" name="Chart 1" title="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466725</xdr:colOff>
      <xdr:row>0</xdr:row>
      <xdr:rowOff>695325</xdr:rowOff>
    </xdr:from>
    <xdr:ext cx="5715000" cy="3533775"/>
    <xdr:graphicFrame macro="">
      <xdr:nvGraphicFramePr>
        <xdr:cNvPr id="2" name="Chart 2" title="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5</xdr:col>
      <xdr:colOff>323850</xdr:colOff>
      <xdr:row>17</xdr:row>
      <xdr:rowOff>190500</xdr:rowOff>
    </xdr:from>
    <xdr:ext cx="5715000" cy="3533775"/>
    <xdr:graphicFrame macro="">
      <xdr:nvGraphicFramePr>
        <xdr:cNvPr id="3" name="Chart 3" title="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85725</xdr:colOff>
      <xdr:row>1</xdr:row>
      <xdr:rowOff>66675</xdr:rowOff>
    </xdr:from>
    <xdr:ext cx="12192000" cy="69723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Carlos Felipe Rojas Paez" refreshedDate="44337.454354861111" createdVersion="5" refreshedVersion="5" minRefreshableVersion="3" recordCount="504">
  <cacheSource type="worksheet">
    <worksheetSource ref="A3:T507" sheet="PA 2021"/>
  </cacheSource>
  <cacheFields count="20">
    <cacheField name="Dependencia" numFmtId="0">
      <sharedItems count="16">
        <s v="Dirección General - Asesoras"/>
        <s v="Dirección General - Control Interno"/>
        <s v="Dirección General - GIT Planeación"/>
        <s v="Secretaría General - GIT Gestión Financiera"/>
        <s v="Secretaría General - GIT Gestión Jurídica y Contractual"/>
        <s v="Subdirección de Demanda"/>
        <s v="Subdirección de Minería"/>
        <s v="Secretaría General - GIT Talento Humano y Servicio al Ciudadano"/>
        <s v="Oficina de Gestión de la Información"/>
        <s v="Secretaría General - GIT Gestión Administrativa"/>
        <s v="Subdirección de Hidrocarburos"/>
        <s v="Subdirección de Energía Eléctrica - GIT Convocatorias públicas"/>
        <s v="Subdirección de Energía Eléctrica - GIT Transmisión"/>
        <s v="Subdirección de Energía Eléctrica - GIT Generación y Registro"/>
        <s v="Subdirección de Energía Eléctrica - GIT Cobertura"/>
        <s v="Oficina de Gestión de Proyectos de Fondos"/>
      </sharedItems>
    </cacheField>
    <cacheField name="No consecutivo_x000a_Actividad" numFmtId="0">
      <sharedItems containsSemiMixedTypes="0" containsString="0" containsNumber="1" containsInteger="1" minValue="1" maxValue="14"/>
    </cacheField>
    <cacheField name="ACTIVIDAD" numFmtId="0">
      <sharedItems/>
    </cacheField>
    <cacheField name="Ponderación (%) Actividad" numFmtId="0">
      <sharedItems containsSemiMixedTypes="0" containsString="0" containsNumber="1" minValue="0.03" maxValue="0.6"/>
    </cacheField>
    <cacheField name="Número de Subactividad" numFmtId="0">
      <sharedItems containsDate="1" containsMixedTypes="1" minDate="2021-01-01T00:00:00" maxDate="2021-10-05T00:00:00" count="168">
        <s v="1.1"/>
        <s v="1.2"/>
        <s v="1.3"/>
        <s v="1.4"/>
        <s v="2.1"/>
        <s v="2.2"/>
        <s v="2.3"/>
        <s v="3.1"/>
        <s v="3.2"/>
        <s v="3.3"/>
        <s v="4.1"/>
        <s v="4.2"/>
        <s v="4.3"/>
        <s v="4.4"/>
        <s v="2.4"/>
        <s v="2.5"/>
        <s v="2.6"/>
        <s v="2.7"/>
        <s v="2.8"/>
        <s v="2.9"/>
        <s v="2.10"/>
        <s v="2.11"/>
        <s v="2.12"/>
        <s v="2.13"/>
        <s v="2.14"/>
        <s v="2.15"/>
        <s v="2.16"/>
        <s v="2.17"/>
        <s v="2.18"/>
        <s v="2.19"/>
        <s v="2.20"/>
        <s v="2.21"/>
        <s v="2.22"/>
        <s v="2.23"/>
        <s v="2.24"/>
        <s v="2.25"/>
        <s v="2.26"/>
        <s v="2.27"/>
        <s v="2.28"/>
        <s v="2.29"/>
        <s v="2.30"/>
        <s v="2.31"/>
        <s v="1.5"/>
        <s v="1.6"/>
        <s v="1.7"/>
        <s v="1.8"/>
        <s v="1.9"/>
        <s v="1.10"/>
        <s v="1.11"/>
        <s v="1.12"/>
        <s v="1.13"/>
        <s v="1.14"/>
        <s v="1.15"/>
        <s v="1.16"/>
        <s v="1.17"/>
        <s v="1.18"/>
        <s v="1.19"/>
        <s v="1.20"/>
        <s v="1.21"/>
        <s v="1.22"/>
        <s v="3.4"/>
        <s v="3.5"/>
        <s v="3.6"/>
        <s v="3.7"/>
        <s v="3.8"/>
        <s v="3.9"/>
        <s v="3.10"/>
        <s v="4.5"/>
        <s v="4.6"/>
        <d v="2021-01-01T00:00:00"/>
        <d v="2021-01-02T00:00:00"/>
        <d v="2021-01-03T00:00:00"/>
        <d v="2021-02-03T00:00:00"/>
        <d v="2021-01-04T00:00:00"/>
        <d v="2021-01-05T00:00:00"/>
        <d v="2021-02-05T00:00:00"/>
        <d v="2021-03-05T00:00:00"/>
        <d v="2021-04-05T00:00:00"/>
        <d v="2021-05-05T00:00:00"/>
        <d v="2021-06-05T00:00:00"/>
        <n v="4.0999999999999996"/>
        <n v="4.2"/>
        <n v="4.3"/>
        <n v="4.4000000000000004"/>
        <s v="5.5"/>
        <s v="5.6"/>
        <s v="5.7"/>
        <s v="6.8"/>
        <s v="5.1"/>
        <s v="5.2"/>
        <s v="5.3"/>
        <s v="4.7"/>
        <s v="1.23"/>
        <s v="1.24"/>
        <s v="1.25"/>
        <s v="1.26"/>
        <s v="1.27"/>
        <s v="1.28"/>
        <s v="1.29"/>
        <s v="1.30"/>
        <s v="1.31"/>
        <s v="1.32"/>
        <s v="1.33"/>
        <s v="6.1"/>
        <s v="6.2"/>
        <s v="7.1"/>
        <s v="7.2"/>
        <s v="8.1"/>
        <s v="8.2"/>
        <s v="9.1"/>
        <s v="9.2"/>
        <s v="6.3"/>
        <s v="7.3"/>
        <s v="9.3"/>
        <s v="9.4"/>
        <s v="10.1"/>
        <s v="10.2"/>
        <s v="10.3"/>
        <s v="11.1"/>
        <s v="11.2"/>
        <s v="11.3"/>
        <s v="12.1"/>
        <s v="12.2"/>
        <s v="13.1"/>
        <s v="13.2"/>
        <s v="14.1"/>
        <s v="14.2"/>
        <d v="2021-02-01T00:00:00"/>
        <s v="5.4"/>
        <s v="6.4"/>
        <s v="7.4"/>
        <s v="7.5"/>
        <s v="7.6"/>
        <s v="7.7"/>
        <s v="7.8"/>
        <s v="7.9"/>
        <s v="4.8"/>
        <s v="4.9"/>
        <s v="4.10"/>
        <s v="4.11"/>
        <s v="4.12"/>
        <s v="4.13"/>
        <s v="4.14"/>
        <s v="4.15"/>
        <s v="4.16"/>
        <s v="4.17"/>
        <s v="4.18"/>
        <s v="4.19"/>
        <s v="4.20"/>
        <s v="5.8"/>
        <d v="2021-03-01T00:00:00"/>
        <d v="2021-04-01T00:00:00"/>
        <d v="2021-05-01T00:00:00"/>
        <d v="2021-06-01T00:00:00"/>
        <d v="2021-07-01T00:00:00"/>
        <d v="2021-02-02T00:00:00"/>
        <d v="2021-03-03T00:00:00"/>
        <d v="2021-04-03T00:00:00"/>
        <d v="2021-05-03T00:00:00"/>
        <d v="2021-02-04T00:00:00"/>
        <d v="2021-03-04T00:00:00"/>
        <d v="2021-04-04T00:00:00"/>
        <d v="2021-05-04T00:00:00"/>
        <d v="2021-06-04T00:00:00"/>
        <d v="2021-07-04T00:00:00"/>
        <d v="2021-08-04T00:00:00"/>
        <d v="2021-09-04T00:00:00"/>
        <d v="2021-10-04T00:00:00"/>
      </sharedItems>
    </cacheField>
    <cacheField name="Sub actividad" numFmtId="0">
      <sharedItems count="354" longText="1">
        <s v="Identificar y transferir mejores prácticas metodológicas para la implementación de la transformación cultural, organizacional y digital a través de la modernización institucional."/>
        <s v="Brindar soporte técnico a las áreas para la implementación de la transformación cultural, organizacional y digital a través de la modernización institucional."/>
        <s v="Hacer seguimiento al proceso de modernización y la gestión frente a las diferentes entidades que hacen parte del proceso. "/>
        <s v="Retroalimentar los avances de la transformación cultural, organizacional y digital a través de la modernización institucional, en particular los del rediseño institucional."/>
        <s v="Apoyar al Director General en la identificación de mejoras normativas que sean de interés para el impulso del sector."/>
        <s v="Acompañar en la actualización y el seguimiento del Plan Estratégico Insitucional."/>
        <s v="Facilitar el proceso de flujo efectivo de información entre las áreas de la entidad, así como de la entidad con sus grupos de interés"/>
        <s v="Identificar y transferir mejores prácticas metodológicas para la aplicación del enfoque territorial a la planeación"/>
        <s v="Brindar soporte técnico a las áreas en la aplicación del enfoque territorial en los planes de la UPME"/>
        <s v="Retroalimentar los avances de la aplicación del enfoque territorial en lso plans programas y proyectos de la Unidad"/>
        <s v="Identificar y transferir mejores prácticas metodológicas para la comunicación y difusión estratégica de los planes, programas y proyectos de la Unidad y su relacionamiento con públicos de interés."/>
        <s v="Dar soporte técnico a las áreas en el diseño y desarrollo de estrategias de comunicación y difusión de los planes, programas y proyectos de la Unidad y su relacionamiento con públicos de interés."/>
        <s v="Retroalimentar a las áreas misionales de la entidad para que los planes que sean desarrollados en el transcurso de la vigencia identifiquen una estrategia de socialización diferenciada por grupos de interés."/>
        <s v="Hacer seguimiento a la implementación del Plan Estratégico de Comunicaciones y a la Oficina de Gestión de la Información para promover el desarrollo de estrategias efectivas de identificación de actores e intereses, así como en la socialización de los planes, programas y proyectos, así como del quehacer de la Unidad. "/>
        <s v="Elaborar el Programa Anual de auditorias lnternas PAAI 2021"/>
        <s v="Presentar al CCCI el Programa Anual de auditorias lnternas PAAI 2021 para aprobación"/>
        <s v="Realizar 1 Auditoría Interna"/>
        <s v="Realizar 8 Informes de Ley"/>
        <s v="Realizar 5 Informes de Ley"/>
        <s v="Realizar 6 Informes de Ley"/>
        <s v="Realizar 2 Informes de Ley"/>
        <s v="Realizar 7 Informes de Ley"/>
        <s v="Realizar 3 Informes de Ley"/>
        <s v="Realizar 2 Seguimientos de Ley"/>
        <s v="Realizar 3 Seguimientos de Ley"/>
        <s v="Realizar 1 Seguimientos de Ley"/>
        <s v="Realizar 5 Seguimientos de Ley"/>
        <s v="Realizar capacitación en riesgos"/>
        <s v="Revisar documentos (Estatuto de auditoría, procedimiento de auditoría y formatos)"/>
        <s v="Dar respuesta a los requerimientos de los entes de control."/>
        <s v="Efectuar el seguimiento al PAAC I CUATRIMESTRE"/>
        <s v="Efectuar el seguimiento al PAAC II CUATRIMESTRE"/>
        <s v="Efectuar el seguimiento al PAAC III CUATRIMESTRE"/>
        <s v="Diligenciar el aplicativo de la matríz de transparencia ITA"/>
        <s v="DNP - Gestionar la actualización de la información del SISCOMPES"/>
        <s v="Asesorar y validar el seguimiento al SPI de los proyectos de inversión"/>
        <s v="Generar el seguimiento y los reportes presupuestales de proyectos de inversión Primer trimestre "/>
        <s v="Generar el seguimiento y los reportes presupuestales de proyectos de inversión segundo trimestre "/>
        <s v="Generar el seguimiento y los reportes presupuestales de proyectos de inversión tercer trimestre "/>
        <s v="Generar el seguimiento y los reportes presupuestales de proyectos de inversión cuarto trimestre "/>
        <s v="Realizar el reporte de avance de trámites en el SUIT 1er trimestre "/>
        <s v="Realizar el reporte de avance de trámites en el SUIT 2er trimestre "/>
        <s v="Realizar el reporte de avance de trámites en el SUIT 3er trimestre "/>
        <s v="Realizar el reporte de avance de trámites en el SUIT 4er trimestre 2020"/>
        <s v="Realizar el informe de seguimiento al Plan Anual de Adquisiciones - PAA cuando se requiera en el SECOP II"/>
        <s v="Realizar el seguimiento al Plan Estratégico Institucional - PEI I Trim"/>
        <s v="Realizar el seguimiento al Plan Estratégico Institucional - PEI II Trim"/>
        <s v="Consolidar el informe de gestión"/>
        <s v="Consolidar el informe de rendición de cuentas"/>
        <s v="Consolidar las memorias al congreso"/>
        <s v="Cooperación internacional"/>
        <s v="Orientar y gestionar el presupuesto 2022 ante la Dirección General y en Consejo Directivo"/>
        <s v="Actualizar el aplicativo SIGUEME en la versión del software que incluye MIPG"/>
        <s v="Validar la información actual del sistema SIGUEME."/>
        <s v="Implementar las funcionalidades del sistema"/>
        <s v="Realizar capacitación sobre el manejo de la nueva versión del aplicativo SIGUEME a los funcionarios."/>
        <s v="Actualizar y cargar la información en el aplicativo SIGUEME."/>
        <s v="Pre auditoría (Auditoría interna)"/>
        <s v="Auditoría de certificación"/>
        <s v="Cargue de información al módulo MIPG en el SIGUEME"/>
        <s v="Realizar seguimiento al &quot;Plan de trabajo para cierre de brechas de MIPG&quot; I Trim"/>
        <s v="Realizar seguimiento al &quot;Plan de trabajo para cierre de brechas de MIPG&quot; II Trim"/>
        <s v="Realizar seguimiento al &quot;Plan de trabajo para cierre de brechas de MIPG&quot; III Trim"/>
        <s v="Realizar seguimiento al &quot;Plan de trabajo para cierre de brechas de MIPG&quot; IV Trim"/>
        <s v="Actualizar los autodiagnósticos de MIPG"/>
        <s v="Formular plan de trabajo cierre de brechas de MIPG 2022"/>
        <s v="Formular el PAAC vigencia 2022"/>
        <s v="Ejecutar, hacer seguimiento y reporte de las actividades establecidas en el plan de trabajo de MIPG para el cierre de brechas"/>
        <s v="Realizar la evaluación del MIPG en el aplicativo FURAG"/>
        <s v="Actualizar los proyectos de inversión 2022"/>
        <s v="Formular nuevos proyectos MGA (Metodologia General Ajustada)"/>
        <s v="Mantener actualizada la información del sistema SUIFP - MGMP (Marco del Gasto de gasto de mediano Plazo)"/>
        <s v="Mantener actualizada la información del sistema SUIFP - Actualización"/>
        <s v="Mantener actualizada la información del sistema SUIFP - Decreto de liquidación"/>
        <s v="Realizar capacitaciones para formulación y actualización de proyectos"/>
        <s v="Revisar y analizar los documentos del proceso de Modernización Institucional"/>
        <s v="Cumplir con las actividades derivadas de los diferentes planes institucionales donde participe el proceso de gestión financiera"/>
        <s v="Anteproyecto Presupuesto 2022: Programación presupuestal a través de mesas de trabajo con el GIT de planeación y Áreas involucradas."/>
        <s v="Seguimiento coordinado con Planeación a la Ejecución del Presupuesto"/>
        <s v="Modificación al Manual de Políticas Contables"/>
        <s v="Elaboración y/o Actualización de los procedimientos de Gestión Financiera."/>
        <s v="Gestión de Riesgos: Seguimiento a los controles e indicadores"/>
        <s v="Evaluación y Seguimiento: Consolidación de Indicadores de Gestión y seguimiento mediante el Plan de Trabajo del GITGF"/>
        <s v="Planes de Mejoramiento: Cumplimiento de acciones de mejora y reportes de avances"/>
        <s v="Plan de Trabajo: Seguimiento al cumplimiento de metas de presupuesto, contabilidad y tesorería."/>
        <s v="Evaluación de Desempeño equipo de trabajo (provisionales)"/>
        <s v="Revisar los documentos asociados al proceso de modernización de la Entidad, en las competencias del GIT Gestión Jurídica"/>
        <s v="Concertar objetivos, realizar seguimiento a la evaluación, y cumplir los indicadores de gestión"/>
        <s v="Realizar seguimiento y control a las acciones propuestas en cada uno de los planes a cargo del GIT Gestión Jurídica (Plan de Mejoramiento Entidad, Plan de Mejoramiento Interno, FURAG, Política de Prevención de Daño Antijurídico)"/>
        <s v="Realizar el comité de asuntos jurídicos con el fin de generar doctrina jurídica institucional"/>
        <s v="Realizar mesas de articulación contractual, con el seguimiento a la ejecución"/>
        <s v="Implementar del SECOP II"/>
        <s v="Revisar el Manual de Contratación - Res. 184 de 2020"/>
        <s v="Realizar seguimiento a la defensa judicial, a través del comité de conciliación, una (1) vez al mes. Informes"/>
        <s v="Proyección de demanda de energía eléctrica"/>
        <s v="Proyección de demanda de gas natural"/>
        <s v="Proyección de demanda de combustibles líquidos"/>
        <s v="Proyecto a consulta de actualización del PROURE"/>
        <s v="Proyecto definitivo de actualización del PROURE"/>
        <s v="Publicación a comentarios del BECO"/>
        <s v="Publicación definitiva del BECO"/>
        <s v="Puesta a punto de la visualización en pag web"/>
        <s v="Publicación de informes de inflación"/>
        <s v="Publicación de estadísticas"/>
        <s v="Publicación costos de racionamiento"/>
        <s v="Talleres trimestrales de socialización"/>
        <s v="Mejoras en automatización en el proceso de certificación"/>
        <s v="Procesos del FENOGE"/>
        <s v="Definición del marco conceptual y la Unidad de Análisis  para el PND Cesar y Guajira "/>
        <s v="Caracterización integral  del territorio definido dentro de la unidad de análisis"/>
        <s v="Análisis prospectivo del territorio"/>
        <s v="Formulación de estrategias de gestión del territorio"/>
        <s v="Fijar los precios de los diferentes minerales para la liquidación de las regalías"/>
        <s v="Ampliación de la capacidad análitica del rubro de minas y canteras en las cuentas nacionales, a través del desarrollo de la cuenta satélite minera - DANE"/>
        <s v="Complementación  diseño y prueba instrumento recolección versión Web"/>
        <s v="Actualización del Modelo de Mercado Nacional de Minerales"/>
        <s v="Desarrollo e implementación de los mecanismos para la formalización, legalización y acceso a la financiación en el sector minero."/>
        <s v="Elaborar estudio de fortalecimiento de la cadena de valor del sector minero con enfoque territorial Guajira y Cesar"/>
        <s v="Actulización informe mineral de cobre en Colombia"/>
        <s v="Actualización análisis multimodal 2020"/>
        <s v="Adquirir suscripciones para el análisis del comportamiento de minerales"/>
        <s v="Creación de nuevos reportes en Tableau"/>
        <s v="Inventario Reportes Disponibles SIMCO"/>
        <s v="Actualización contenido SIMCO"/>
        <s v="Formulación y aprobación del Plan Estratégico de Talento Humano"/>
        <s v="Ejecutar las actividades del cronograma del Plan Estratégico del Talento Humano programadas para el primer trimestre."/>
        <s v="Ejecutar las actividades del cronograma del Plan Estratégico del Talento Humano"/>
        <s v="Formulación y aprobación del Plan de Bienestar Social e Incentivos"/>
        <s v="Ejecutar las actividades del cronograma del Plan de bienestar Social e Incentivos"/>
        <s v="Formulación y aprobación del Plan institucional de Capacitación"/>
        <s v="Ejecutar las actividades del cronograma del Plan Institucional de Capacitación"/>
        <s v="Ejecutar las actividades del cronograma del Plan de Seguridad y Salud en el Trabajo - SG SST"/>
        <s v="Formulación y aprobación del Plan de Previsión de Recursos Humanos"/>
        <s v="Elaboración de documentos, según solicitud de la CNSC para el concurso de Méritos"/>
        <s v="Realizar el pago del valor faltante para la ejecución del concurso de méritos con la CNSC"/>
        <s v="Asegurar el pago mensual por concepto de nómina a la planta de personal"/>
        <s v="implementar y estabilizar las diferentes funcionalidades  del software Kactus en la entidad."/>
        <s v="Actualización procedimiento de Nómina"/>
        <s v="Formulación y aprobación del Plan Anual de Vacantes"/>
        <s v="Identificar las vacantes definitivas y temporales para adelantar gestiones necesarias para su provisión."/>
        <s v="Actualizar el manual de funciones que está vigente actualmente."/>
        <s v="Propuesta del nuevo manual de funciones para la entidad, producto del proceso de modernización que está surtiendo."/>
        <s v="Realizar el análisis de costos y establecer una propuesta de financiación, para la nueva planta de la modernización."/>
        <s v="Preparar en coordinación con las áreas competentes los documentos necesarios para el rediseño institucional, para la modificación de la estructura y planta de personal._x000a_"/>
        <s v="Tramitar la aprobación de la viabilidad política de la propuesta de modernización, ante el Ministerio de Energía."/>
        <s v="Tramitar la viabilidad presupuestal de la propuesta de modernización, ante el Ministerio de Hacienda y Crédito público."/>
        <s v="Tramitar la aprobación de la viabilidad técnica de la propuesta de modernización, ante el Departamento Administrativo de la Función Pública."/>
        <s v="Lograr la aprobación del proyecto de modernización ante la Presidencia de la República. "/>
        <s v="Proponer para la aprobación del Director la política de asistencia al ciudadano estableciiendo líneas estratégicas y de acción que recojan las actividades del  PAAC"/>
        <s v="Implementar las líneas de acción de la Política de asistencia al ciudadano adoptada por la Dirección"/>
        <s v="Evaluar y ajustar la Política de asistencia al ciudadano de acuerdo con los resultados de la evaluación"/>
        <s v="Ejecutar las actividades consignadas en los planes de Talento Humano, relacionadas con la conformación del equipo de teletrabajo, adelanto de estudios, análisis y establecimiento de una propuesta de teletrabajo para la entidad."/>
        <s v="Seguimiento semestral a los Acuerdos de Gestión 2021-2022"/>
        <s v="Seguimiento semestral a los Acuerdos de Gestión 2021-2023"/>
        <s v="Realizar seguimiento a la concertación anual de compromisos para las evaluaciones de desempeño para el personal de carrera administrativa"/>
        <s v="Realizar seguimiento semestral de la evaluación de la gestión institucional para servidores en provisionalidad y de libre nombramiento y remoción, que no ostenten condición de gerentes públicos"/>
        <s v="Elaborar piezas gráficas y producción audiovisual de acuerdo con los requerimientos institucionales"/>
        <s v="Adelantar los eventos institucionales y sectoriales requeridos en cumplimiento de la misionalidad"/>
        <s v="Caracterizar usuarios"/>
        <s v="Aplicar encuestas"/>
        <s v="Actualizar el Content Management System"/>
        <s v="Adoptar los lineamientos de MINTIC y la comunidad internacional World Wide Web Consortium (W3C)"/>
        <s v="Integrar portales"/>
        <s v="Actualizar los dominios de arquitectura definidos en el marco de referencia"/>
        <s v="Generar Reportes de información"/>
        <s v="Georeferenciar la información de los reportes generados"/>
        <s v="Diseñar cuadro de mando de seguimiento institucional"/>
        <s v="Desarrollar cuadro de mando de seguimiento institucional"/>
        <s v="Poner en funcionamiento cuadro de mando de seguimiento institucional"/>
        <s v="Formalizar el comité de gobierno de datos y poner en operación el gobierno definido"/>
        <s v="Definir arquitectura de datos"/>
        <s v="Formalizar procedimientos para gestión de datos"/>
        <s v="Identificar y levantar requerimientos de los procesos a automatizar"/>
        <s v="Automatizar los procesos identificados"/>
        <s v="Elaborar plan de mejoramiento resultado de la auditoria SGSI "/>
        <s v="Elaborar plan de trabajo derivado de la evaluación del MSPI en desarrollo del proyecto GRC Sectorial"/>
        <s v="Ejecutar plan de mejoramiento SGSI"/>
        <s v="Ejecutar plan de trabajo MSPI"/>
        <s v="Definir procedimientos para la mesa de servicios"/>
        <s v="Implementar la herramienta para la gestión de servicios TIC"/>
        <s v="Ejecutar campaña de sensibilización de usuarios, así como de uso y apropiación de la mesa de servicios"/>
        <s v="Definir la solución a implementar"/>
        <s v="Implementar la solución"/>
        <s v="Monitorear la solución"/>
        <s v="Definir arquitectura de solución de networking"/>
        <s v="Definir arquitectura de solución de telefonia IP"/>
        <s v="Definir arquitectura de solución de DRP"/>
        <s v="Revisar los documentos que se derivan del proyecto de la modernización"/>
        <s v="Revisar los documentos que se derivan del proyecto de la modernización y que sean del resorte para la gestión documental"/>
        <s v="Presentar el proyecto del programa de gestión documental ante el comité de gestión de desarrollo"/>
        <s v="Implementar el programa de gestión documental (Ajustes de los flujos documentales)"/>
        <s v="Adoptar programa de gestión documental en la herramienta de gestión ORFEO"/>
        <s v="Alimentar el software SEVEN para la generación de reportes"/>
        <s v="Adelantar los trámites precontractuales y seguimiento a la ejecución del Plan de Adquisiciones, generando informes de la ejecución del presupuesto de funcionamiento"/>
        <s v="Recopilar información actualizada y generar bases de datos"/>
        <s v="Definición y cálculo de escenarios."/>
        <s v="Revisión y discusión"/>
        <s v="Presentación y socialización"/>
        <s v="Respuestas a observaciones y elaboración de adendas GN 001-2020"/>
        <s v="Realizar proceso de selección de Auditores de obras en Plan de Abastecimiento de Gas Natural"/>
        <s v="Realizar el proceso de selección de Inversionista - Infraestructura de Importación de gas del Pacífico."/>
        <s v="Seguimiento a auditores de obras del Plan de Abastecimiento de Gas Natural."/>
        <s v="Participar en la definición de proyectos IPAT - Resolución 40304 de 2020."/>
        <s v="Participar en los estudios de Ingenierías conceptuales de posibles proyectos a ejecutarse mediante convocatorias públicas."/>
        <s v="Recolección de insumos y análisis de información"/>
        <s v="Diagnóstico e identificación de alternativas"/>
        <s v="Consolidación de documentos"/>
        <s v="Socialización de resultados"/>
        <s v="Consolidar información para actualizar la estructura de precios (Trim 1)"/>
        <s v="Consolidar información para actualizar la estructura de precios (Trim 2)"/>
        <s v="Consolidar información para actualizar la estructura de precios (Trim 3)"/>
        <s v="Consolidar información para actualizar la estructura de precios (Trim 4)"/>
        <s v="Asignación de cupos de diésel marino excentos de sobretasa"/>
        <s v="Actualización de novedades en cupos de diésel marino - Trim 1"/>
        <s v="Actualización de novedades en cupos de diésel marino - Trim 2"/>
        <s v="Actualización de novedades en cupos de diésel marino - Trim 3"/>
        <s v="Actualización de novedades en cupos de diésel marino - Trim 4"/>
        <s v="Cálculo de compensaciones de transporte de GLP Yumbo-Pasto"/>
        <s v="Listado Grandes Consumidores Individuales No Intermediarios ACPM - Sem I"/>
        <s v="Listado Grandes Consumidores Individuales No Intermediarios ACPM - Sem II"/>
        <s v="Actualización metodología de compensación de transporte GLP"/>
        <s v="Conformación y participación en CNoGas"/>
        <s v="Secretaría técnica del CACSSE"/>
        <s v="Realizar solicitud de información socio-ambietal a las entidades involucradas"/>
        <s v="Elaborar Documento de alertas tempranas en fase de planeacion_x000a_ - Primer momento: informe analisis obras"/>
        <s v="Elaborar Documento de alertas tempranas en fase de planeacion_x000a_ - Segundo momento: Plan"/>
        <s v="Elaborar Documento de alertas tempranas para proyectos objeto de convocatorias públicas - trim II"/>
        <s v="Elaborar Documento de alertas tempranas para proyectos objeto de convocatorias públicas - trim III"/>
        <s v="Elaborar Documento de alertas tempranas para proyectos objeto de convocatorias públicas - trim IV"/>
        <s v="Actualizar Geovisor Convocatorias - Trim I"/>
        <s v="Actualizar Geovisor Convocatorias - Trim II"/>
        <s v="Actualizar Geovisor Convocatorias - Trim III"/>
        <s v="Actualizar Geovisor Convocatorias - Trim IV"/>
        <s v="Ficha para presentar a comité de contratos, solicitud de CDP y Estudios previos para la estructuración de documentos de Convocatorias públicas convencionales - Trim III"/>
        <s v="Avances entregables, Informe final de la estructuración de documentos de Convocatorias públicas convencionales - Trim IV"/>
        <s v="Ficha para presentar a comité de contratos, solicitud de CDP y Estudios previos para la estructuración de documentos de Convocatorias públicas HDVC - Trim II"/>
        <s v="Avances entregables, Informe final de la estructuración de documentos de Convocatorias públicas HDVC - Trim IV"/>
        <s v="Elaborar documentos de las convocatorias (DSI y anexos) - Trim I"/>
        <s v="Elaborar documentos de las convocatorias (DSI y anexos) - Trim II"/>
        <s v="Elaborar documentos de las convocatorias (DSI y anexos) - Trim III"/>
        <s v="Elaborar documentos de las convocatorias (DSI y anexos) - Trim IV"/>
        <s v="Publicación de la convocatoria en página web - Trim I"/>
        <s v="Selección del interventor - Trim I"/>
        <s v="Respuesta a observaciones de los DSI - Trim I"/>
        <s v="Audiencia de selección del inversionista - Trim I"/>
        <s v="Oficios informando los resultados del proceso de selección del inversionista (CREG y Minenergía) - Trim I"/>
        <s v="Publicación de la convocatoria en página web - Trim II"/>
        <s v="Selección del interventor - Trim II"/>
        <s v="Respuesta a observaciones de los DSI - Trim II"/>
        <s v="Audiencia de selección del inversionista - Trim II"/>
        <s v="Oficios informando los resultados del proceso de selección del inversionista (CREG y Minenergía) - Trim II"/>
        <s v="Publicación de la convocatoria en página web - Trim III"/>
        <s v="Selección del interventor - Trim III"/>
        <s v="Respuesta a observaciones de los DSI - Trim III"/>
        <s v="Audiencia de selección del inversionista - Trim III"/>
        <s v="Oficios informando los resultados del proceso de selección del inversionista (CREG y Minenergía) - Trim III"/>
        <s v="Publicación de la convocatoria en página web - Trim IV"/>
        <s v="Selección del interventor - Trim IV"/>
        <s v="Respuesta a observaciones de los DSI - Trim IV"/>
        <s v="Audiencia de selección del inversionista - Trim IV"/>
        <s v="Oficios informando los resultados del proceso de selección del inversionista (CREG y Minenergía) - Trim IV"/>
        <s v="Revisión de informes de interventoría - Trim I"/>
        <s v="Informe avance ejecución proyectos objetos de convocatorias - Trim I"/>
        <s v="Revisión de informes de interventoría - Trim II"/>
        <s v="Informe avance ejecución proyectos objetos de convocatorias - Trim II"/>
        <s v="Revisión de informes de interventoría - Trim III"/>
        <s v="Informe avance ejecución proyectos objetos de convocatorias - Trim III"/>
        <s v="Revisión de informes de interventoría - Trim IV"/>
        <s v="Informe avance ejecución proyectos objetos de convocatorias - Trim IV"/>
        <s v="Objetivos del plan"/>
        <s v="Bases de datos para inicar analisis plan:_x000a_ Ajuste demanda (30%)_x000a_ Ajuste de red (30%)_x000a_ Preparación base de datos (40%)"/>
        <s v="Plan preliminar:_x000a_ Elaboración Plan Preliminar (90%)_x000a_ Publicación Plan Preliminar (10%)"/>
        <s v="plan definitvo:_x000a_ Procesamiento y respuesta observaciones (10%)"/>
        <s v="Elaboración Plan definitivo (80%)"/>
        <s v="Remisión al MME (10%)"/>
        <s v="Análisis de solicitudes de conexión &lt; 20 MW"/>
        <s v="Análisis de solicitudes de conexión &lt; 50 MW"/>
        <s v="Análisis de solicitudes de conexión &lt; 100 MW"/>
        <s v="Análisis de solicitudes de conexión &gt; 100 MW"/>
        <s v="Seguimiento Obras STRs"/>
        <s v="Terminos de referencia consultoria"/>
        <s v="Recomendaciones finales"/>
        <s v="Análisis segunda fase misión de transformación"/>
        <s v="Desarrollar objetivos del Plan"/>
        <s v="Desarrollar y actualizar bases de datos SDDP, OPTGEN, PLEXOS para análisis energéticos"/>
        <s v="Elaboración Plan Preliminar (90%) Publicación Plan Preliminar (10%)"/>
        <s v="Plan definitvo:_x000a_ Procesamiento y respuesta observaciones (10%)_x000a_ Elaboración Plan definitivo (80%)_x000a_ Remisión al MME (10%)"/>
        <s v="Analizar información de solicitud de registro y elaborar oficio de registro u oficio solicitando aclaraciones. T I"/>
        <s v="Elaborar informe de registro de proyectos. T I"/>
        <s v="Analizar información de solicitud de registro y elaborar oficio de registro u oficio solicitando aclaraciones. T II"/>
        <s v="Elaborar informe de registro de proyectos. T II"/>
        <s v="Analizar información de solicitud de registro y elaborar oficio de registro u oficio solicitando aclaraciones. T III"/>
        <s v="Elaborar informe de registro de proyectos. T III"/>
        <s v="Analizar información de solicitud de registro y elaborar oficio de registro u oficio solicitando aclaraciones. T IV"/>
        <s v="Elaborar informe de registro de proyectos. T IV"/>
        <s v="Analizar información de solicitud de concepto y elaborar oficio de concepto de potencial u oficio solicitando aclaraciones. T I"/>
        <s v="Elaborar informe de conceptos de potencial. T I"/>
        <s v="Analizar información de solicitud de concepto y elaborar oficio de concepto de potencial u oficio solicitando aclaraciones. T II"/>
        <s v="Elaborar informe de conceptos de potencial. T II"/>
        <s v="Analizar información de solicitud de concepto y elaborar oficio de concepto de potencial u oficio solicitando aclaraciones. T III"/>
        <s v="Elaborar informe de conceptos de potencial. T III"/>
        <s v="Analizar información de solicitud de concepto y elaborar oficio de concepto de potencial u oficio solicitando aclaraciones. T IV"/>
        <s v="Elaborar informe de conceptos de potencial. T IV"/>
        <s v="Elaborar informe de seguimiento"/>
        <s v="Preparación de bases de datos y simulaciones"/>
        <s v="Presentación de resultados"/>
        <s v="Elaborar informe de seguimiento. Trim I"/>
        <s v="Elaborar informe de seguimiento. Trim II"/>
        <s v="Elaborar informe de seguimiento. Trim III"/>
        <s v="Elaborar informe de seguimiento. Trim IV"/>
        <s v="Realizar gestión para la obtención de datos e información necesaria para la estimación del ICEE"/>
        <s v="Consolidar la información recopilada realizando la gestión sobre información inconsistente"/>
        <s v="Elaborar documento y realizar la actualizacion en la Base de Datos"/>
        <s v="Publicación del ICEE en la página de SIEL"/>
        <s v="Procesar la información necesaria para elaborar el PIEC."/>
        <s v="Definir la metodología para el Plan."/>
        <s v="Realizar las corridas en los diferentes software y analizar sus resultados."/>
        <s v="Participación consultoria REM"/>
        <s v="Presentar el documento preliminar a las directivas para aprobación"/>
        <s v="Ajustar resultados de acuerdo con los comentarios"/>
        <s v="Publicar versión definitiva"/>
        <s v="Realizar recolección y validación de datos de VSS en Sitios y la infraestructura Eléctrica"/>
        <s v="Establecer los costos de las soluciones con renovables"/>
        <s v="Evaluación de los proyectos PECOR - Trim II"/>
        <s v="Evaluación de los proyectos PECOR - Trim III"/>
        <s v="Evaluación de los proyectos PECOR - Trim IV"/>
        <s v="Presentar resultados de PECOR al Ministerio de Minas y Energía."/>
        <s v="Evaluar proyectos Obras por Impuestos y Obras por Regalias"/>
        <s v="Evaluar proyectos Sistema General de Regalias Regalias y OCAD PAZ"/>
        <s v="Evaluar proyectos FAER"/>
        <s v="Evaluar proyectos Plan Todos Somos Pazcífico"/>
        <s v="Evaluar proyectos FINDETER"/>
        <s v="Evaluar proyectos FENOGE"/>
        <s v="Evaluar proyectos PGLP y FECF"/>
        <s v="Actualizar el aplicativo o herramienta con la información de los proyectos evaluados"/>
        <s v="Elaborar un informe de gestión de proyectos con reportes Tableau y publicado"/>
        <s v="Elaborar una guía de evaluación de proyectos de Obras por Impuestos"/>
        <s v="Elaborar una guía o Manual Operativode evaluación de proyectos de Sistema General de Regalias"/>
        <s v="Actualizar la guía de evaluación de proyectos de FINDETER"/>
        <s v="Actualizar la guía de evaluación de proyectos de Plan Todos Somos PAZcífico"/>
        <s v="Elaborar una guía general de evaluación de proyectos."/>
        <s v="Realizar la Gestión previa, elaboración de convenio."/>
        <s v="Realizar el Seguimiento y control General de los PERS"/>
        <s v="Revisar la información de Oferta"/>
        <s v="Revisar la información de Demanda"/>
        <s v="Revisar la información Socioeconómica"/>
        <s v="Revisar la información de Proyectos"/>
        <s v="Revisar la información de Política Pública"/>
        <s v="Realizar critica de datos de las encuestas"/>
        <s v="Promover PERS en las regiones"/>
        <s v="Promover cambios estrategicos en los PERS"/>
        <s v="Desarrollar capacitaciones regionales en formulación de proyectos identificando primero necesidades"/>
        <s v="Desarrollar documento de estrategias de energización en las regiones."/>
        <s v="Apoyar el desarrollo del PIEC"/>
      </sharedItems>
    </cacheField>
    <cacheField name="Ponderación (%) _x000a_Sub actividad" numFmtId="0">
      <sharedItems containsSemiMixedTypes="0" containsString="0" containsNumber="1" minValue="0" maxValue="0.27"/>
    </cacheField>
    <cacheField name="Producto Entregable de la Sub Actividad" numFmtId="0">
      <sharedItems longText="1"/>
    </cacheField>
    <cacheField name="Indicador de la Actividad" numFmtId="0">
      <sharedItems containsMixedTypes="1" containsNumber="1" containsInteger="1" minValue="1" maxValue="1"/>
    </cacheField>
    <cacheField name="Responsable" numFmtId="0">
      <sharedItems/>
    </cacheField>
    <cacheField name="Mes de cumplimiento SubActividades" numFmtId="0">
      <sharedItems count="13">
        <s v="Diciembre"/>
        <s v="Enero"/>
        <s v="Febrero"/>
        <s v="Marzo"/>
        <s v="Abril"/>
        <s v="Junio"/>
        <s v="Julio"/>
        <s v="Septiembre"/>
        <s v="Octubre"/>
        <s v="Mayo"/>
        <s v="Agosto"/>
        <s v="Noviembre"/>
        <s v="*Enero 2022"/>
      </sharedItems>
    </cacheField>
    <cacheField name="Compromisos relacionados (PND, CONPES, PLAN ESTRAT SECTORIAL)" numFmtId="0">
      <sharedItems containsBlank="1"/>
    </cacheField>
    <cacheField name="Proyecto de Inversión relacionado ó N/A" numFmtId="0">
      <sharedItems containsBlank="1"/>
    </cacheField>
    <cacheField name="Dimensión MIPG" numFmtId="0">
      <sharedItems containsBlank="1"/>
    </cacheField>
    <cacheField name="Política MIPG" numFmtId="0">
      <sharedItems containsBlank="1"/>
    </cacheField>
    <cacheField name="Objetivo estrategico institucional relacionado" numFmtId="0">
      <sharedItems containsBlank="1" longText="1"/>
    </cacheField>
    <cacheField name="Proceso relacionado" numFmtId="0">
      <sharedItems containsBlank="1"/>
    </cacheField>
    <cacheField name="Planes Institucionales relacionados" numFmtId="0">
      <sharedItems containsBlank="1"/>
    </cacheField>
    <cacheField name="% avance Sub Actividad" numFmtId="0">
      <sharedItems containsBlank="1" containsMixedTypes="1" containsNumber="1" minValue="0" maxValue="0.7"/>
    </cacheField>
    <cacheField name="Mes en que se realizó"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OnLoad="1" refreshedBy="Carlos Felipe Rojas Paez" refreshedDate="44341.414738657404" refreshedVersion="5" recordCount="448">
  <cacheSource type="worksheet">
    <worksheetSource ref="A3:T451" sheet="PA 2021"/>
  </cacheSource>
  <cacheFields count="20">
    <cacheField name="Dependencia" numFmtId="0">
      <sharedItems count="16">
        <s v="Dirección General - Asesoras"/>
        <s v="Dirección General - Control Interno"/>
        <s v="Dirección General - GIT Planeación"/>
        <s v="Secretaría General - GIT Gestión Financiera"/>
        <s v="Secretaría General - GIT Gestión Jurídica y Contractual"/>
        <s v="Subdirección de Demanda"/>
        <s v="Subdirección de Minería"/>
        <s v="Secretaría General - GIT Talento Humano y Servicio al Ciudadano"/>
        <s v="Oficina de Gestión de la Información"/>
        <s v="Secretaría General - GIT Gestión Administrativa"/>
        <s v="Subdirección de Hidrocarburos"/>
        <s v="Subdirección de Energía Eléctrica - GIT Convocatorias públicas"/>
        <s v="Subdirección de Energía Eléctrica - GIT Transmisión"/>
        <s v="Subdirección de Energía Eléctrica - GIT Generación y Registro"/>
        <s v="Subdirección de Energía Eléctrica - GIT Cobertura"/>
        <s v="Oficina de Gestión de Proyectos de Fondos"/>
      </sharedItems>
    </cacheField>
    <cacheField name="No consecutivo_x000a_Actividad" numFmtId="0">
      <sharedItems containsSemiMixedTypes="0" containsString="0" containsNumber="1" containsInteger="1" minValue="1" maxValue="14" count="14">
        <n v="1"/>
        <n v="2"/>
        <n v="3"/>
        <n v="4"/>
        <n v="5"/>
        <n v="6"/>
        <n v="7"/>
        <n v="8"/>
        <n v="9"/>
        <n v="10"/>
        <n v="11"/>
        <n v="12"/>
        <n v="13"/>
        <n v="14"/>
      </sharedItems>
    </cacheField>
    <cacheField name="ACTIVIDAD" numFmtId="0">
      <sharedItems/>
    </cacheField>
    <cacheField name="Ponderación (%) Actividad" numFmtId="0">
      <sharedItems containsSemiMixedTypes="0" containsString="0" containsNumber="1" minValue="0.03" maxValue="0.6"/>
    </cacheField>
    <cacheField name="Número de Subactividad" numFmtId="0">
      <sharedItems containsDate="1" containsMixedTypes="1" minDate="2021-01-01T00:00:00" maxDate="2021-07-02T00:00:00" count="157">
        <s v="1.1"/>
        <s v="1.2"/>
        <s v="1.3"/>
        <s v="1.4"/>
        <s v="2.1"/>
        <s v="2.2"/>
        <s v="2.3"/>
        <s v="3.1"/>
        <s v="3.2"/>
        <s v="3.3"/>
        <s v="4.1"/>
        <s v="4.2"/>
        <s v="4.3"/>
        <s v="4.4"/>
        <s v="2.4"/>
        <s v="2.5"/>
        <s v="2.6"/>
        <s v="2.7"/>
        <s v="2.8"/>
        <s v="2.9"/>
        <s v="2.10"/>
        <s v="2.11"/>
        <s v="2.12"/>
        <s v="2.13"/>
        <s v="2.14"/>
        <s v="2.15"/>
        <s v="2.16"/>
        <s v="2.17"/>
        <s v="2.18"/>
        <s v="2.19"/>
        <s v="2.20"/>
        <s v="2.21"/>
        <s v="2.22"/>
        <s v="2.23"/>
        <s v="2.24"/>
        <s v="2.25"/>
        <s v="2.26"/>
        <s v="2.27"/>
        <s v="2.28"/>
        <s v="2.29"/>
        <s v="2.30"/>
        <s v="2.31"/>
        <s v="1.5"/>
        <s v="1.6"/>
        <s v="1.7"/>
        <s v="1.8"/>
        <s v="1.9"/>
        <s v="1.10"/>
        <s v="1.11"/>
        <s v="1.12"/>
        <s v="1.13"/>
        <s v="1.14"/>
        <s v="1.15"/>
        <s v="1.16"/>
        <s v="1.17"/>
        <s v="1.18"/>
        <s v="1.19"/>
        <s v="1.20"/>
        <s v="1.21"/>
        <s v="1.22"/>
        <s v="3.4"/>
        <s v="3.5"/>
        <s v="3.6"/>
        <s v="3.7"/>
        <s v="3.8"/>
        <s v="3.9"/>
        <s v="3.10"/>
        <s v="4.5"/>
        <s v="4.6"/>
        <d v="2021-01-01T00:00:00"/>
        <d v="2021-01-02T00:00:00"/>
        <d v="2021-01-03T00:00:00"/>
        <d v="2021-02-03T00:00:00"/>
        <d v="2021-01-04T00:00:00"/>
        <d v="2021-01-05T00:00:00"/>
        <d v="2021-02-05T00:00:00"/>
        <d v="2021-03-05T00:00:00"/>
        <d v="2021-04-05T00:00:00"/>
        <d v="2021-05-05T00:00:00"/>
        <d v="2021-06-05T00:00:00"/>
        <n v="4.0999999999999996"/>
        <n v="4.2"/>
        <n v="4.3"/>
        <n v="4.4000000000000004"/>
        <s v="5.5"/>
        <s v="5.6"/>
        <s v="5.7"/>
        <s v="6.8"/>
        <s v="5.1"/>
        <s v="5.2"/>
        <s v="5.3"/>
        <s v="4.7"/>
        <s v="1.23"/>
        <s v="1.24"/>
        <s v="1.25"/>
        <s v="1.26"/>
        <s v="1.27"/>
        <s v="1.28"/>
        <s v="1.29"/>
        <s v="1.30"/>
        <s v="1.31"/>
        <s v="1.32"/>
        <s v="1.33"/>
        <s v="6.1"/>
        <s v="6.2"/>
        <s v="7.1"/>
        <s v="7.2"/>
        <s v="8.1"/>
        <s v="8.2"/>
        <s v="9.1"/>
        <s v="9.2"/>
        <s v="6.3"/>
        <s v="7.3"/>
        <s v="9.3"/>
        <s v="9.4"/>
        <s v="10.1"/>
        <s v="10.2"/>
        <s v="10.3"/>
        <s v="11.1"/>
        <s v="11.2"/>
        <s v="11.3"/>
        <s v="12.1"/>
        <s v="12.2"/>
        <s v="13.1"/>
        <s v="13.2"/>
        <s v="14.1"/>
        <s v="14.2"/>
        <d v="2021-02-01T00:00:00"/>
        <s v="5.4"/>
        <s v="6.4"/>
        <s v="7.4"/>
        <s v="7.5"/>
        <s v="7.6"/>
        <s v="7.7"/>
        <s v="7.8"/>
        <s v="7.9"/>
        <s v="4.8"/>
        <s v="4.9"/>
        <s v="4.10"/>
        <s v="4.11"/>
        <s v="4.12"/>
        <s v="4.13"/>
        <s v="4.14"/>
        <s v="4.15"/>
        <s v="4.16"/>
        <s v="4.17"/>
        <s v="4.18"/>
        <s v="4.19"/>
        <s v="4.20"/>
        <s v="5.8"/>
        <n v="1.1000000000000001"/>
        <d v="2021-03-01T00:00:00"/>
        <d v="2021-04-01T00:00:00"/>
        <d v="2021-05-01T00:00:00"/>
        <d v="2021-06-01T00:00:00"/>
        <d v="2021-07-01T00:00:00"/>
        <d v="2021-02-02T00:00:00"/>
      </sharedItems>
    </cacheField>
    <cacheField name="Sub actividad" numFmtId="0">
      <sharedItems/>
    </cacheField>
    <cacheField name="Ponderación (%) _x000a_Sub actividad" numFmtId="10">
      <sharedItems containsSemiMixedTypes="0" containsString="0" containsNumber="1" minValue="0" maxValue="0.27"/>
    </cacheField>
    <cacheField name="Producto Entregable de la Sub Actividad" numFmtId="0">
      <sharedItems/>
    </cacheField>
    <cacheField name="Indicador de la Actividad" numFmtId="0">
      <sharedItems containsMixedTypes="1" containsNumber="1" containsInteger="1" minValue="1" maxValue="1"/>
    </cacheField>
    <cacheField name="Responsable" numFmtId="0">
      <sharedItems/>
    </cacheField>
    <cacheField name="Mes de cumplimiento SubActividades" numFmtId="0">
      <sharedItems count="13">
        <s v="Diciembre"/>
        <s v="Enero"/>
        <s v="Febrero"/>
        <s v="Marzo"/>
        <s v="Abril"/>
        <s v="Junio"/>
        <s v="Julio"/>
        <s v="Septiembre"/>
        <s v="Octubre"/>
        <s v="Mayo"/>
        <s v="Agosto"/>
        <s v="Noviembre"/>
        <s v="*Enero 2022"/>
      </sharedItems>
    </cacheField>
    <cacheField name="Compromisos relacionados (PND, CONPES, PLAN ESTRAT SECTORIAL)" numFmtId="0">
      <sharedItems containsBlank="1"/>
    </cacheField>
    <cacheField name="Proyecto de Inversión relacionado ó N/A" numFmtId="0">
      <sharedItems containsBlank="1"/>
    </cacheField>
    <cacheField name="Dimensión MIPG" numFmtId="0">
      <sharedItems containsBlank="1"/>
    </cacheField>
    <cacheField name="Política MIPG" numFmtId="0">
      <sharedItems containsBlank="1"/>
    </cacheField>
    <cacheField name="Objetivo estrategico institucional relacionado" numFmtId="0">
      <sharedItems containsBlank="1"/>
    </cacheField>
    <cacheField name="Proceso relacionado" numFmtId="0">
      <sharedItems containsBlank="1"/>
    </cacheField>
    <cacheField name="Planes Institucionales relacionados" numFmtId="0">
      <sharedItems containsBlank="1"/>
    </cacheField>
    <cacheField name="% avance Sub Actividad" numFmtId="0">
      <sharedItems containsBlank="1" containsMixedTypes="1" containsNumber="1" minValue="0" maxValue="0.7"/>
    </cacheField>
    <cacheField name="Mes en que se realizó"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04">
  <r>
    <x v="0"/>
    <n v="1"/>
    <s v="Acompañar a la Entidad en la implementación la transformación cultural, organizacional y digital a través de la modernización institucional."/>
    <n v="0.25"/>
    <x v="0"/>
    <x v="0"/>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ón pública."/>
    <s v="1. Direccionamiento Estratégico"/>
    <s v="N/A"/>
    <n v="1.5599999999999999E-2"/>
    <s v="Marzo"/>
  </r>
  <r>
    <x v="0"/>
    <n v="1"/>
    <s v="Acompañar a la Entidad en la implementación la transformación cultural, organizacional y digital a través de la modernización institucional."/>
    <n v="0.25"/>
    <x v="1"/>
    <x v="1"/>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ón pública."/>
    <s v="1. Direccionamiento Estratégico"/>
    <s v="N/A"/>
    <n v="1.5599999999999999E-2"/>
    <s v="Marzo"/>
  </r>
  <r>
    <x v="0"/>
    <n v="1"/>
    <s v="Acompañar a la Entidad en la implementación la transformación cultural, organizacional y digital a través de la modernización institucional."/>
    <n v="0.25"/>
    <x v="2"/>
    <x v="2"/>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ón pública."/>
    <s v="1. Direccionamiento Estratégico"/>
    <s v="N/A"/>
    <n v="1.5599999999999999E-2"/>
    <s v="Marzo"/>
  </r>
  <r>
    <x v="0"/>
    <n v="1"/>
    <s v="Acompañar a la Entidad en la implementación la transformación cultural, organizacional y digital a través de la modernización institucional."/>
    <n v="0.25"/>
    <x v="3"/>
    <x v="3"/>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ón pública."/>
    <s v="1. Direccionamiento Estratégico"/>
    <s v="N/A"/>
    <n v="1.5599999999999999E-2"/>
    <s v="Marzo"/>
  </r>
  <r>
    <x v="0"/>
    <n v="2"/>
    <s v="Acompañar a la Unidad en la gestión institucional en el marco de la planeación inteligente."/>
    <n v="0.25"/>
    <x v="4"/>
    <x v="4"/>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2: Incorporar las mejores prácticas organizacionales y tecnológicas que garanticen calidad e integrida._x000a_Obj.Est N. 3: Orientar el aprovechamiento y uso eficiente y responsable de los recursos minero - energéticos._x000a_Obj.Est N. 4: Desarrollar las acciones necesarias que permitan materializar los planes, programas y proyectos en el sector minero energético."/>
    <s v="1. Direccionamiento Estratégico"/>
    <s v="N/A"/>
    <n v="1.5599999999999999E-2"/>
    <s v="Marzo"/>
  </r>
  <r>
    <x v="0"/>
    <n v="2"/>
    <s v="Acompañar a la Unidad en la gestión institucional en el marco de la planeación inteligente."/>
    <n v="0.25"/>
    <x v="5"/>
    <x v="5"/>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2: Incorporar las mejores prácticas organizacionales y tecnológicas que garanticen calidad e integrida._x000a_Obj.Est N. 3: Orientar el aprovechamiento y uso eficiente y responsable de los recursos minero - energéticos._x000a_Obj.Est N. 4: Desarrollar las acciones necesarias que permitan materializar los planes, programas y proyectos en el sector minero energético."/>
    <s v="1. Direccionamiento Estratégico"/>
    <s v="N/A"/>
    <n v="1.5599999999999999E-2"/>
    <s v="Marzo"/>
  </r>
  <r>
    <x v="0"/>
    <n v="2"/>
    <s v="Acompañar a la Unidad en la gestión institucional en el marco de la planeación inteligente."/>
    <n v="0.25"/>
    <x v="6"/>
    <x v="6"/>
    <n v="8.3333333333333329E-2"/>
    <s v="Lista de asistencia ó correo ó documento ó Actas de reunión"/>
    <s v="% de solicitudes atendidas"/>
    <s v="Equipo Asesor"/>
    <x v="0"/>
    <s v="N/A"/>
    <s v="N/A"/>
    <s v="D3 Gestión para Resultados con Valores"/>
    <s v="POLÍTICA 5 Fortalecimiento Organizacional y Simplificación de Procesos"/>
    <s v="Obj.Est N. 1: Generar valor público, económico y social, a partir del conocimiento integral de los recursos minero-energéticos_x000a_Obj.Est N. 2: Incorporar las mejores prácticas organizacionales y tecnológicas que garanticen calidad e integrida._x000a_Obj.Est N. 3: Orientar el aprovechamiento y uso eficiente y responsable de los recursos minero - energéticos._x000a_Obj.Est N. 4: Desarrollar las acciones necesarias que permitan materializar los planes, programas y proyectos en el sector minero energético."/>
    <s v="1. Direccionamiento Estratégico"/>
    <s v="N/A"/>
    <n v="1.5599999999999999E-2"/>
    <s v="Marzo"/>
  </r>
  <r>
    <x v="0"/>
    <n v="3"/>
    <s v="Acompañar a la Dirección en el desarrollo del enfoque territorial de la planeación."/>
    <n v="0.25"/>
    <x v="7"/>
    <x v="7"/>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3: Orientar el aprovechamiento y uso eficiente y responsable de los recursos minero - energéticos._x000a_Obj.Est N. 4: Desarrollar las acciones necesarias que permitan materializar los planes, programas y proyectos en el sector minero energético."/>
    <s v="1. Direccionamiento Estratégico"/>
    <s v="N/A"/>
    <s v="1.56%"/>
    <s v="Marzo"/>
  </r>
  <r>
    <x v="0"/>
    <n v="3"/>
    <s v="Acompañar a la Dirección en el desarrollo del enfoque territorial de la planeación."/>
    <n v="0.25"/>
    <x v="8"/>
    <x v="8"/>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3: Orientar el aprovechamiento y uso eficiente y responsable de los recursos minero - energéticos._x000a_Obj.Est N. 4: Desarrollar las acciones necesarias que permitan materializar los planes, programas y proyectos en el sector minero energético."/>
    <s v="1. Direccionamiento Estratégico"/>
    <s v="N/A"/>
    <s v="1.56%"/>
    <s v="Marzo"/>
  </r>
  <r>
    <x v="0"/>
    <n v="3"/>
    <s v="Acompañar a la Dirección en el desarrollo del enfoque territorial de la planeación."/>
    <n v="0.25"/>
    <x v="9"/>
    <x v="9"/>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3: Orientar el aprovechamiento y uso eficiente y responsable de los recursos minero - energéticos._x000a_Obj.Est N. 4: Desarrollar las acciones necesarias que permitan materializar los planes, programas y proyectos en el sector minero energético."/>
    <s v="1. Direccionamiento Estratégico"/>
    <s v="N/A"/>
    <s v="1.56%"/>
    <s v="Marzo"/>
  </r>
  <r>
    <x v="0"/>
    <n v="4"/>
    <s v="Acompañar el desarrollo de la Comunicación y difusión estratégica de los planes, programas y proyectos de la Unidad."/>
    <n v="0.25"/>
    <x v="10"/>
    <x v="10"/>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Orientar el aprovechamiento y uso eficiente y responsable de los recursos minero - energéticos._x000a_Obj.Est N. 4: Desarrollar las acciones necesarias que permitan materializar los planes, programas y proyectos en el sector minero energético."/>
    <s v="1. Direccionamiento Estratégico"/>
    <s v="N/A"/>
    <s v="1.56%"/>
    <s v="Marzo"/>
  </r>
  <r>
    <x v="0"/>
    <n v="4"/>
    <s v="Acompañar el desarrollo de la Comunicación y difusión estratégica de los planes, programas y proyectos de la Unidad."/>
    <n v="0.25"/>
    <x v="11"/>
    <x v="11"/>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Orientar el aprovechamiento y uso eficiente y responsable de los recursos minero - energéticos._x000a_Obj.Est N. 4: Desarrollar las acciones necesarias que permitan materializar los planes, programas y proyectos en el sector minero energético."/>
    <s v="1. Direccionamiento Estratégico"/>
    <s v="N/A"/>
    <n v="1.5599999999999999E-2"/>
    <s v="Marzo"/>
  </r>
  <r>
    <x v="0"/>
    <n v="4"/>
    <s v="Acompañar el desarrollo de la Comunicación y difusión estratégica de los planes, programas y proyectos de la Unidad."/>
    <n v="0.25"/>
    <x v="12"/>
    <x v="12"/>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Orientar el aprovechamiento y uso eficiente y responsable de los recursos minero - energéticos._x000a_Obj.Est N. 4: Desarrollar las acciones necesarias que permitan materializar los planes, programas y proyectos en el sector minero energético."/>
    <s v="1. Direccionamiento Estratégico"/>
    <s v="N/A"/>
    <n v="1.5599999999999999E-2"/>
    <s v="Marzo"/>
  </r>
  <r>
    <x v="0"/>
    <n v="4"/>
    <s v="Acompañar el desarrollo de la Comunicación y difusión estratégica de los planes, programas y proyectos de la Unidad."/>
    <n v="0.25"/>
    <x v="13"/>
    <x v="13"/>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Orientar el aprovechamiento y uso eficiente y responsable de los recursos minero - energéticos._x000a_Obj.Est N. 4: Desarrollar las acciones necesarias que permitan materializar los planes, programas y proyectos en el sector minero energético."/>
    <s v="1. Direccionamiento Estratégico"/>
    <s v="N/A"/>
    <n v="1.5599999999999999E-2"/>
    <s v="Marzo"/>
  </r>
  <r>
    <x v="1"/>
    <n v="1"/>
    <s v="Elaborar el Programa Anual de auditorias lnternas PAAI 2021"/>
    <n v="0.1"/>
    <x v="0"/>
    <x v="14"/>
    <n v="0.05"/>
    <s v="Documento de PAAI 2021"/>
    <s v="Cantidad de Documentos"/>
    <s v="Bertha Sofía Ortiz Gutiérrez"/>
    <x v="1"/>
    <s v="N/A"/>
    <s v="N/A"/>
    <s v="D7 Control Interno"/>
    <s v="POLÍTICA 16 Control Interno"/>
    <s v="2. Incorporar las mejores prácticas organizacionales y tecnológicas que garanticen calidad e integridad de la gestión pública."/>
    <s v="19. Evaluación y Control"/>
    <s v="N/A"/>
    <n v="0.05"/>
    <s v="Enero"/>
  </r>
  <r>
    <x v="1"/>
    <n v="1"/>
    <s v="Elaborar el Programa Anual de auditorias lnternas PAAI 2021"/>
    <n v="0.1"/>
    <x v="1"/>
    <x v="15"/>
    <n v="0.05"/>
    <s v="Documento de PAAI 2021 aprobado"/>
    <s v="Cantidad de Documentos"/>
    <s v="Bertha Sofía Ortiz Gutiérrez"/>
    <x v="1"/>
    <s v="N/A"/>
    <s v="N/A"/>
    <s v="D7 Control Interno"/>
    <s v="POLÍTICA 16 Control Interno"/>
    <s v="2. Incorporar las mejores prácticas organizacionales y tecnológicas que garanticen calidad e integridad de la gestión pública."/>
    <s v="19. Evaluación y Control"/>
    <s v="N/A"/>
    <n v="0.05"/>
    <s v="Enero"/>
  </r>
  <r>
    <x v="1"/>
    <n v="2"/>
    <s v="Ejecutar las actividades programadas dentro del Plan Anual de Auditorías Internas - PAAI 2021, de conformidad con los roles establecidos para Control Interno."/>
    <n v="0.6"/>
    <x v="4"/>
    <x v="16"/>
    <n v="0.04"/>
    <s v="Informe de Auditoría"/>
    <s v="Indice de ejecución del PAAI 2021"/>
    <s v="Bertha Sofía Ortiz Gutiérrez"/>
    <x v="2"/>
    <s v="N/A"/>
    <s v="N/A"/>
    <s v="D7 Control Interno"/>
    <s v="POLÍTICA 16 Control Interno"/>
    <s v="2. Incorporar las mejores prácticas organizacionales y tecnológicas que garanticen calidad e integridad de la gestión pública."/>
    <s v="19. Evaluación y Control"/>
    <s v="N/A"/>
    <n v="0.04"/>
    <s v="Febrero"/>
  </r>
  <r>
    <x v="1"/>
    <n v="2"/>
    <s v="Ejecutar las actividades programadas dentro del Plan Anual de Auditorías Internas - PAAI 2021, de conformidad con los roles establecidos para Control Interno."/>
    <n v="0.6"/>
    <x v="5"/>
    <x v="16"/>
    <n v="0.04"/>
    <s v="Informe de Auditoría"/>
    <s v="Indice de ejecución del PAAI 2021"/>
    <s v="Bertha Sofía Ortiz Gutiérrez"/>
    <x v="3"/>
    <s v="N/A"/>
    <s v="N/A"/>
    <s v="D7 Control Interno"/>
    <s v="POLÍTICA 16 Control Interno"/>
    <s v="2. Incorporar las mejores prácticas organizacionales y tecnológicas que garanticen calidad e integridad de la gestión pública."/>
    <s v="19. Evaluación y Control"/>
    <s v="N/A"/>
    <n v="0.04"/>
    <s v="Marzo"/>
  </r>
  <r>
    <x v="1"/>
    <n v="2"/>
    <s v="Ejecutar las actividades programadas dentro del Plan Anual de Auditorías Internas - PAAI 2021, de conformidad con los roles establecidos para Control Interno."/>
    <n v="0.6"/>
    <x v="6"/>
    <x v="16"/>
    <n v="0.04"/>
    <s v="Informe de Auditoría"/>
    <s v="Indice de ejecución del PAAI 2021"/>
    <s v="Bertha Sofía Ortiz Gutiérrez"/>
    <x v="4"/>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14"/>
    <x v="16"/>
    <n v="0.04"/>
    <s v="Informe de Auditoría"/>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15"/>
    <x v="16"/>
    <n v="0.04"/>
    <s v="Informe de Auditoría"/>
    <s v="Indice de ejecución del PAAI 2021"/>
    <s v="Bertha Sofía Ortiz Gutiérrez"/>
    <x v="6"/>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16"/>
    <x v="16"/>
    <n v="0.04"/>
    <s v="Informe de Auditoría"/>
    <s v="Indice de ejecución del PAAI 2021"/>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17"/>
    <x v="16"/>
    <n v="0.04"/>
    <s v="Informe de Auditoría"/>
    <s v="Indice de ejecución del PAAI 2021"/>
    <s v="Bertha Sofía Ortiz Gutiérrez"/>
    <x v="8"/>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18"/>
    <x v="17"/>
    <n v="0.05"/>
    <s v="Informes o reportes"/>
    <s v="Indice de ejecución del PAAI 2021"/>
    <s v="Bertha Sofía Ortiz Gutiérrez"/>
    <x v="1"/>
    <s v="N/A"/>
    <s v="N/A"/>
    <s v="D7 Control Interno"/>
    <s v="POLÍTICA 16 Control Interno"/>
    <s v="2. Incorporar las mejores prácticas organizacionales y tecnológicas que garanticen calidad e integridad de la gestión pública."/>
    <s v="19. Evaluación y Control"/>
    <s v="N/A"/>
    <n v="0.05"/>
    <s v="Enero"/>
  </r>
  <r>
    <x v="1"/>
    <n v="2"/>
    <s v="Ejecutar las actividades programadas dentro del Plan Anual de Auditorías Internas - PAAI 2021, de conformidad con los roles establecidos para Control Interno."/>
    <n v="0.6"/>
    <x v="19"/>
    <x v="18"/>
    <n v="0.02"/>
    <s v="Informes o reportes"/>
    <s v="Indice de ejecución del PAAI 2021"/>
    <s v="Bertha Sofía Ortiz Gutiérrez"/>
    <x v="2"/>
    <s v="N/A"/>
    <s v="N/A"/>
    <s v="D7 Control Interno"/>
    <s v="POLÍTICA 16 Control Interno"/>
    <s v="2. Incorporar las mejores prácticas organizacionales y tecnológicas que garanticen calidad e integridad de la gestión pública."/>
    <s v="19. Evaluación y Control"/>
    <s v="N/A"/>
    <n v="0.02"/>
    <s v="Febrero"/>
  </r>
  <r>
    <x v="1"/>
    <n v="2"/>
    <s v="Ejecutar las actividades programadas dentro del Plan Anual de Auditorías Internas - PAAI 2021, de conformidad con los roles establecidos para Control Interno."/>
    <n v="0.6"/>
    <x v="20"/>
    <x v="19"/>
    <n v="0.03"/>
    <s v="Informes o reportes"/>
    <s v="Indice de ejecución del PAAI 2021"/>
    <s v="Bertha Sofía Ortiz Gutiérrez"/>
    <x v="3"/>
    <s v="N/A"/>
    <s v="N/A"/>
    <s v="D7 Control Interno"/>
    <s v="POLÍTICA 16 Control Interno"/>
    <s v="2. Incorporar las mejores prácticas organizacionales y tecnológicas que garanticen calidad e integridad de la gestión pública."/>
    <s v="19. Evaluación y Control"/>
    <s v="N/A"/>
    <n v="0.03"/>
    <s v="Marzo"/>
  </r>
  <r>
    <x v="1"/>
    <n v="2"/>
    <s v="Ejecutar las actividades programadas dentro del Plan Anual de Auditorías Internas - PAAI 2021, de conformidad con los roles establecidos para Control Interno."/>
    <n v="0.6"/>
    <x v="21"/>
    <x v="20"/>
    <n v="5.0000000000000001E-3"/>
    <s v="Informes o reportes"/>
    <s v="Indice de ejecución del PAAI 2021"/>
    <s v="Bertha Sofía Ortiz Gutiérrez"/>
    <x v="4"/>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22"/>
    <x v="20"/>
    <n v="5.0000000000000001E-3"/>
    <s v="Informes o reportes"/>
    <s v="Indice de ejecución del PAAI 2021"/>
    <s v="Bertha Sofía Ortiz Gutiérrez"/>
    <x v="9"/>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23"/>
    <x v="20"/>
    <n v="5.0000000000000001E-3"/>
    <s v="Informes o reportes"/>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24"/>
    <x v="21"/>
    <n v="0.04"/>
    <s v="Informes o reportes"/>
    <s v="Indice de ejecución del PAAI 2021"/>
    <s v="Bertha Sofía Ortiz Gutiérrez"/>
    <x v="6"/>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25"/>
    <x v="20"/>
    <n v="5.0000000000000001E-3"/>
    <s v="Informes o reportes"/>
    <s v="Indice de ejecución del PAAI 2021"/>
    <s v="Bertha Sofía Ortiz Gutiérrez"/>
    <x v="10"/>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26"/>
    <x v="22"/>
    <n v="0.01"/>
    <s v="Informes o reportes"/>
    <s v="Indice de ejecución del PAAI 2021"/>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27"/>
    <x v="20"/>
    <n v="5.0000000000000001E-3"/>
    <s v="Informes o reportes"/>
    <s v="Indice de ejecución del PAAI 2021"/>
    <s v="Bertha Sofía Ortiz Gutiérrez"/>
    <x v="8"/>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28"/>
    <x v="20"/>
    <n v="5.0000000000000001E-3"/>
    <s v="Informes o reportes"/>
    <s v="Indice de ejecución del PAAI 2021"/>
    <s v="Bertha Sofía Ortiz Gutiérrez"/>
    <x v="11"/>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29"/>
    <x v="20"/>
    <n v="5.0000000000000001E-3"/>
    <s v="Informes o reportes"/>
    <s v="Indice de ejecución del PAAI 2021"/>
    <s v="Bertha Sofía Ortiz Gutiérrez"/>
    <x v="0"/>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30"/>
    <x v="23"/>
    <n v="0.01"/>
    <s v="Informes o reportes"/>
    <s v="Indice de ejecución del PAAI 2021"/>
    <s v="Bertha Sofía Ortiz Gutiérrez"/>
    <x v="1"/>
    <s v="N/A"/>
    <s v="N/A"/>
    <s v="D7 Control Interno"/>
    <s v="POLÍTICA 16 Control Interno"/>
    <s v="2. Incorporar las mejores prácticas organizacionales y tecnológicas que garanticen calidad e integridad de la gestión pública."/>
    <s v="19. Evaluación y Control"/>
    <s v="N/A"/>
    <n v="0.01"/>
    <s v="Enero"/>
  </r>
  <r>
    <x v="1"/>
    <n v="2"/>
    <s v="Ejecutar las actividades programadas dentro del Plan Anual de Auditorías Internas - PAAI 2021, de conformidad con los roles establecidos para Control Interno."/>
    <n v="0.6"/>
    <x v="31"/>
    <x v="23"/>
    <n v="0.01"/>
    <s v="Informes o reportes"/>
    <s v="Indice de ejecución del PAAI 2021"/>
    <s v="Bertha Sofía Ortiz Gutiérrez"/>
    <x v="2"/>
    <s v="N/A"/>
    <s v="N/A"/>
    <s v="D7 Control Interno"/>
    <s v="POLÍTICA 16 Control Interno"/>
    <s v="2. Incorporar las mejores prácticas organizacionales y tecnológicas que garanticen calidad e integridad de la gestión pública."/>
    <s v="19. Evaluación y Control"/>
    <s v="N/A"/>
    <n v="0.01"/>
    <s v="Febrero"/>
  </r>
  <r>
    <x v="1"/>
    <n v="2"/>
    <s v="Ejecutar las actividades programadas dentro del Plan Anual de Auditorías Internas - PAAI 2021, de conformidad con los roles establecidos para Control Interno."/>
    <n v="0.6"/>
    <x v="32"/>
    <x v="23"/>
    <n v="0.01"/>
    <s v="Informes o reportes"/>
    <s v="Indice de ejecución del PAAI 2021"/>
    <s v="Bertha Sofía Ortiz Gutiérrez"/>
    <x v="3"/>
    <s v="N/A"/>
    <s v="N/A"/>
    <s v="D7 Control Interno"/>
    <s v="POLÍTICA 16 Control Interno"/>
    <s v="2. Incorporar las mejores prácticas organizacionales y tecnológicas que garanticen calidad e integridad de la gestión pública."/>
    <s v="19. Evaluación y Control"/>
    <s v="N/A"/>
    <n v="0.01"/>
    <s v="Marzo"/>
  </r>
  <r>
    <x v="1"/>
    <n v="2"/>
    <s v="Ejecutar las actividades programadas dentro del Plan Anual de Auditorías Internas - PAAI 2021, de conformidad con los roles establecidos para Control Interno."/>
    <n v="0.6"/>
    <x v="33"/>
    <x v="24"/>
    <n v="1.4999999999999999E-2"/>
    <s v="Informes o reportes"/>
    <s v="Indice de ejecución del PAAI 2021"/>
    <s v="Bertha Sofía Ortiz Gutiérrez"/>
    <x v="4"/>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34"/>
    <x v="23"/>
    <n v="0.01"/>
    <s v="Informes o reportes"/>
    <s v="Indice de ejecución del PAAI 2021"/>
    <s v="Bertha Sofía Ortiz Gutiérrez"/>
    <x v="9"/>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35"/>
    <x v="25"/>
    <n v="5.0000000000000001E-3"/>
    <s v="Informes o reportes"/>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36"/>
    <x v="25"/>
    <n v="5.0000000000000001E-3"/>
    <s v="Informes o reportes"/>
    <s v="Indice de ejecución del PAAI 2021"/>
    <s v="Bertha Sofía Ortiz Gutiérrez"/>
    <x v="6"/>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37"/>
    <x v="23"/>
    <n v="0.01"/>
    <s v="Informes o reportes"/>
    <s v="Indice de ejecución del PAAI 2021"/>
    <s v="Bertha Sofía Ortiz Gutiérrez"/>
    <x v="10"/>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38"/>
    <x v="26"/>
    <n v="0.03"/>
    <s v="Informes o reportes"/>
    <s v="Indice de ejecución del PAAI 2021"/>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39"/>
    <x v="23"/>
    <n v="0.01"/>
    <s v="Informes o reportes"/>
    <s v="Indice de ejecución del PAAI 2021"/>
    <s v="Bertha Sofía Ortiz Gutiérrez"/>
    <x v="11"/>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40"/>
    <x v="23"/>
    <n v="0.01"/>
    <s v="Informes o reportes"/>
    <s v="Indice de ejecución del PAAI 2021"/>
    <s v="Bertha Sofía Ortiz Gutiérrez"/>
    <x v="0"/>
    <s v="N/A"/>
    <s v="N/A"/>
    <s v="D7 Control Interno"/>
    <s v="POLÍTICA 16 Control Interno"/>
    <s v="2. Incorporar las mejores prácticas organizacionales y tecnológicas que garanticen calidad e integridad de la gestión pública."/>
    <s v="19. Evaluación y Control"/>
    <s v="N/A"/>
    <m/>
    <m/>
  </r>
  <r>
    <x v="1"/>
    <n v="2"/>
    <s v="Ejecutar las actividades programadas dentro del Plan Anual de Auditorías Internas - PAAI 2021, de conformidad con los roles establecidos para Control Interno."/>
    <n v="0.6"/>
    <x v="41"/>
    <x v="27"/>
    <n v="0.01"/>
    <s v="Listado de Asistencia"/>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n v="3"/>
    <s v="Revisar y actualizar la documentación del Proceso de Evaluación y Control a cargo de Control Interno."/>
    <n v="0.1"/>
    <x v="7"/>
    <x v="28"/>
    <n v="0.1"/>
    <s v="Documentos del Proceso de Evaluación y Control revisados y actualizados."/>
    <s v="Indice de documentos revisados y actualizados"/>
    <s v="Bertha Sofía Ortiz Gutiérrez"/>
    <x v="8"/>
    <s v="N/A"/>
    <s v="N/A"/>
    <s v="D7 Control Interno"/>
    <s v="POLÍTICA 16 Control Interno"/>
    <s v="2. Incorporar las mejores prácticas organizacionales y tecnológicas que garanticen calidad e integridad de la gestión pública."/>
    <s v="19. Evaluación y Control"/>
    <s v="N/A"/>
    <m/>
    <m/>
  </r>
  <r>
    <x v="1"/>
    <n v="4"/>
    <s v="Tramitar y dar respuesta a los requerimientos de los entes de control. (A demanda)"/>
    <n v="0.2"/>
    <x v="10"/>
    <x v="29"/>
    <n v="0.05"/>
    <s v="Respuestas a requerimientos de entes de control"/>
    <s v="Indice de respuestas a requerimientos de entes de control"/>
    <s v="Bertha Sofía Ortiz Gutiérrez"/>
    <x v="3"/>
    <s v="N/A"/>
    <s v="N/A"/>
    <s v="D7 Control Interno"/>
    <s v="POLÍTICA 16 Control Interno"/>
    <s v="2. Incorporar las mejores prácticas organizacionales y tecnológicas que garanticen calidad e integridad de la gestión pública."/>
    <s v="19. Evaluación y Control"/>
    <s v="N/A"/>
    <n v="0.05"/>
    <s v="Marzo"/>
  </r>
  <r>
    <x v="1"/>
    <n v="4"/>
    <s v="Tramitar y dar respuesta a los requerimientos de los entes de control. (A demanda)"/>
    <n v="0.2"/>
    <x v="11"/>
    <x v="29"/>
    <n v="0.05"/>
    <s v="Respuestas a requerimientos de entes de control"/>
    <s v="Indice de respuestas a requerimientos de entes de control"/>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n v="4"/>
    <s v="Tramitar y dar respuesta a los requerimientos de los entes de control. (A demanda)"/>
    <n v="0.2"/>
    <x v="12"/>
    <x v="29"/>
    <n v="0.05"/>
    <s v="Respuestas a requerimientos de entes de control"/>
    <s v="Indice de respuestas a requerimientos de entes de control"/>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n v="4"/>
    <s v="Tramitar y dar respuesta a los requerimientos de los entes de control. (A demanda)"/>
    <n v="0.2"/>
    <x v="13"/>
    <x v="29"/>
    <n v="0.05"/>
    <s v="Respuestas a requerimientos de entes de control"/>
    <s v="Indice de respuestas a requerimientos de entes de control"/>
    <s v="Bertha Sofía Ortiz Gutiérrez"/>
    <x v="0"/>
    <s v="N/A"/>
    <s v="N/A"/>
    <s v="D7 Control Interno"/>
    <s v="POLÍTICA 16 Control Interno"/>
    <s v="2. Incorporar las mejores prácticas organizacionales y tecnológicas que garanticen calidad e integridad de la gestión pública."/>
    <s v="19. Evaluación y Control"/>
    <s v="N/A"/>
    <m/>
    <m/>
  </r>
  <r>
    <x v="2"/>
    <n v="1"/>
    <s v="Seguimiento"/>
    <n v="0.3"/>
    <x v="0"/>
    <x v="30"/>
    <n v="1.4999999999999999E-2"/>
    <s v="PAAC actualizado"/>
    <s v="Aumento en el porcentaje de avance del PAAC : _x000a_Actividades realizadas / Actividades planeadas "/>
    <s v="Libardo Murillo - Carlos Felipe Rojas"/>
    <x v="7"/>
    <s v="N.A"/>
    <s v="N/A"/>
    <s v="D2 Direccionamiento Estratégico y Planeación"/>
    <s v="POLÍTICA 3 Planeación Institucional"/>
    <s v="2. Incorporar las mejores prácticas organizacionales y tecnológicas que garanticen calidad e integridad de la gestión pública."/>
    <s v="1. Direccionamiento Estratégico"/>
    <s v="9. Plan anticorrupción y de atención al ciudadano"/>
    <m/>
    <m/>
  </r>
  <r>
    <x v="2"/>
    <n v="1"/>
    <s v="Seguimiento"/>
    <n v="0.3"/>
    <x v="1"/>
    <x v="31"/>
    <n v="1.4999999999999999E-2"/>
    <s v="PAAC actualizado"/>
    <s v="Aumento en el porcentaje de avance del PAAC : _x000a_Actividades realizadas / Actividades planeadas "/>
    <s v="Libardo Murillo - Carlos Felipe Rojas"/>
    <x v="7"/>
    <s v="N.A"/>
    <s v="N/A"/>
    <s v="D2 Direccionamiento Estratégico y Planeación"/>
    <s v="POLÍTICA 3 Planeación Institucional"/>
    <s v="2. Incorporar las mejores prácticas organizacionales y tecnológicas que garanticen calidad e integridad de la gestión pública."/>
    <s v="1. Direccionamiento Estratégico"/>
    <s v="9. Plan anticorrupción y de atención al ciudadano"/>
    <m/>
    <m/>
  </r>
  <r>
    <x v="2"/>
    <n v="1"/>
    <s v="Seguimiento"/>
    <n v="0.3"/>
    <x v="2"/>
    <x v="32"/>
    <n v="1.4999999999999999E-2"/>
    <s v="PAAC actualizado"/>
    <s v="Aumento en el porcentaje de avance del PAAC : _x000a_Actividades realizadas / Actividades planeadas "/>
    <s v="Libardo Murillo - Carlos Felipe Rojas"/>
    <x v="12"/>
    <s v="N.A"/>
    <s v="N/A"/>
    <s v="D2 Direccionamiento Estratégico y Planeación"/>
    <s v="POLÍTICA 3 Planeación Institucional"/>
    <s v="2. Incorporar las mejores prácticas organizacionales y tecnológicas que garanticen calidad e integridad de la gestión pública."/>
    <s v="1. Direccionamiento Estratégico"/>
    <s v="9. Plan anticorrupción y de atención al ciudadano"/>
    <m/>
    <m/>
  </r>
  <r>
    <x v="2"/>
    <n v="1"/>
    <s v="Seguimiento"/>
    <n v="0.3"/>
    <x v="3"/>
    <x v="33"/>
    <n v="2.5000000000000001E-2"/>
    <s v="Matriz de transparencia ITA diligenciada y enviada "/>
    <s v="% de avance del aplicativo:_x000a_Modulos diligenciados satisfactoriamente/ Modulos totales del aplicativo"/>
    <s v="Libardo Murillo - Luz Mireya Gómez"/>
    <x v="10"/>
    <s v="N/A"/>
    <s v="N/A"/>
    <s v="D4 Evaluación de Resultados"/>
    <s v="POLÍTICA 13 Seguimiento y Evaluación del Desempeño Institucional"/>
    <s v="2. Incorporar las mejores prácticas organizacionales y tecnológicas que garanticen calidad e integridad de la gestión pública."/>
    <s v="1. Direccionamiento Estratégico"/>
    <s v="N/A"/>
    <n v="0.2"/>
    <m/>
  </r>
  <r>
    <x v="2"/>
    <n v="1"/>
    <s v="Seguimiento"/>
    <n v="0.3"/>
    <x v="42"/>
    <x v="34"/>
    <n v="0.01"/>
    <s v="Actualizaciones realizadas"/>
    <s v="% de actualizaciones de modulo SISCOMPES "/>
    <s v="Libardo Murillo - Luz Mireya Gómez"/>
    <x v="0"/>
    <s v="N/A"/>
    <s v="N/A"/>
    <s v="D4 Evaluación de Resultados"/>
    <s v="POLÍTICA 13 Seguimiento y Evaluación del Desempeño Institucional"/>
    <s v="2. Incorporar las mejores prácticas organizacionales y tecnológicas que garanticen calidad e integridad de la gestión pública."/>
    <s v="1. Direccionamiento Estratégico"/>
    <s v="N/A"/>
    <n v="0.25"/>
    <s v="Marzo"/>
  </r>
  <r>
    <x v="2"/>
    <n v="1"/>
    <s v="Seguimiento"/>
    <n v="0.3"/>
    <x v="43"/>
    <x v="35"/>
    <n v="1.4999999999999999E-2"/>
    <s v="Sistema y matriz SPI actualizada"/>
    <s v="Aumento en el porcentaje de avance del SPI : _x000a_Actividades realizadas / Actividades planeadas "/>
    <s v="Libardo Murillo - Luz Mireya Gómez"/>
    <x v="0"/>
    <s v="N/A"/>
    <s v="5 - Generación de valor público a traves del emprendimiento y la innovación para la UPME ubicada en Bogotá - 2019011000090"/>
    <s v="D4 Evaluación de Resultados"/>
    <s v="POLÍTICA 13 Seguimiento y Evaluación del Desempeño Institucional"/>
    <s v="2. Incorporar las mejores prácticas organizacionales y tecnológicas que garanticen calidad e integridad de la gestión pública."/>
    <s v="1. Direccionamiento Estratégico"/>
    <s v="N/A"/>
    <n v="0.25"/>
    <s v="Marzo"/>
  </r>
  <r>
    <x v="2"/>
    <n v="1"/>
    <s v="Seguimiento"/>
    <n v="0.3"/>
    <x v="44"/>
    <x v="36"/>
    <n v="1.4999999999999999E-2"/>
    <s v="Informe de seguimiento trimestral socializado con los dueños de proceso "/>
    <s v="# de indicadores presupuestales calculados/ # de indcadores presupuestales planteados"/>
    <s v="Luz Mireya Gómez - Libardo Murillo"/>
    <x v="3"/>
    <s v="N/A"/>
    <s v="N/A"/>
    <s v="D2 Direccionamiento Estratégico y Planeación"/>
    <s v="POLÍTICA 3 Planeación Institucional"/>
    <s v="2. Incorporar las mejores prácticas organizacionales y tecnológicas que garanticen calidad e integridad de la gestión pública."/>
    <s v="1. Direccionamiento Estratégico"/>
    <s v="N/A"/>
    <n v="1.4999999999999999E-2"/>
    <s v="Marzo"/>
  </r>
  <r>
    <x v="2"/>
    <n v="1"/>
    <s v="Seguimiento"/>
    <n v="0.3"/>
    <x v="45"/>
    <x v="37"/>
    <n v="1.4999999999999999E-2"/>
    <s v="Informe de seguimiento trimestral socializado con los dueños de proceso "/>
    <s v="# de indicadores presupuestales calculados/ # de indcadores presupuestales planteados"/>
    <s v="Luz Mireya Gómez - Libardo Murillo"/>
    <x v="5"/>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1"/>
    <s v="Seguimiento"/>
    <n v="0.3"/>
    <x v="46"/>
    <x v="38"/>
    <n v="1.4999999999999999E-2"/>
    <s v="Informe de seguimiento trimestral socializado con los dueños de proceso "/>
    <s v="# de indicadores presupuestales calculados/ # de indcadores presupuestales planteados"/>
    <s v="Luz Mireya Gómez - Libardo Murillo"/>
    <x v="7"/>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1"/>
    <s v="Seguimiento"/>
    <n v="0.3"/>
    <x v="47"/>
    <x v="39"/>
    <n v="1.4999999999999999E-2"/>
    <s v="Informe de seguimiento trimestral socializado con los dueños de proceso "/>
    <s v="# de indicadores presupuestales calculados/ # de indcadores presupuestales planteados"/>
    <s v="Luz Mireya Gómez - Libardo Murillo"/>
    <x v="0"/>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1"/>
    <s v="Seguimiento"/>
    <n v="0.3"/>
    <x v="48"/>
    <x v="40"/>
    <n v="1.4999999999999999E-2"/>
    <s v="Reporte actualizado de tramites ante el SUIT "/>
    <s v="#de actualizaciónes realizadas / #de actualizaciones programadas "/>
    <s v="Luz Mireya Gómez - Libardo Murillo"/>
    <x v="4"/>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n v="0"/>
    <m/>
  </r>
  <r>
    <x v="2"/>
    <n v="1"/>
    <s v="Seguimiento"/>
    <n v="0.3"/>
    <x v="49"/>
    <x v="41"/>
    <n v="1.4999999999999999E-2"/>
    <s v="Reporte actualizado de tramites ante el SUIT "/>
    <s v="#de actualizaciónes realizadas / #de actualizaciones programadas "/>
    <s v="Luz Mireya Gómez - Libardo Murillo"/>
    <x v="6"/>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1"/>
    <s v="Seguimiento"/>
    <n v="0.3"/>
    <x v="50"/>
    <x v="42"/>
    <n v="1.4999999999999999E-2"/>
    <s v="Reporte actualizado de tramites ante el SUIT "/>
    <s v="#de actualizaciónes realizadas / #de actualizaciones programadas "/>
    <s v="Luz Mireya Gómez - Libardo Murillo"/>
    <x v="8"/>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1"/>
    <s v="Seguimiento"/>
    <n v="0.3"/>
    <x v="51"/>
    <x v="43"/>
    <n v="1.4999999999999999E-2"/>
    <s v="Reporte actualizado de tramites ante el SUIT "/>
    <s v="#de actualizaciónes realizadas / #de actualizaciones programadas "/>
    <s v="Luz Mireya Gómez - Libardo Murillo"/>
    <x v="1"/>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n v="1.4999999999999999E-2"/>
    <s v="Enero"/>
  </r>
  <r>
    <x v="2"/>
    <n v="1"/>
    <s v="Seguimiento"/>
    <n v="0.3"/>
    <x v="52"/>
    <x v="44"/>
    <n v="0.01"/>
    <s v="Actualización del PAA subido al SECOP II"/>
    <s v="Aumento en el porcentaje de avance del PAA en el SECOPII : _x000a_actualizaciones realizadas / actualizaciones planeadas "/>
    <s v="Luz Mireya Gómez - Libardo Murillo"/>
    <x v="0"/>
    <s v="N/A"/>
    <s v="N/A"/>
    <s v="D2 Direccionamiento Estratégico y Planeación"/>
    <s v="POLÍTICA 4 Gestión Presupuestal y Eficiencia del Gasto Público"/>
    <s v="2. Incorporar las mejores prácticas organizacionales y tecnológicas que garanticen calidad e integridad de la gestión pública."/>
    <s v="1. Direccionamiento Estratégico"/>
    <s v="2. Plan anual de adquisiciones"/>
    <n v="0.25"/>
    <s v="Marzo"/>
  </r>
  <r>
    <x v="2"/>
    <n v="1"/>
    <s v="Seguimiento"/>
    <n v="0.3"/>
    <x v="53"/>
    <x v="45"/>
    <n v="0.01"/>
    <s v="Actualización de la matriz del PEI"/>
    <s v="Aumento en el porcentaje de avance del PEI : _x000a_Actividades realizadas / Actividades planeadas "/>
    <s v="Libardo Murillo - Luz Mireya Gómez"/>
    <x v="5"/>
    <s v="N/A"/>
    <s v="N/A"/>
    <s v="D2 Direccionamiento Estratégico y Planeación"/>
    <s v="POLÍTICA 3 Planeación Institucional"/>
    <s v="2. Incorporar las mejores prácticas organizacionales y tecnológicas que garanticen calidad e integridad de la gestión pública."/>
    <s v="1. Direccionamiento Estratégico"/>
    <s v="N/A"/>
    <m/>
    <s v="Enero"/>
  </r>
  <r>
    <x v="2"/>
    <n v="1"/>
    <s v="Seguimiento"/>
    <n v="0.3"/>
    <x v="54"/>
    <x v="46"/>
    <n v="0.01"/>
    <s v="Actualización de la matriz del PEI"/>
    <s v="Aumento en el porcentaje de avance del PEI : _x000a_Actividades realizadas / Actividades planeadas "/>
    <s v="Libardo Murillo - Luz Mireya Gómez"/>
    <x v="8"/>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1"/>
    <s v="Seguimiento"/>
    <n v="0.3"/>
    <x v="55"/>
    <x v="47"/>
    <n v="1.4999999999999999E-2"/>
    <s v="Informe de gestión consolido "/>
    <s v="Aumento en el porcentaje de avance del informe de gestión:  _x000a_logros y retos informados/ logros y retos planteados"/>
    <s v="Libardo Murillo - Luz Mireya Gómez"/>
    <x v="0"/>
    <s v="N/A"/>
    <s v="N/A"/>
    <s v="D5 Información y Comunicación"/>
    <s v="POLÍTICA 13 Seguimiento y Evaluación del Desempeño Institucional"/>
    <s v="2. Incorporar las mejores prácticas organizacionales y tecnológicas que garanticen calidad e integridad de la gestión pública."/>
    <s v="1. Direccionamiento Estratégico"/>
    <s v="N/A"/>
    <n v="0.2"/>
    <s v="Marzo"/>
  </r>
  <r>
    <x v="2"/>
    <n v="1"/>
    <s v="Seguimiento"/>
    <n v="0.3"/>
    <x v="56"/>
    <x v="48"/>
    <n v="1.4999999999999999E-2"/>
    <s v="Informe de rendición de cuentas consolido "/>
    <s v="Aumento en el porcentaje de avance del informe de rendición de cuentas:  _x000a_logros y retos informados/ logros y retos planteados"/>
    <s v="Libardo Murillo - Luz Mireya Gómez"/>
    <x v="0"/>
    <s v="N/A"/>
    <s v="N/A"/>
    <s v="D5 Información y Comunicación"/>
    <s v="POLÍTICA 12 Participación Ciudadana en la Gestión Pública"/>
    <s v="2. Incorporar las mejores prácticas organizacionales y tecnológicas que garanticen calidad e integridad de la gestión pública."/>
    <s v="1. Direccionamiento Estratégico"/>
    <s v="N/A"/>
    <m/>
    <m/>
  </r>
  <r>
    <x v="2"/>
    <n v="1"/>
    <s v="Seguimiento"/>
    <n v="0.3"/>
    <x v="57"/>
    <x v="49"/>
    <n v="0.01"/>
    <s v="Informe de memorias al congreso consolido "/>
    <s v="Aumento en el porcentaje de avance de las memorias al congreso:   _x000a_logros y retos informados/ logros y retos planteados"/>
    <s v="Libardo Murillo - Luz Mireya Gómez"/>
    <x v="10"/>
    <s v="N/A"/>
    <s v="N/A"/>
    <s v="D5 Información y Comunicación"/>
    <s v="POLÍTICA 13 Seguimiento y Evaluación del Desempeño Institucional"/>
    <s v="2. Incorporar las mejores prácticas organizacionales y tecnológicas que garanticen calidad e integridad de la gestión pública."/>
    <s v="1. Direccionamiento Estratégico"/>
    <s v="N/A"/>
    <m/>
    <m/>
  </r>
  <r>
    <x v="2"/>
    <n v="1"/>
    <s v="Seguimiento"/>
    <n v="0.3"/>
    <x v="58"/>
    <x v="50"/>
    <n v="5.0000000000000001E-3"/>
    <s v="Matriz de seguimiento a las iniciativas de cooperacion internacional "/>
    <s v="Tiempo de respuesta frente a las iniciativas hasta su resultado_x000a_ (# dias)"/>
    <s v="Libardo Murillo - Luz Mireya Gómez"/>
    <x v="0"/>
    <s v="N/A"/>
    <s v="N/A"/>
    <s v="D6 Gestión del Conocimiento"/>
    <s v="POLÍTICA 15 Gestión del Conocimiento"/>
    <s v="2. Incorporar las mejores prácticas organizacionales y tecnológicas que garanticen calidad e integridad de la gestión pública."/>
    <s v="1. Direccionamiento Estratégico"/>
    <s v="N/A"/>
    <n v="0.2"/>
    <s v="Marzo"/>
  </r>
  <r>
    <x v="2"/>
    <n v="1"/>
    <s v="Seguimiento"/>
    <n v="0.3"/>
    <x v="59"/>
    <x v="51"/>
    <n v="0.01"/>
    <s v="Presentación del presupuesto 2022"/>
    <s v="Conformidad del presupuesto con lo planteado por la Dirección "/>
    <s v="Libardo Murillo - Luz Mireya Gómez"/>
    <x v="3"/>
    <s v="N/A"/>
    <s v="N/A"/>
    <s v="D2 Direccionamiento Estratégico y Planeación"/>
    <s v="POLÍTICA 4 Gestión Presupuestal y Eficiencia del Gasto Público"/>
    <s v="2. Incorporar las mejores prácticas organizacionales y tecnológicas que garanticen calidad e integridad de la gestión pública."/>
    <s v="1. Direccionamiento Estratégico"/>
    <s v="N/A"/>
    <n v="0.01"/>
    <s v="Marzo"/>
  </r>
  <r>
    <x v="2"/>
    <n v="2"/>
    <s v="Implementar del SGC bajo la norma ISO 9001-2015"/>
    <n v="0.25"/>
    <x v="4"/>
    <x v="52"/>
    <n v="0.02"/>
    <s v="Aplicativo Sigueme actualizado"/>
    <s v="% implementacion en al Norma ISO 9001:2015"/>
    <s v="Libardo Murillo - Laura Gómez"/>
    <x v="2"/>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n v="0.01"/>
    <s v="Marzo"/>
  </r>
  <r>
    <x v="2"/>
    <n v="2"/>
    <s v="Implementar del SGC bajo la norma ISO 9001-2015"/>
    <n v="0.25"/>
    <x v="5"/>
    <x v="53"/>
    <n v="4.4999999999999998E-2"/>
    <s v="Backup documentacion Sigueme"/>
    <s v="% implementacion en al Norma ISO 9001:2015"/>
    <s v="Libardo Murillo - Laura Gómez"/>
    <x v="3"/>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n v="4.4999999999999998E-2"/>
    <s v="Marzo"/>
  </r>
  <r>
    <x v="2"/>
    <n v="2"/>
    <s v="Implementar del SGC bajo la norma ISO 9001-2015"/>
    <n v="0.25"/>
    <x v="6"/>
    <x v="54"/>
    <n v="2.5000000000000001E-2"/>
    <s v="Aplicativo Sigueme y sus modulos "/>
    <s v="% implementacion en al Norma ISO 9001:2015"/>
    <s v="Libardo Murillo - Laura Gómez"/>
    <x v="9"/>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n v="2"/>
    <s v="Implementar del SGC bajo la norma ISO 9001-2015"/>
    <n v="0.25"/>
    <x v="14"/>
    <x v="55"/>
    <n v="2.5000000000000001E-2"/>
    <s v="Jornadas de capacitacion, listas de asistencia"/>
    <s v="% implementacion en al Norma ISO 9001:2015"/>
    <s v="Libardo Murillo - Laura Gómez"/>
    <x v="5"/>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n v="2"/>
    <s v="Implementar del SGC bajo la norma ISO 9001-2015"/>
    <n v="0.25"/>
    <x v="15"/>
    <x v="56"/>
    <n v="4.4999999999999998E-2"/>
    <s v="Actualizacion nuevas versiones de la documentacion del SGC"/>
    <s v="% implementacion en al Norma ISO 9001:2015"/>
    <s v="Libardo Murillo - Laura Gómez"/>
    <x v="5"/>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n v="2"/>
    <s v="Implementar del SGC bajo la norma ISO 9001-2015"/>
    <n v="0.25"/>
    <x v="16"/>
    <x v="57"/>
    <n v="4.4999999999999998E-2"/>
    <s v="Informe auditoria interna"/>
    <s v="% implementacion en al Norma ISO 9001:2015"/>
    <s v="Libardo Murillo - Laura Gómez"/>
    <x v="10"/>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n v="2"/>
    <s v="Implementar del SGC bajo la norma ISO 9001-2015"/>
    <n v="0.25"/>
    <x v="17"/>
    <x v="58"/>
    <n v="4.4999999999999998E-2"/>
    <s v="Certificacion en la norma ISO9001:2015"/>
    <s v="% implementacion en al Norma ISO 9001:2015"/>
    <s v="Libardo Murillo - Laura Gómez"/>
    <x v="8"/>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n v="3"/>
    <s v="Implementar, mantener y mejorar el Sistema de Gestión - MIPG"/>
    <n v="0.25"/>
    <x v="7"/>
    <x v="59"/>
    <n v="0.01"/>
    <s v="Sistema SIGUEME con la documentación cargada, la cual se podrá observar en el módulo de documentos"/>
    <s v="% de avance en la implementación del MIPG (2.5% anual)"/>
    <s v="Libardo Murillo - Carlos Felipe Rojas"/>
    <x v="5"/>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3"/>
    <s v="Implementar, mantener y mejorar el Sistema de Gestión - MIPG"/>
    <n v="0.25"/>
    <x v="8"/>
    <x v="60"/>
    <n v="1.4999999999999999E-2"/>
    <s v="Archivo excel con el avance del I Trim registrado"/>
    <s v="% de avance en la implementación del MIPG (2.5% anual)"/>
    <s v="Libardo Murillo - Carlos Felipe Rojas"/>
    <x v="4"/>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3"/>
    <s v="Implementar, mantener y mejorar el Sistema de Gestión - MIPG"/>
    <n v="0.25"/>
    <x v="9"/>
    <x v="61"/>
    <n v="1.4999999999999999E-2"/>
    <s v="Archivo excel con el avance del II Trim registrado"/>
    <s v="% de avance en la implementación del MIPG (2.5% anual)"/>
    <s v="Libardo Murillo - Carlos Felipe Rojas"/>
    <x v="6"/>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3"/>
    <s v="Implementar, mantener y mejorar el Sistema de Gestión - MIPG"/>
    <n v="0.25"/>
    <x v="60"/>
    <x v="62"/>
    <n v="1.4999999999999999E-2"/>
    <s v="Archivo excel con el avance del III Trim registrado"/>
    <s v="% de avance en la implementación del MIPG (2.5% anual)"/>
    <s v="Libardo Murillo - Carlos Felipe Rojas"/>
    <x v="8"/>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3"/>
    <s v="Implementar, mantener y mejorar el Sistema de Gestión - MIPG"/>
    <n v="0.25"/>
    <x v="61"/>
    <x v="63"/>
    <n v="1.4999999999999999E-2"/>
    <s v="Archivo excel con el avance del IV Trim registrado"/>
    <s v="% de avance en la implementación del MIPG (2.5% anual)"/>
    <s v="Libardo Murillo - Carlos Felipe Rojas"/>
    <x v="12"/>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3"/>
    <s v="Implementar, mantener y mejorar el Sistema de Gestión - MIPG"/>
    <n v="0.25"/>
    <x v="62"/>
    <x v="64"/>
    <n v="0.05"/>
    <s v="Archivos excel con los autodiagnósticos actualizados"/>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3"/>
    <s v="Implementar, mantener y mejorar el Sistema de Gestión - MIPG"/>
    <n v="0.25"/>
    <x v="63"/>
    <x v="65"/>
    <n v="0.04"/>
    <s v="Archivo excel con el plan de trabajo cierre de brechas mi MIPG 2022"/>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3"/>
    <s v="Implementar, mantener y mejorar el Sistema de Gestión - MIPG"/>
    <n v="0.25"/>
    <x v="64"/>
    <x v="66"/>
    <n v="0.05"/>
    <s v="Archivo excel con la formulación del PAAC vigencia 2022"/>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3"/>
    <s v="Implementar, mantener y mejorar el Sistema de Gestión - MIPG"/>
    <n v="0.25"/>
    <x v="65"/>
    <x v="67"/>
    <n v="2.5000000000000001E-2"/>
    <s v="Archivo en excel consolidado del reporte del avance en implementación del MIPG de todas las áreas"/>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3"/>
    <s v="Implementar, mantener y mejorar el Sistema de Gestión - MIPG"/>
    <n v="0.25"/>
    <x v="66"/>
    <x v="68"/>
    <n v="1.4999999999999999E-2"/>
    <s v="Certificado de cumplimiento emitido por el aplicativo "/>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n v="4"/>
    <s v="Gestión de Proyectos"/>
    <n v="0.2"/>
    <x v="10"/>
    <x v="69"/>
    <n v="0.03"/>
    <s v="Proyectos de inversión 2022 registrados y actualizados en el SUIFP"/>
    <s v="Avance en el registro de proyectos de inversión: _x000a_# de proyectos registrados / # proyectos totales"/>
    <s v="Libardo Murillo - Luz Mireya Gómez"/>
    <x v="3"/>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n v="0.03"/>
    <s v="Marzo"/>
  </r>
  <r>
    <x v="2"/>
    <n v="4"/>
    <s v="Gestión de Proyectos"/>
    <n v="0.2"/>
    <x v="11"/>
    <x v="70"/>
    <n v="0.04"/>
    <s v="Proyecto registrado MGA "/>
    <s v="Avance en el registro de proyecto MGA: _x000a_# de proyectos registrados / # proyectos totales"/>
    <s v="Libardo Murillo - Luz Mireya Gómez"/>
    <x v="5"/>
    <s v="N/A"/>
    <s v="N/A"/>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2"/>
    <n v="4"/>
    <s v="Gestión de Proyectos"/>
    <n v="0.2"/>
    <x v="12"/>
    <x v="71"/>
    <n v="3.5000000000000003E-2"/>
    <s v="Proyección de presupuesto socializada MGMP"/>
    <s v="#de actualizaciónes realizadas / #de actualizaciones programadas "/>
    <s v="Libardo Murillo - Luz Mireya Gómez"/>
    <x v="3"/>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n v="3.5000000000000003E-2"/>
    <s v="Marzo"/>
  </r>
  <r>
    <x v="2"/>
    <n v="4"/>
    <s v="Gestión de Proyectos"/>
    <n v="0.2"/>
    <x v="13"/>
    <x v="72"/>
    <n v="3.5000000000000003E-2"/>
    <s v="Proyectos actualizados "/>
    <s v="#de actualizaciónes realizadas / #de actualizaciones programadas "/>
    <s v="Libardo Murillo - Luz Mireya Gómez"/>
    <x v="5"/>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2"/>
    <n v="4"/>
    <s v="Gestión de Proyectos"/>
    <n v="0.2"/>
    <x v="67"/>
    <x v="73"/>
    <n v="3.5000000000000003E-2"/>
    <s v="Proyectos definitivos registrados y actualizados con documentación requerida "/>
    <s v="#de actualizaciónes realizadas / #de actualizaciones programadas "/>
    <s v="Libardo Murillo - Luz Mireya Gómez"/>
    <x v="1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2"/>
    <n v="4"/>
    <s v="Gestión de Proyectos"/>
    <n v="0.2"/>
    <x v="68"/>
    <x v="74"/>
    <n v="2.5000000000000001E-2"/>
    <s v="Capacitaciones realizadas a los gerentes de proyecto y enlaces "/>
    <s v="Grado de satisfacción frene a la capacitación "/>
    <s v="Libardo Murillo - Luz Mireya Gómez"/>
    <x v="5"/>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3"/>
    <n v="1"/>
    <s v="Modernización Institucional"/>
    <n v="0.1"/>
    <x v="69"/>
    <x v="75"/>
    <n v="0.1"/>
    <s v="Componente financiero revisado"/>
    <s v="Componente financiero revisado"/>
    <s v="Coordinador del GIT Financiero"/>
    <x v="10"/>
    <s v="N/A"/>
    <s v="N/A"/>
    <s v="D2 Direccionamiento Estratégico y Planeación"/>
    <s v="POLÍTICA 5 Fortalecimiento Organizacional y Simplificación de Procesos"/>
    <s v="2. Incorporar las mejores prácticas organizacionales y tecnológicas que garanticen calidad e integridad de la gestión pública."/>
    <s v="12. Gestión Financiera"/>
    <s v="N/A"/>
    <n v="0.05"/>
    <s v="Marzo"/>
  </r>
  <r>
    <x v="3"/>
    <n v="2"/>
    <s v="Cumplimiento de Planes Institucionales"/>
    <n v="0.1"/>
    <x v="70"/>
    <x v="76"/>
    <n v="0.1"/>
    <s v="Actividades de Gestión Financiera en Planes Cumplidas"/>
    <s v="Actividades de Gestión Financiera en Planes Cumplidas"/>
    <s v="Coordinador del GIT Financiero"/>
    <x v="0"/>
    <s v="N/A"/>
    <s v="N/A"/>
    <s v="D2 Direccionamiento Estratégico y Planeación"/>
    <s v="POLÍTICA 3 Planeación Institucional"/>
    <s v="2. Incorporar las mejores prácticas organizacionales y tecnológicas que garanticen calidad e integridad de la gestión pública."/>
    <s v="12. Gestión Financiera"/>
    <s v="N/A"/>
    <s v="2.5%"/>
    <s v="Marzo"/>
  </r>
  <r>
    <x v="3"/>
    <n v="3"/>
    <s v="Coordinación con GIT planeación, para la planeación, ejecución y seguimiento de presupuesto (Gestión presupuestal):"/>
    <n v="0.3"/>
    <x v="71"/>
    <x v="77"/>
    <n v="0.09"/>
    <s v="Anteproyecto de Presupuesto 2022"/>
    <s v="Anteproyecto de Presupuesto_x000a_  Validado y Recibido en MinHacienda"/>
    <s v="Libardo Murillo - Holman Corredor y Coordinador del GIT Financiero"/>
    <x v="3"/>
    <s v="N/A"/>
    <s v="N/A"/>
    <s v="D2 Direccionamiento Estratégico y Planeación"/>
    <s v="POLÍTICA 4 Gestión Presupuestal y Eficiencia del Gasto Público"/>
    <s v="2. Incorporar las mejores prácticas organizacionales y tecnológicas que garanticen calidad e integridad de la gestión pública."/>
    <s v="12. Gestión Financiera"/>
    <s v="2. Plan anual de adquisiciones"/>
    <n v="0.09"/>
    <s v="Marzo"/>
  </r>
  <r>
    <x v="3"/>
    <n v="3"/>
    <s v="Coordinación con GIT planeación, para la planeación, ejecución y seguimiento de presupuesto (Gestión presupuestal):"/>
    <n v="0.3"/>
    <x v="72"/>
    <x v="78"/>
    <n v="0.21"/>
    <s v="Reportes e Informes de Seguimiento periódicos"/>
    <s v="#de reportes y seguimientos realizados / #de reportes y seguimientos programados"/>
    <s v="Libardo Murillo - Holman Corredor"/>
    <x v="0"/>
    <s v="N/A"/>
    <s v="N/A"/>
    <s v="D4 Evaluación de Resultados"/>
    <s v="POLÍTICA 4 Gestión Presupuestal y Eficiencia del Gasto Público"/>
    <s v="2. Incorporar las mejores prácticas organizacionales y tecnológicas que garanticen calidad e integridad de la gestión pública."/>
    <s v="1. Direccionamiento Estratégico"/>
    <s v="2. Plan anual de adquisiciones"/>
    <s v="5.25%"/>
    <s v="Marzo"/>
  </r>
  <r>
    <x v="3"/>
    <n v="4"/>
    <s v="Actualización y aplicación de las Políticas Contables de la Upme."/>
    <n v="0.1"/>
    <x v="73"/>
    <x v="79"/>
    <n v="0.1"/>
    <s v="Manual de Políticas Contables Actualizado y publicado"/>
    <s v="Manual de Políticas Contables Actualizado y publicado"/>
    <s v="Contabilidad: Sandra Alvarez García"/>
    <x v="5"/>
    <s v="N/A"/>
    <s v="N/A"/>
    <s v="D2 Direccionamiento Estratégico y Planeación"/>
    <s v="POLÍTICA 3 Planeación Institucional"/>
    <s v="2. Incorporar las mejores prácticas organizacionales y tecnológicas que garanticen calidad e integridad de la gestión pública."/>
    <s v="12. Gestión Financiera"/>
    <s v="N/A"/>
    <n v="0.05"/>
    <s v="Marzo"/>
  </r>
  <r>
    <x v="3"/>
    <n v="5"/>
    <s v="Gestión Transversal Coordinación del GITGF"/>
    <n v="0.4"/>
    <x v="74"/>
    <x v="80"/>
    <n v="6.6666666666666666E-2"/>
    <s v="Procedimientos Actualizados"/>
    <s v="Total de procedimientos elaborados y actualizados / Procedimientos a implementar del GITGF"/>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3.3000000000000002E-2"/>
    <s v="Marzo"/>
  </r>
  <r>
    <x v="3"/>
    <n v="5"/>
    <s v="Gestión Transversal Coordinación del GITGF"/>
    <n v="0.4"/>
    <x v="75"/>
    <x v="81"/>
    <n v="6.6666666666666666E-2"/>
    <s v="Matriz de Riesgos GITGF"/>
    <s v="Total de riesgos valorados / Riesgos del Proces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0.01"/>
    <s v="Marzo"/>
  </r>
  <r>
    <x v="3"/>
    <n v="5"/>
    <s v="Gestión Transversal Coordinación del GITGF"/>
    <n v="0.4"/>
    <x v="76"/>
    <x v="82"/>
    <n v="6.6666666666666666E-2"/>
    <s v="Matriz de Indicadores"/>
    <s v="Indicadores evaluados / Indicadores del Proces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0.01"/>
    <s v="Marzo"/>
  </r>
  <r>
    <x v="3"/>
    <n v="5"/>
    <s v="Gestión Transversal Coordinación del GITGF"/>
    <n v="0.4"/>
    <x v="77"/>
    <x v="83"/>
    <n v="6.6666666666666666E-2"/>
    <s v="Plan de Mejoramiento Consolidado"/>
    <s v="Acciones Cumplidas / Acciones del Plan de Mejoramient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1.7000000000000001E-2"/>
    <s v="Marzo"/>
  </r>
  <r>
    <x v="3"/>
    <n v="5"/>
    <s v="Gestión Transversal Coordinación del GITGF"/>
    <n v="0.4"/>
    <x v="78"/>
    <x v="84"/>
    <n v="6.6666666666666666E-2"/>
    <s v="Plan de Trabajo Anual"/>
    <s v="Metas Cumplidas / Metas del Plan de Trabaj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1.7000000000000001E-2"/>
    <s v="Marzo"/>
  </r>
  <r>
    <x v="3"/>
    <n v="5"/>
    <s v="Gestión Transversal Coordinación del GITGF"/>
    <n v="0.4"/>
    <x v="79"/>
    <x v="85"/>
    <n v="6.6666666666666666E-2"/>
    <s v="Evaluación de Desempeño"/>
    <s v="Compromisos cumplidos / Compromisos programados"/>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3.3000000000000002E-2"/>
    <s v="Marzo"/>
  </r>
  <r>
    <x v="4"/>
    <n v="1"/>
    <s v="Apoyar el proceso de modernización de la Entidad"/>
    <n v="0.1"/>
    <x v="0"/>
    <x v="86"/>
    <n v="0.1"/>
    <s v="Documentos revisados"/>
    <s v="Documentos solicitados/documentos revisados"/>
    <s v="Coordinadora del GIT Gestión Contractual."/>
    <x v="10"/>
    <s v="N/A"/>
    <s v="N/A"/>
    <s v="D2 Direccionamiento Estratégico y Planeación"/>
    <s v="POLÍTICA 5 Fortalecimiento Organizacional y Simplificación de Procesos"/>
    <s v="2. Incorporar las mejores prácticas organizacionales y tecnológicas que garanticen calidad e integridad de la gestión pública."/>
    <s v="1. Direccionamiento Estratégico"/>
    <s v="N/A"/>
    <s v="37.5%"/>
    <s v="Marzo"/>
  </r>
  <r>
    <x v="4"/>
    <n v="2"/>
    <s v="Implementar el proceso de evaluación de provisionales y seguimiento a los indicadores de gestión"/>
    <n v="0.1"/>
    <x v="5"/>
    <x v="87"/>
    <n v="0.1"/>
    <s v="Matriz de Indicadores diligenciadas._x000a_ Evaluaciones realizadas"/>
    <s v="Indicadores evaluados / Indicadores del Proceso"/>
    <s v="Coordinadora del GIT Gestión Contractual_x000a_ Profesionales universitarios_x000a_ Profesionales especailizados_x000a_ Tecnico Admnistrativo"/>
    <x v="0"/>
    <s v="N/A"/>
    <s v="N/A"/>
    <s v="D4 Evaluación de Resultados"/>
    <s v="POLÍTICA 13 Seguimiento y Evaluación del Desempeño Institucional"/>
    <s v="2. Incorporar las mejores prácticas organizacionales y tecnológicas que garanticen calidad e integridad de la gestión pública."/>
    <s v="19. Evaluación y Control"/>
    <s v="N/A"/>
    <n v="0.25"/>
    <s v="Marzo"/>
  </r>
  <r>
    <x v="4"/>
    <n v="3"/>
    <s v="Realizar seguimiento al cumplimiento de los planes a cargo del GIT Gestión Jurídica"/>
    <n v="0.2"/>
    <x v="9"/>
    <x v="88"/>
    <n v="0.2"/>
    <s v="Planes cumplidos"/>
    <s v="actividades propuestas / actividades cumplidas"/>
    <s v="Coordinadora del GIT Gestión Contractual_x000a_ Profesionales universitarios_x000a_ Profesionales especailizados_x000a_ Tecnico Admnistrativo"/>
    <x v="0"/>
    <s v="N/A"/>
    <s v="N/A"/>
    <s v="D4 Evaluación de Resultados"/>
    <s v="POLÍTICA 3 Planeación Institucional"/>
    <s v="2. Incorporar las mejores prácticas organizacionales y tecnológicas que garanticen calidad e integridad de la gestión pública."/>
    <s v="19. Evaluación y Control"/>
    <s v="N/A"/>
    <n v="0.25"/>
    <s v="Marzo"/>
  </r>
  <r>
    <x v="4"/>
    <n v="4"/>
    <s v="Fortalecimiento del acompañamiento jurídico a las áreas misionales"/>
    <n v="0.2"/>
    <x v="80"/>
    <x v="89"/>
    <n v="0.05"/>
    <s v="Sesiones del comité de asuntos jurídicos"/>
    <s v="#de sesiones del comité de asuntos jurídicios realizados / 4"/>
    <s v="Coordinadora del GIT Gestión Contractual._x000a_ Profesionales especializados con funciones jurídicas"/>
    <x v="3"/>
    <s v="N/A"/>
    <s v="N/A"/>
    <s v="D4 Evaluación de Resultados"/>
    <s v="POLÍTICA 17 Mejora Normativa"/>
    <s v="2. Incorporar las mejores prácticas organizacionales y tecnológicas que garanticen calidad e integridad de la gestión pública."/>
    <s v="16. Gestion contractual"/>
    <s v="N/A"/>
    <n v="0.05"/>
    <s v="Marzo"/>
  </r>
  <r>
    <x v="4"/>
    <n v="4"/>
    <s v="Fortalecimiento del acompañamiento jurídico a las áreas misionales"/>
    <n v="0.2"/>
    <x v="81"/>
    <x v="89"/>
    <n v="0.05"/>
    <s v="Sesiones del comité de asuntos jurídicos"/>
    <s v="#de sesiones del comité de asuntos jurídicios realizados / 6"/>
    <s v="Coordinadora del GIT Gestión Contractual._x000a_ Profesionales especializados con funciones jurídicas"/>
    <x v="5"/>
    <s v="N/A"/>
    <s v="N/A"/>
    <s v="D4 Evaluación de Resultados"/>
    <s v="POLÍTICA 17 Mejora Normativa"/>
    <s v="2. Incorporar las mejores prácticas organizacionales y tecnológicas que garanticen calidad e integridad de la gestión pública."/>
    <s v="16. Gestion contractual"/>
    <s v="N/A"/>
    <m/>
    <m/>
  </r>
  <r>
    <x v="4"/>
    <n v="4"/>
    <s v="Fortalecimiento del acompañamiento jurídico a las áreas misionales"/>
    <n v="0.2"/>
    <x v="82"/>
    <x v="89"/>
    <n v="0.05"/>
    <s v="Sesiones del comité de asuntos jurídicos"/>
    <s v="#de sesiones del comité de asuntos jurídicios realizados / 6"/>
    <s v="Coordinadora del GIT Gestión Contractual._x000a_ Profesionales especializados con funciones jurídicas"/>
    <x v="7"/>
    <s v="N/A"/>
    <s v="N/A"/>
    <s v="D4 Evaluación de Resultados"/>
    <s v="POLÍTICA 17 Mejora Normativa"/>
    <s v="2. Incorporar las mejores prácticas organizacionales y tecnológicas que garanticen calidad e integridad de la gestión pública."/>
    <s v="16. Gestion contractual"/>
    <s v="N/A"/>
    <m/>
    <m/>
  </r>
  <r>
    <x v="4"/>
    <n v="4"/>
    <s v="Fortalecimiento del acompañamiento jurídico a las áreas misionales"/>
    <n v="0.2"/>
    <x v="83"/>
    <x v="89"/>
    <n v="0.05"/>
    <s v="Sesiones del comité de asuntos jurídicos"/>
    <s v="#de sesiones del comité de asuntos jurídicios realizados / 6"/>
    <s v="Coordinadora del GIT Gestión Contractual._x000a_ Profesionales especializados con funciones jurídicas"/>
    <x v="7"/>
    <s v="N/A"/>
    <s v="N/A"/>
    <s v="D4 Evaluación de Resultados"/>
    <s v="POLÍTICA 17 Mejora Normativa"/>
    <s v="2. Incorporar las mejores prácticas organizacionales y tecnológicas que garanticen calidad e integridad de la gestión pública."/>
    <s v="16. Gestion contractual"/>
    <s v="N/A"/>
    <m/>
    <m/>
  </r>
  <r>
    <x v="4"/>
    <n v="5"/>
    <s v="Efectuar seguimiento a la gestión contractual"/>
    <n v="0.2"/>
    <x v="84"/>
    <x v="90"/>
    <n v="0.1"/>
    <s v="Sesiones de mesas de articulación contractual"/>
    <s v="#de mesas de articulación / 11"/>
    <s v="Coordinadora del GIT Gestión Contractual_x000a_ Profesional universitario con funciones de apoyo contractual_x000a_ Profesional universitario con funciones contractuales._x000a_ Tecnico Administrativo"/>
    <x v="0"/>
    <s v="N/A"/>
    <s v="N/A"/>
    <s v="D4 Evaluación de Resultados"/>
    <s v="POLÍTICA 8 Defensa Jurídica"/>
    <s v="2. Incorporar las mejores prácticas organizacionales y tecnológicas que garanticen calidad e integridad de la gestión pública."/>
    <s v="16. Gestion contractual"/>
    <s v="N/A"/>
    <n v="0.25"/>
    <s v="Marzo"/>
  </r>
  <r>
    <x v="4"/>
    <n v="5"/>
    <s v="Efectuar seguimiento a la gestión contractual"/>
    <n v="0.2"/>
    <x v="85"/>
    <x v="91"/>
    <n v="0.1"/>
    <s v="Contratos fimados electronicamente"/>
    <s v="# de contratos a firmar / # de contratos firmados"/>
    <s v="Coordinadora del GIT Gestión Contractual_x000a_ Profesional universitario con funciones de apoyo contractual_x000a_ Profesional universitario con funciones contractuales._x000a_ Tecnico Administrativo"/>
    <x v="0"/>
    <s v="N/A"/>
    <s v="N/A"/>
    <s v="D4 Evaluación de Resultados"/>
    <s v="POLÍTICA 3 Planeación Institucional"/>
    <s v="2. Incorporar las mejores prácticas organizacionales y tecnológicas que garanticen calidad e integridad de la gestión pública."/>
    <s v="16. Gestion contractual"/>
    <s v="2. Plan anual de adquisiciones"/>
    <n v="0.25"/>
    <s v="Marzo"/>
  </r>
  <r>
    <x v="4"/>
    <n v="5"/>
    <s v="Efectuar seguimiento a la gestión contractual"/>
    <n v="0.2"/>
    <x v="86"/>
    <x v="92"/>
    <n v="0.1"/>
    <s v="Documento de analisis, y propuesta de mejora, si hay lugar"/>
    <n v="1"/>
    <s v="Coordinadora del GIT Gestión Contractual"/>
    <x v="6"/>
    <s v="N/A"/>
    <s v="N/A"/>
    <s v="D4 Evaluación de Resultados"/>
    <s v="POLÍTICA 3 Planeación Institucional"/>
    <s v="2. Incorporar las mejores prácticas organizacionales y tecnológicas que garanticen calidad e integridad de la gestión pública."/>
    <s v="15. Gestión Jurídica"/>
    <s v="2. Plan anual de adquisiciones"/>
    <n v="0.5"/>
    <s v="Marzo"/>
  </r>
  <r>
    <x v="4"/>
    <n v="6"/>
    <s v="Gestionar la defensa judicial en el marco del incremento de la litiogisidad de la Entidad"/>
    <n v="0.2"/>
    <x v="87"/>
    <x v="93"/>
    <n v="0.2"/>
    <s v="Sesiones del comité de conciliación"/>
    <s v="#de comités de conciliación / 11"/>
    <s v="Secretaria técnica del comité de conciliación_x000a_ Profesional especializada con funciones misionales"/>
    <x v="0"/>
    <s v="N/A"/>
    <s v="N/A"/>
    <s v="D4 Evaluación de Resultados"/>
    <s v="POLÍTICA 8 Defensa Jurídica"/>
    <s v="2. Incorporar las mejores prácticas organizacionales y tecnológicas que garanticen calidad e integridad de la gestión pública."/>
    <s v="15. Gestión Jurídica"/>
    <s v="2. Plan anual de adquisiciones"/>
    <n v="0.25"/>
    <s v="Marzo"/>
  </r>
  <r>
    <x v="5"/>
    <n v="1"/>
    <s v="Proyección de demanda"/>
    <n v="0.2"/>
    <x v="0"/>
    <x v="94"/>
    <n v="6.6666666666666666E-2"/>
    <s v="Documento publicado en la web"/>
    <s v="Cumplimiento en la fecha programada"/>
    <s v="William Martinez - Romel Rodriguez - Lina Escobar"/>
    <x v="5"/>
    <s v="N/A"/>
    <m/>
    <s v="D5 Información y Comunicación"/>
    <s v="POLÍTICA 6 Gobierno Digital"/>
    <s v="1. Generar valor económico y social a partir de la aplicación del conocimiento integral de los recursos minero energéticos."/>
    <s v="3. Demanda y Prospectiva Energética"/>
    <s v="N/A"/>
    <n v="0.3"/>
    <s v="Marzo"/>
  </r>
  <r>
    <x v="5"/>
    <n v="1"/>
    <s v="Proyección de demanda"/>
    <n v="0.2"/>
    <x v="1"/>
    <x v="95"/>
    <n v="6.6666666666666666E-2"/>
    <s v="Documento publicado en la web"/>
    <s v="Cumplimiento en la fecha programada"/>
    <s v="Leonardo Camacho - Romel Rodriguez - Lina Escobar"/>
    <x v="5"/>
    <s v="N/A"/>
    <m/>
    <s v="D5 Información y Comunicación"/>
    <s v="POLÍTICA 6 Gobierno Digital"/>
    <s v="1. Generar valor económico y social a partir de la aplicación del conocimiento integral de los recursos minero energéticos."/>
    <s v="3. Demanda y Prospectiva Energética"/>
    <s v="N/A"/>
    <n v="0.3"/>
    <s v="Marzo"/>
  </r>
  <r>
    <x v="5"/>
    <n v="1"/>
    <s v="Proyección de demanda"/>
    <n v="0.2"/>
    <x v="2"/>
    <x v="96"/>
    <n v="6.6666666666666666E-2"/>
    <s v="Documento publicado en la web"/>
    <s v="Cumplimiento en la fecha programada"/>
    <s v="Julieth García - Lina Escobar"/>
    <x v="0"/>
    <s v="N/A"/>
    <m/>
    <s v="D5 Información y Comunicación"/>
    <s v="POLÍTICA 6 Gobierno Digital"/>
    <s v="1. Generar valor económico y social a partir de la aplicación del conocimiento integral de los recursos minero energéticos."/>
    <s v="3. Demanda y Prospectiva Energética"/>
    <s v="N/A"/>
    <n v="0"/>
    <m/>
  </r>
  <r>
    <x v="5"/>
    <n v="2"/>
    <s v="Actualización del PAI-PROURE"/>
    <n v="0.2"/>
    <x v="4"/>
    <x v="97"/>
    <n v="0.1"/>
    <s v="Documento publicado en la web"/>
    <s v="Cumplimiento en la fecha programada"/>
    <s v="Olga Gonzalez - Lina Escobar"/>
    <x v="5"/>
    <s v="Conpes de reactivación económica"/>
    <s v="3 - Asesoría para la seguridad energética y el seguimiento del PEN a nivel Nacional - 2019011000088"/>
    <s v="D6 Gestión del Conocimiento"/>
    <s v="POLÍTICA 15 Gestión del Conocimiento"/>
    <s v="3. Orientar el aprovechamiento y uso eficiente y responsable de los recursos minero - energéticos."/>
    <s v="3. Demanda y Prospectiva Energética"/>
    <s v="N/A"/>
    <n v="0.15"/>
    <s v="Marzo"/>
  </r>
  <r>
    <x v="5"/>
    <n v="2"/>
    <s v="Actualización del PAI-PROURE"/>
    <n v="0.2"/>
    <x v="5"/>
    <x v="98"/>
    <n v="0.1"/>
    <s v="Documento publicado en la web"/>
    <s v="Cumplimiento en la fecha programada"/>
    <s v="Olga Gonzalez - Lina Escobar"/>
    <x v="7"/>
    <s v="Conpes de reactivación económica"/>
    <s v="3 - Asesoría para la seguridad energética y el seguimiento del PEN a nivel Nacional - 2019011000088"/>
    <s v="D6 Gestión del Conocimiento"/>
    <s v="POLÍTICA 15 Gestión del Conocimiento"/>
    <s v="3. Orientar el aprovechamiento y uso eficiente y responsable de los recursos minero - energéticos."/>
    <s v="3. Demanda y Prospectiva Energética"/>
    <s v="N/A"/>
    <n v="0"/>
    <m/>
  </r>
  <r>
    <x v="5"/>
    <n v="3"/>
    <s v="Publicación BECO"/>
    <n v="0.2"/>
    <x v="7"/>
    <x v="99"/>
    <n v="0.1"/>
    <s v="Datos publicados en la web"/>
    <s v="Cumplimiento en la fecha programada"/>
    <s v="Juan Franciso Martinez "/>
    <x v="6"/>
    <s v="N/A"/>
    <m/>
    <s v="D5 Información y Comunicación"/>
    <s v="POLÍTICA 18 Gestión de la Información Estadística"/>
    <s v="1. Generar valor económico y social a partir de la aplicación del conocimiento integral de los recursos minero energéticos."/>
    <s v="3. Demanda y Prospectiva Energética"/>
    <s v="N/A"/>
    <n v="0.6"/>
    <s v="Abril"/>
  </r>
  <r>
    <x v="5"/>
    <n v="3"/>
    <s v="Publicación BECO"/>
    <n v="0.2"/>
    <x v="8"/>
    <x v="100"/>
    <n v="0.1"/>
    <s v="Datos publicados en la web"/>
    <s v="Cumplimiento en la fecha programada"/>
    <s v="Juan Franciso Martinez"/>
    <x v="7"/>
    <s v="N/A"/>
    <m/>
    <s v="D5 Información y Comunicación"/>
    <s v="POLÍTICA 18 Gestión de la Información Estadística"/>
    <s v="1. Generar valor económico y social a partir de la aplicación del conocimiento integral de los recursos minero energéticos."/>
    <s v="3. Demanda y Prospectiva Energética"/>
    <s v="N/A"/>
    <n v="0"/>
    <m/>
  </r>
  <r>
    <x v="5"/>
    <n v="4"/>
    <s v="Observatorio de energía"/>
    <n v="0.2"/>
    <x v="10"/>
    <x v="101"/>
    <n v="0.05"/>
    <s v="Nuevo diseño implementado en la página web"/>
    <s v="% de avance en la puesta a punto"/>
    <s v="Juan Franciso Martinez"/>
    <x v="3"/>
    <s v="N/A"/>
    <m/>
    <s v="D5 Información y Comunicación"/>
    <s v="POLÍTICA 18 Gestión de la Información Estadística"/>
    <s v="1. Generar valor económico y social a partir de la aplicación del conocimiento integral de los recursos minero energéticos."/>
    <s v="3. Demanda y Prospectiva Energética"/>
    <s v="N/A"/>
    <n v="0.05"/>
    <s v="Marzo"/>
  </r>
  <r>
    <x v="5"/>
    <n v="4"/>
    <s v="Observatorio de energía"/>
    <n v="0.2"/>
    <x v="11"/>
    <x v="102"/>
    <n v="0.05"/>
    <s v="Documentos publicados en la web"/>
    <s v="# de publicaciones realizadas/# publicaciones programadas"/>
    <s v="Romel Rodriguez"/>
    <x v="0"/>
    <s v="N/A"/>
    <m/>
    <s v="D5 Información y Comunicación"/>
    <s v="POLÍTICA 18 Gestión de la Información Estadística"/>
    <s v="1. Generar valor económico y social a partir de la aplicación del conocimiento integral de los recursos minero energéticos."/>
    <s v="3. Demanda y Prospectiva Energética"/>
    <s v="N/A"/>
    <n v="8.3333333333333329E-2"/>
    <s v="Febrero"/>
  </r>
  <r>
    <x v="5"/>
    <n v="4"/>
    <s v="Observatorio de energía"/>
    <n v="0.2"/>
    <x v="12"/>
    <x v="103"/>
    <n v="0.05"/>
    <s v="Datos publicados en la web"/>
    <s v="# de publicaciones realizadas/# publicaciones programadas"/>
    <s v="Maria Paula Rojas"/>
    <x v="0"/>
    <s v="N/A"/>
    <m/>
    <s v="D5 Información y Comunicación"/>
    <s v="POLÍTICA 18 Gestión de la Información Estadística"/>
    <s v="1. Generar valor económico y social a partir de la aplicación del conocimiento integral de los recursos minero energéticos."/>
    <s v="3. Demanda y Prospectiva Energética"/>
    <s v="N/A"/>
    <n v="0"/>
    <m/>
  </r>
  <r>
    <x v="5"/>
    <n v="4"/>
    <s v="Observatorio de energía"/>
    <n v="0.2"/>
    <x v="13"/>
    <x v="104"/>
    <n v="0.05"/>
    <s v="DAtos publicados en la web"/>
    <s v="# de publicaciones realizadas/# publicaciones programadas"/>
    <s v="William Martienez"/>
    <x v="0"/>
    <s v="N/A"/>
    <m/>
    <s v="D5 Información y Comunicación"/>
    <s v="POLÍTICA 18 Gestión de la Información Estadística"/>
    <s v="1. Generar valor económico y social a partir de la aplicación del conocimiento integral de los recursos minero energéticos."/>
    <s v="3. Demanda y Prospectiva Energética"/>
    <s v="N/A"/>
    <n v="0.33333333333333331"/>
    <s v="Abril"/>
  </r>
  <r>
    <x v="5"/>
    <n v="5"/>
    <s v="Mejoras incentivos tributarios"/>
    <n v="0.2"/>
    <x v="88"/>
    <x v="105"/>
    <n v="6.6666666666666666E-2"/>
    <s v="Talleres virtuales por redes sociales"/>
    <s v="# de talleres realizados/# talleres programados"/>
    <s v="Omar Baez"/>
    <x v="0"/>
    <s v="N/A"/>
    <m/>
    <s v="D5 Información y Comunicación"/>
    <s v="POLÍTICA 9 Transparencia, Acceso a la Información y lucha contra la Corrupción"/>
    <s v="2. Incorporar las mejores prácticas organizacionales y tecnológicas que garanticen calidad e integridad de la gestión pública."/>
    <s v="8. Gestion conceptos tecnicos"/>
    <s v="N/A"/>
    <n v="0.25"/>
    <s v="Marzo"/>
  </r>
  <r>
    <x v="5"/>
    <n v="5"/>
    <s v="Mejoras incentivos tributarios"/>
    <n v="0.2"/>
    <x v="89"/>
    <x v="106"/>
    <n v="6.6666666666666666E-2"/>
    <s v="Tablero de control"/>
    <s v="% de avance del tablero"/>
    <s v="Omar Baez - Lina Escobar"/>
    <x v="6"/>
    <s v="N/A"/>
    <m/>
    <s v="D3 Gestión para Resultados con Valores"/>
    <s v="POLÍTICA 13 Seguimiento y Evaluación del Desempeño Institucional"/>
    <s v="2. Incorporar las mejores prácticas organizacionales y tecnológicas que garanticen calidad e integridad de la gestión pública."/>
    <s v="8. Gestion conceptos tecnicos"/>
    <s v="N/A"/>
    <n v="0.5"/>
    <s v="Marzo"/>
  </r>
  <r>
    <x v="5"/>
    <n v="5"/>
    <s v="Mejoras incentivos tributarios"/>
    <n v="0.2"/>
    <x v="90"/>
    <x v="107"/>
    <n v="6.6666666666666666E-2"/>
    <s v="Capacitación al personal de la oficina de fondos"/>
    <s v="% de avance en la capacitación"/>
    <s v="Omar Baez - Lina Escobar"/>
    <x v="6"/>
    <s v="N/A"/>
    <m/>
    <s v="D6 Gestión del Conocimiento"/>
    <s v="POLÍTICA 15 Gestión del Conocimiento"/>
    <s v="2. Incorporar las mejores prácticas organizacionales y tecnológicas que garanticen calidad e integridad de la gestión pública."/>
    <s v="8. Gestion conceptos tecnicos"/>
    <s v="N/A"/>
    <n v="0.5"/>
    <s v="Marzo"/>
  </r>
  <r>
    <x v="6"/>
    <n v="1"/>
    <s v="Formular el Plan Nacional de Desarrollo Minero con Enfoque territorial"/>
    <n v="0.6"/>
    <x v="0"/>
    <x v="108"/>
    <n v="0.09"/>
    <s v="Documento que consolide el marco conceptual del PND con enfoque territorial y establezca  la unidad de análisis  para abordar la región del Cesar y la Gujira"/>
    <s v="Documentos realizados"/>
    <s v="JUAN CARLOS LOAIZA"/>
    <x v="2"/>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n v="0.09"/>
    <s v="Marzo"/>
  </r>
  <r>
    <x v="6"/>
    <n v="1"/>
    <s v="Formular el Plan Nacional de Desarrollo Minero con Enfoque territorial"/>
    <n v="0.6"/>
    <x v="1"/>
    <x v="109"/>
    <n v="0.27"/>
    <s v="Documento con la caracterización integral de la unidad de análisis establecida "/>
    <s v="Documentos realizados"/>
    <s v="JUAN CARLOS LOAIZA"/>
    <x v="10"/>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n v="1"/>
    <s v="Formular el Plan Nacional de Desarrollo Minero con Enfoque territorial"/>
    <n v="0.6"/>
    <x v="2"/>
    <x v="110"/>
    <n v="0.12"/>
    <s v="Documento con el análisis prospectivo realizado"/>
    <s v="Documentos realizados"/>
    <s v="JUAN CARLOS LOAIZA"/>
    <x v="11"/>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n v="1"/>
    <s v="Formular el Plan Nacional de Desarrollo Minero con Enfoque territorial"/>
    <n v="0.6"/>
    <x v="3"/>
    <x v="111"/>
    <n v="0.12"/>
    <s v="Documento con la formulación de estratégias de gestión del territorio"/>
    <s v="Documentos realizados"/>
    <s v="JUAN CARLOS LOAIZA"/>
    <x v="0"/>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n v="2"/>
    <s v="Fijar los precios de los diferentes minerales para la liquidación de las regalías"/>
    <n v="0.1"/>
    <x v="4"/>
    <x v="112"/>
    <n v="2.5000000000000001E-2"/>
    <s v="Resoluciones de precios de Carbón, Minerales Metálicos, Minerales no metálicos y Niquel"/>
    <s v="Oportunidad en la fijación de precios para liquidación de regalías de los minerales"/>
    <s v="JORGE FORERO/ ALEJANDRO GALVEZ"/>
    <x v="3"/>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n v="2.5000000000000001E-2"/>
    <s v="Marzo"/>
  </r>
  <r>
    <x v="6"/>
    <n v="2"/>
    <s v="Fijar los precios de los diferentes minerales para la liquidación de las regalías"/>
    <n v="0.1"/>
    <x v="5"/>
    <x v="112"/>
    <n v="2.5000000000000001E-2"/>
    <s v="Resoluciones precios de Carbón, Minerales Metálicos y Niq"/>
    <s v="Oportunidad en la fijación de precios para liquidación de regalías de los minerales"/>
    <s v="JORGE FORERO/ ALEJANDRO GALVEZ"/>
    <x v="5"/>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n v="2"/>
    <s v="Fijar los precios de los diferentes minerales para la liquidación de las regalías"/>
    <n v="0.1"/>
    <x v="6"/>
    <x v="112"/>
    <n v="2.5000000000000001E-2"/>
    <s v="Elaboración propuesta actos administrativos &quot;Resoluciones de precios Trimestre III &quot;"/>
    <s v="Oportunidad en la fijación de precios para liquidación de regalías de los minerales"/>
    <s v="JORGE FORERO/ ALEJANDRO GALVEZ"/>
    <x v="7"/>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n v="2"/>
    <s v="Fijar los precios de los diferentes minerales para la liquidación de las regalías"/>
    <n v="0.1"/>
    <x v="14"/>
    <x v="112"/>
    <n v="2.5000000000000001E-2"/>
    <s v="Elaboración propuesta actos administrativos &quot;Resoluciones de precios Trimestre IV&quot;"/>
    <s v="Oportunidad en la fijación de precios para liquidación de regalías de los minerales"/>
    <s v="JORGE FORERO/ ALEJANDRO GALVEZ"/>
    <x v="0"/>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n v="3"/>
    <s v="Elaborar estudios como insumo para la planeación, para análisis del comportamiento e incidencia, así como los requerimientos del sector minero"/>
    <n v="0.2"/>
    <x v="7"/>
    <x v="113"/>
    <n v="0.03"/>
    <s v="Cuenta satélite para 32 Minerales"/>
    <s v="Documentos realizados"/>
    <s v="CAMILO GOMEZ"/>
    <x v="10"/>
    <s v="PND  - PE 2018-2022 SUBSECTOR MINERÍA"/>
    <s v="7 - Asesoría para promover el desarrollo sostenible y la competitividad del sector minero Nacional - 2019011000300"/>
    <s v="D2 Direccionamiento Estratégico y Planeación"/>
    <s v="POLÍTICA 3 Planeación Institucional"/>
    <s v="3. Orientar el aprovechamiento y uso eficiente y responsable de los recursos minero - energéticos."/>
    <s v="6. Planeación Estratégica e Integral de Minerales"/>
    <s v="N/A"/>
    <m/>
    <m/>
  </r>
  <r>
    <x v="6"/>
    <n v="3"/>
    <s v="Elaborar estudios como insumo para la planeación, para análisis del comportamiento e incidencia, así como los requerimientos del sector minero"/>
    <n v="0.2"/>
    <x v="8"/>
    <x v="114"/>
    <n v="0.02"/>
    <s v="Documento con diseño  y resultado de prueba Web"/>
    <s v="Documentos realizados"/>
    <s v="CAMILO GOMEZ"/>
    <x v="4"/>
    <s v="PND  - PE 2018-2022 SUBSECTOR MINERÍA"/>
    <s v="7 - Asesoría para promover el desarrollo sostenible y la competitividad del sector minero Nacional - 2019011000300"/>
    <s v="D2 Direccionamiento Estratégico y Planeación"/>
    <s v="POLÍTICA 3 Planeación Institucional"/>
    <s v="3. Orientar el aprovechamiento y uso eficiente y responsable de los recursos minero - energéticos."/>
    <s v="6. Planeación Estratégica e Integral de Minerales"/>
    <s v="N/A"/>
    <m/>
    <m/>
  </r>
  <r>
    <x v="6"/>
    <n v="3"/>
    <s v="Elaborar estudios como insumo para la planeación, para análisis del comportamiento e incidencia, así como los requerimientos del sector minero"/>
    <n v="0.2"/>
    <x v="9"/>
    <x v="115"/>
    <n v="0.03"/>
    <s v="Modelo que permita generar los pronosticos en terminos de volumen de los minerales considerados  y los escenarios "/>
    <s v="Pronosticos de mercado nacional actualizados en el SIMCO"/>
    <s v="JORGE FORERO "/>
    <x v="0"/>
    <s v="DECRETO 1258/2013"/>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n v="3"/>
    <s v="Elaborar estudios como insumo para la planeación, para análisis del comportamiento e incidencia, así como los requerimientos del sector minero"/>
    <n v="0.2"/>
    <x v="60"/>
    <x v="116"/>
    <n v="0.05"/>
    <s v="Elaborar insumos técnicos relacionados con la gestión de riesgos del sector minero como aporte al diseño de mecanismos para la formalización, legalización y acceso a la financiación en el sector minero"/>
    <s v="Documentos realizados"/>
    <s v="ALEJANDRO GALVEZ"/>
    <x v="8"/>
    <s v="DECRETO 1258/2014"/>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n v="3"/>
    <s v="Elaborar estudios como insumo para la planeación, para análisis del comportamiento e incidencia, así como los requerimientos del sector minero"/>
    <n v="0.2"/>
    <x v="61"/>
    <x v="117"/>
    <n v="0.03"/>
    <s v="Documento cadena de valor en la zona norte del país"/>
    <s v="Documentos realizados"/>
    <s v="SORAYA VARGAS"/>
    <x v="7"/>
    <s v="PND  - PE 2018-2022 SUBSECTOR MINERÍA"/>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n v="3"/>
    <s v="Hoja de Ruta de cobre "/>
    <n v="0.2"/>
    <x v="62"/>
    <x v="118"/>
    <n v="0.02"/>
    <s v="Documento con actualización del informe 2020"/>
    <s v="Documentos realizados"/>
    <s v="RUBEN CHANCÍ"/>
    <x v="4"/>
    <s v="PND  - PE 2018-2022 SUBSECTOR MINERÍA"/>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n v="3"/>
    <s v="Actualización analisis de costos de transporte multimodal de carbón de exportación del interior del país. "/>
    <n v="0.2"/>
    <x v="63"/>
    <x v="119"/>
    <n v="0.02"/>
    <s v="Documento con actualización de datos de entrada del modelo: costos de transporte, costos de extracción y reservas entre otros; con datos sobre costos en los nodos de transferencia entre un modo de transporte y otro; con análisis comparativos y complementarios con el esquema de cálculo de costos de transporte georeferenciado entregado por Incoplan y BI2, con identifiacción de cada uno de los centros de producción (minas), centros de acopio y puertos de destino, documentando los datos ingresados en cada caso. "/>
    <s v="Documentos realizados"/>
    <s v="FREDY ROJAS"/>
    <x v="0"/>
    <s v="PND  - PE 2018-2022 SUBSECTOR MINERÍA"/>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n v="4"/>
    <s v="Mejorar el flujo, calidad y el análisis de lal información que nutre el Sistema de Información Minero Colombinao - SIMCO"/>
    <n v="0.1"/>
    <x v="10"/>
    <x v="120"/>
    <n v="0.01"/>
    <s v="Suscripción online de la publicación Metal Bulletin"/>
    <s v="Renovación de la suscripción "/>
    <s v="ALEJANDRO GALVEZ"/>
    <x v="3"/>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n v="0.01"/>
    <s v="Marzo"/>
  </r>
  <r>
    <x v="6"/>
    <n v="4"/>
    <s v="Mejorar el flujo, calidad y el análisis de lal información que nutre el Sistema de Información Minero Colombinao - SIMCO"/>
    <n v="0.1"/>
    <x v="11"/>
    <x v="120"/>
    <n v="0.01"/>
    <s v="Adquirir la Suscripción Wood Mackenzie"/>
    <s v="Renovación de la suscripción "/>
    <s v="RUBEN CHANCÍ"/>
    <x v="7"/>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n v="4"/>
    <s v="Mejorar el flujo, calidad y el análisis de lal información que nutre el Sistema de Información Minero Colombinao - SIMCO"/>
    <n v="0.1"/>
    <x v="12"/>
    <x v="120"/>
    <n v="0.01"/>
    <s v="Realizar la renovación de la suscripción on line de argus media"/>
    <s v="Renovación de la suscripción "/>
    <s v="JORGE FORERO"/>
    <x v="3"/>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n v="0.01"/>
    <s v="Marzo"/>
  </r>
  <r>
    <x v="6"/>
    <n v="4"/>
    <s v="Mejorar el flujo, calidad y el análisis de lal información que nutre el Sistema de Información Minero Colombinao - SIMCO"/>
    <n v="0.1"/>
    <x v="13"/>
    <x v="120"/>
    <n v="0.01"/>
    <s v="Suscripción online de la publicación the baltic exchange"/>
    <s v="Renovación de la suscripción "/>
    <s v="JORGE FORERO"/>
    <x v="0"/>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n v="4"/>
    <s v="Mejorar el flujo, calidad y el análisis de lal información que nutre el Sistema de Información Minero Colombinao - SIMCO"/>
    <n v="0.1"/>
    <x v="67"/>
    <x v="121"/>
    <n v="0.02"/>
    <s v="78 Reportes actualizado"/>
    <s v="Reportes Tableau disponibles en el SIMCO"/>
    <s v="CARLOS MEDINA"/>
    <x v="0"/>
    <s v="PND"/>
    <s v="7 - Asesoría para promover el desarrollo sostenible y la competitividad del sector minero Nacional - 2019011000300"/>
    <s v="D2 Direccionamiento Estratégico y Planeación"/>
    <s v="POLÍTICA 18 Gestión de la Información Estadística"/>
    <s v="1. Generar valor económico y social a partir de la aplicación del conocimiento integral de los recursos minero energéticos."/>
    <s v="6. Planeación Estratégica e Integral de Minerales"/>
    <s v="N/A"/>
    <m/>
    <m/>
  </r>
  <r>
    <x v="6"/>
    <n v="4"/>
    <s v="Mejorar el flujo, calidad y el análisis de lal información que nutre el Sistema de Información Minero Colombinao - SIMCO"/>
    <n v="0.1"/>
    <x v="68"/>
    <x v="122"/>
    <n v="0.02"/>
    <s v="Invetario consolidado semestralmente"/>
    <s v="Reportes Tableau disponibles en el SIMCO"/>
    <s v="CARLOS MEDINA"/>
    <x v="0"/>
    <s v="PND"/>
    <s v="7 - Asesoría para promover el desarrollo sostenible y la competitividad del sector minero Nacional - 2019011000300"/>
    <s v="D2 Direccionamiento Estratégico y Planeación"/>
    <s v="POLÍTICA 18 Gestión de la Información Estadística"/>
    <s v="1. Generar valor económico y social a partir de la aplicación del conocimiento integral de los recursos minero energéticos."/>
    <s v="6. Planeación Estratégica e Integral de Minerales"/>
    <s v="N/A"/>
    <m/>
    <m/>
  </r>
  <r>
    <x v="6"/>
    <n v="4"/>
    <s v="Mejorar el flujo, calidad y el análisis de lal información que nutre el Sistema de Información Minero Colombinao - SIMCO"/>
    <n v="0.1"/>
    <x v="91"/>
    <x v="123"/>
    <n v="0.02"/>
    <s v="4 Temas actualizados"/>
    <s v="Reportes Tableau disponibles en el SIMCO"/>
    <s v="CARLOS MEDINA"/>
    <x v="0"/>
    <s v="PND"/>
    <s v="7 - Asesoría para promover el desarrollo sostenible y la competitividad del sector minero Nacional - 2019011000300"/>
    <s v="D2 Direccionamiento Estratégico y Planeación"/>
    <s v="POLÍTICA 18 Gestión de la Información Estadística"/>
    <s v="1. Generar valor económico y social a partir de la aplicación del conocimiento integral de los recursos minero energéticos."/>
    <s v="6. Planeación Estratégica e Integral de Minerales"/>
    <s v="N/A"/>
    <m/>
    <m/>
  </r>
  <r>
    <x v="7"/>
    <n v="1"/>
    <s v="Formular, ejecutar, hacer seguimiento y evaluación a los planes relacionados con la gestión del Talento Humano de acuerdo con el MIPG"/>
    <n v="0.51"/>
    <x v="0"/>
    <x v="124"/>
    <n v="1.5454545454545455E-2"/>
    <s v="Documento con la formulación del Plan Estratégico del Talento Humano publicado en la página de la entidad"/>
    <s v="(N° de actividades ejecutadas / N° de actividades planificadas) *100"/>
    <s v="Coordinadora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n v="1.7299999999999999E-2"/>
    <s v="Enero"/>
  </r>
  <r>
    <x v="7"/>
    <n v="1"/>
    <s v="Formular, ejecutar, hacer seguimiento y evaluación a los planes relacionados con la gestión del Talento Humano de acuerdo con el MIPG"/>
    <n v="0.51"/>
    <x v="1"/>
    <x v="125"/>
    <n v="1.5454545454545455E-2"/>
    <s v="Evidencia del cumplimiento trimestral de las actividades mediante la casilla &quot;Producto&quot; que se encuentra en el PETH."/>
    <s v="(N° de actividades ejecutadas / N° de actividades planificadas) *100"/>
    <s v="Coordinadora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n v="1.7299999999999999E-2"/>
    <s v="Marzo"/>
  </r>
  <r>
    <x v="7"/>
    <n v="1"/>
    <s v="Formular, ejecutar, hacer seguimiento y evaluación a los planes relacionados con la gestión del Talento Humano de acuerdo con el MIPG"/>
    <n v="0.51"/>
    <x v="2"/>
    <x v="126"/>
    <n v="1.5454545454545455E-2"/>
    <s v="Evidencia del cumplimiento trimestral de las actividades mediante la casilla &quot;Producto&quot; que se encuentra en el PETH."/>
    <s v="(N° de actividades ejecutadas / N° de actividades planificadas) *100"/>
    <s v="Coordinadora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n v="1"/>
    <s v="Formular, ejecutar, hacer seguimiento y evaluación a los planes relacionados con la gestión del Talento Humano de acuerdo con el MIPG"/>
    <n v="0.51"/>
    <x v="3"/>
    <x v="126"/>
    <n v="1.5454545454545455E-2"/>
    <s v="Evidencia del cumplimiento trimestral de las actividades mediante la casilla &quot;Producto&quot; que se encuentra en el PETH."/>
    <s v="(N° de actividades ejecutadas / N° de actividades planificadas) *100"/>
    <s v="Coordinadora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n v="1"/>
    <s v="Formular, ejecutar, hacer seguimiento y evaluación a los planes relacionados con la gestión del Talento Humano de acuerdo con el MIPG"/>
    <n v="0.51"/>
    <x v="42"/>
    <x v="126"/>
    <n v="1.5454545454545455E-2"/>
    <s v="Evidencia del cumplimiento trimestral de las actividades mediante la casilla &quot;Producto&quot; que se encuentra en el PETH."/>
    <s v="(N° de actividades ejecutadas / N° de actividades planificadas) *100"/>
    <s v="Coordinadora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n v="1"/>
    <s v="Formular, ejecutar, hacer seguimiento y evaluación a los planes relacionados con la gestión del Talento Humano de acuerdo con el MIPG"/>
    <n v="0.51"/>
    <x v="43"/>
    <x v="127"/>
    <n v="1.5454545454545455E-2"/>
    <s v="Documento con la formulación del Plan de Bienestar Social e Incentivos publicado en la página de la entidad"/>
    <s v="(N° de actividades ejecutadas / N° de actividades planificadas) *100"/>
    <s v="Coordinadora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n v="1.7299999999999999E-2"/>
    <s v="Enero"/>
  </r>
  <r>
    <x v="7"/>
    <n v="1"/>
    <s v="Formular, ejecutar, hacer seguimiento y evaluación a los planes relacionados con la gestión del Talento Humano de acuerdo con el MIPG"/>
    <n v="0.51"/>
    <x v="44"/>
    <x v="128"/>
    <n v="1.5454545454545455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n v="1.7299999999999999E-2"/>
    <s v="Marzo"/>
  </r>
  <r>
    <x v="7"/>
    <n v="1"/>
    <s v="Formular, ejecutar, hacer seguimiento y evaluación a los planes relacionados con la gestión del Talento Humano de acuerdo con el MIPG"/>
    <n v="0.51"/>
    <x v="45"/>
    <x v="128"/>
    <n v="1.5454545454545455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m/>
    <m/>
  </r>
  <r>
    <x v="7"/>
    <n v="1"/>
    <s v="Formular, ejecutar, hacer seguimiento y evaluación a los planes relacionados con la gestión del Talento Humano de acuerdo con el MIPG"/>
    <n v="0.51"/>
    <x v="46"/>
    <x v="128"/>
    <n v="1.5454545454545455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m/>
    <m/>
  </r>
  <r>
    <x v="7"/>
    <n v="1"/>
    <s v="Formular, ejecutar, hacer seguimiento y evaluación a los planes relacionados con la gestión del Talento Humano de acuerdo con el MIPG"/>
    <n v="0.51"/>
    <x v="47"/>
    <x v="128"/>
    <n v="1.5454545454545455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m/>
    <m/>
  </r>
  <r>
    <x v="7"/>
    <n v="1"/>
    <s v="Formular, ejecutar, hacer seguimiento y evaluación a los planes relacionados con la gestión del Talento Humano de acuerdo con el MIPG"/>
    <n v="0.51"/>
    <x v="48"/>
    <x v="129"/>
    <n v="1.5454545454545455E-2"/>
    <s v="Documento con la formulación del Plan institucional de Capacitación publicado en la página de la entidad"/>
    <s v="(N° de actividades ejecutadas / N° de actividades planificadas) *100"/>
    <s v="Profesional Especializado 2028 grado 19 a cargo del proceso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6. Plan institucional de capacitación"/>
    <n v="1.7299999999999999E-2"/>
    <s v="Enero"/>
  </r>
  <r>
    <x v="7"/>
    <n v="1"/>
    <s v="Formular, ejecutar, hacer seguimiento y evaluación a los planes relacionados con la gestión del Talento Humano de acuerdo con el MIPG"/>
    <n v="0.51"/>
    <x v="49"/>
    <x v="130"/>
    <n v="1.5454545454545455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3"/>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n v="0"/>
    <s v="Marzo"/>
  </r>
  <r>
    <x v="7"/>
    <n v="1"/>
    <s v="Formular, ejecutar, hacer seguimiento y evaluación a los planes relacionados con la gestión del Talento Humano de acuerdo con el MIPG"/>
    <n v="0.51"/>
    <x v="50"/>
    <x v="130"/>
    <n v="1.5454545454545455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5"/>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m/>
    <m/>
  </r>
  <r>
    <x v="7"/>
    <n v="1"/>
    <s v="Formular, ejecutar, hacer seguimiento y evaluación a los planes relacionados con la gestión del Talento Humano de acuerdo con el MIPG"/>
    <n v="0.51"/>
    <x v="51"/>
    <x v="130"/>
    <n v="1.5454545454545455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7"/>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m/>
    <m/>
  </r>
  <r>
    <x v="7"/>
    <n v="1"/>
    <s v="Formular, ejecutar, hacer seguimiento y evaluación a los planes relacionados con la gestión del Talento Humano de acuerdo con el MIPG"/>
    <n v="0.51"/>
    <x v="52"/>
    <x v="130"/>
    <n v="1.5454545454545455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0"/>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m/>
    <m/>
  </r>
  <r>
    <x v="7"/>
    <n v="1"/>
    <s v="Formular, ejecutar, hacer seguimiento y evaluación a los planes relacionados con la gestión del Talento Humano de acuerdo con el MIPG"/>
    <n v="0.51"/>
    <x v="53"/>
    <x v="129"/>
    <n v="1.5454545454545455E-2"/>
    <s v="Documento con la formulación del Plan de Seguridad y Salud en el Trabajo publicado en la página de la entidad"/>
    <s v="(N° de actividades ejecutadas / N° de actividades planificadas) *100"/>
    <s v="Profesional a cargo del tema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n v="1.7299999999999999E-2"/>
    <s v="Enero"/>
  </r>
  <r>
    <x v="7"/>
    <n v="1"/>
    <s v="Formular, ejecutar, hacer seguimiento y evaluación a los planes relacionados con la gestión del Talento Humano de acuerdo con el MIPG"/>
    <n v="0.51"/>
    <x v="54"/>
    <x v="131"/>
    <n v="1.5454545454545455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n v="1.5599999999999999E-2"/>
    <s v="Marzo"/>
  </r>
  <r>
    <x v="7"/>
    <n v="1"/>
    <s v="Formular, ejecutar, hacer seguimiento y evaluación a los planes relacionados con la gestión del Talento Humano de acuerdo con el MIPG"/>
    <n v="0.51"/>
    <x v="55"/>
    <x v="131"/>
    <n v="1.5454545454545455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m/>
    <m/>
  </r>
  <r>
    <x v="7"/>
    <n v="1"/>
    <s v="Formular, ejecutar, hacer seguimiento y evaluación a los planes relacionados con la gestión del Talento Humano de acuerdo con el MIPG"/>
    <n v="0.51"/>
    <x v="56"/>
    <x v="131"/>
    <n v="1.5454545454545455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m/>
    <m/>
  </r>
  <r>
    <x v="7"/>
    <n v="1"/>
    <s v="Formular, ejecutar, hacer seguimiento y evaluación a los planes relacionados con la gestión del Talento Humano de acuerdo con el MIPG"/>
    <n v="0.51"/>
    <x v="57"/>
    <x v="131"/>
    <n v="1.5454545454545455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m/>
    <m/>
  </r>
  <r>
    <x v="7"/>
    <n v="1"/>
    <s v="Formular, ejecutar, hacer seguimiento y evaluación a los planes relacionados con la gestión del Talento Humano de acuerdo con el MIPG"/>
    <n v="0.51"/>
    <x v="58"/>
    <x v="132"/>
    <n v="1.5454545454545455E-2"/>
    <s v="Documento con la formulación del Plan de Previsión de recursos humanos, publicado en la página de la entidad"/>
    <s v="(N° de actividades ejecutadas / N° de actividades planificadas) *100"/>
    <s v="Profesional a cargo del tema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n v="1.7299999999999999E-2"/>
    <s v="Enero"/>
  </r>
  <r>
    <x v="7"/>
    <n v="1"/>
    <s v="Formular, ejecutar, hacer seguimiento y evaluación a los planes relacionados con la gestión del Talento Humano de acuerdo con el MIPG"/>
    <n v="0.51"/>
    <x v="59"/>
    <x v="133"/>
    <n v="1.5454545454545455E-2"/>
    <s v="Documentos aprobados por la UPME/ radicados ante la CNSC"/>
    <s v="(N° de documentos elaborados y aprobados / N° de documentos requeridos) *100"/>
    <s v="Profesional Espec 2028-19 a cargo del tema Acuerdos de Gestión- GIT Talento Humano y Atención al Ciudadano"/>
    <x v="12"/>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n v="1"/>
    <s v="Formular, ejecutar, hacer seguimiento y evaluación a los planes relacionados con la gestión del Talento Humano de acuerdo con el MIPG"/>
    <n v="0.51"/>
    <x v="92"/>
    <x v="133"/>
    <n v="1.5454545454545455E-2"/>
    <s v="Actualización OPEC"/>
    <s v="(N° de documentos elaborados y aprobados / N° de documentos requeridos) *100"/>
    <s v="Profesional Espec 2028-19 a cargo del tema Acuerdos de Gestión- GIT Talento Humano y Atención al Ciudadano"/>
    <x v="11"/>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n v="1"/>
    <s v="Formular, ejecutar, hacer seguimiento y evaluación a los planes relacionados con la gestión del Talento Humano de acuerdo con el MIPG"/>
    <n v="0.51"/>
    <x v="93"/>
    <x v="134"/>
    <n v="1.5454545454545455E-2"/>
    <s v="Certificado de pago del valor faltante a la CNSC"/>
    <s v="(N° de pagos ejecutados / N° de pagos pendientes) *100"/>
    <s v="Profesional Espec 2028-19 a cargo del tema Acuerdos de Gestión-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n v="1.7299999999999999E-2"/>
    <s v="Febrero"/>
  </r>
  <r>
    <x v="7"/>
    <n v="1"/>
    <s v="Formular, ejecutar, hacer seguimiento y evaluación a los planes relacionados con la gestión del Talento Humano de acuerdo con el MIPG"/>
    <n v="0.51"/>
    <x v="94"/>
    <x v="135"/>
    <n v="1.5454545454545455E-2"/>
    <s v="Nóminas mensuales, pagos mensuales de seguridad social (Planillas)"/>
    <s v="(N° de nóminas pagadas / N° de nóminas planificadas) *100"/>
    <s v="Profesional Espec 2028-19 a cargo del tema Nómin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n v="1.7299999999999999E-2"/>
    <s v="Marzo"/>
  </r>
  <r>
    <x v="7"/>
    <n v="1"/>
    <s v="Formular, ejecutar, hacer seguimiento y evaluación a los planes relacionados con la gestión del Talento Humano de acuerdo con el MIPG"/>
    <n v="0.51"/>
    <x v="95"/>
    <x v="135"/>
    <n v="1.5454545454545455E-2"/>
    <s v="Nóminas mensuales, pagos mensuales de seguridad social (Planillas)"/>
    <s v="(N° de nóminas pagadas / N° de nóminas planificadas) *100"/>
    <s v="Profesional Espec 2028-19 a cargo del tema Nómina -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n v="1"/>
    <s v="Formular, ejecutar, hacer seguimiento y evaluación a los planes relacionados con la gestión del Talento Humano de acuerdo con el MIPG"/>
    <n v="0.51"/>
    <x v="96"/>
    <x v="135"/>
    <n v="1.5454545454545455E-2"/>
    <s v="Nóminas mensuales, pagos mensuales de seguridad social (Planillas)"/>
    <s v="(N° de nóminas pagadas / N° de nóminas planificadas) *100"/>
    <s v="Profesional Espec 2028-19 a cargo del tema Nómina -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n v="1"/>
    <s v="Formular, ejecutar, hacer seguimiento y evaluación a los planes relacionados con la gestión del Talento Humano de acuerdo con el MIPG"/>
    <n v="0.51"/>
    <x v="97"/>
    <x v="135"/>
    <n v="1.5454545454545455E-2"/>
    <s v="Nóminas mensuales, pagos mensuales de seguridad social (Planillas)"/>
    <s v="(N° de nóminas pagadas / N° de nóminas planificadas) *100"/>
    <s v="Profesional Espec 2028-19 a cargo del tema Nómina -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n v="1"/>
    <s v="Formular, ejecutar, hacer seguimiento y evaluación a los planes relacionados con la gestión del Talento Humano de acuerdo con el MIPG"/>
    <n v="0.51"/>
    <x v="98"/>
    <x v="136"/>
    <n v="1.5454545454545455E-2"/>
    <s v="Circular para la comunidad sobre los lineamintos para el uso del Smart People"/>
    <s v="(N° de comunicaciones difundidas / N° de comunicaciones requeridas) *100"/>
    <s v="Profesional Espec 2028-19 a cargo del tema Nómina - GIT Talento Humano y Atención al Ciudadano"/>
    <x v="2"/>
    <s v="N/A"/>
    <s v="N/A"/>
    <s v="D3 Gestión para Resultados con Valores"/>
    <s v="POLÍTICA 5 Fortalecimiento Organizacional y Simplificación de Procesos"/>
    <s v="2. Incorporar las mejores prácticas organizacionales y tecnológicas que garanticen calidad e integridad de la gestión pública."/>
    <s v="1. Direccionamiento Estratégico"/>
    <s v="4. Plan de previsión de recursos humanos"/>
    <n v="1.7299999999999999E-2"/>
    <s v="Marzo"/>
  </r>
  <r>
    <x v="7"/>
    <n v="1"/>
    <s v="Formular, ejecutar, hacer seguimiento y evaluación a los planes relacionados con la gestión del Talento Humano de acuerdo con el MIPG"/>
    <n v="0.51"/>
    <x v="99"/>
    <x v="137"/>
    <n v="1.5454545454545455E-2"/>
    <s v="Procedimiento de nómina actualizado."/>
    <s v="(N° de procedimientos actualizados / N° de procedimientos requeridos) *100"/>
    <s v="Profesional Espec 2028-19 a cargo del tema Nómina - GIT Talento Humano y Atención al Ciudadano"/>
    <x v="4"/>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n v="1"/>
    <s v="Formular, ejecutar, hacer seguimiento y evaluación a los planes relacionados con la gestión del Talento Humano de acuerdo con el MIPG"/>
    <n v="0.51"/>
    <x v="100"/>
    <x v="138"/>
    <n v="1.5454545454545455E-2"/>
    <s v="Documento con la formulación del Plan de Anual de Vacantes, publicado en la página de la entidad"/>
    <s v="(N° de documentos elaborados y aprobados / N° de documentos requeridos) *100"/>
    <s v="Profesional Espec 2028-19 a cargo del tema Nómina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3. Plan anual de vacantes"/>
    <n v="1.7299999999999999E-2"/>
    <s v="Enero"/>
  </r>
  <r>
    <x v="7"/>
    <n v="1"/>
    <s v="Formular, ejecutar, hacer seguimiento y evaluación a los planes relacionados con la gestión del Talento Humano de acuerdo con el MIPG"/>
    <n v="0.51"/>
    <x v="101"/>
    <x v="139"/>
    <n v="1.5454545454545455E-2"/>
    <s v="Acto administrativo con la provisión de los cargos vacantes"/>
    <s v="(N° de vacates cubiertas / N° de vacantes disponibles) *100"/>
    <s v="Profesional Espec 2028-19 a cargo del tema Nómina - GIT Talento Humano y Atención al Ciudadano"/>
    <x v="6"/>
    <s v="N/A"/>
    <s v="N/A"/>
    <s v="D1 Talento Humano"/>
    <s v="POLÍTICA 1 Gestión Estratégica del Talento Humano"/>
    <s v="2. Incorporar las mejores prácticas organizacionales y tecnológicas que garanticen calidad e integridad de la gestión pública."/>
    <s v="11. Gestión del Talento Humano"/>
    <s v="3. Plan anual de vacantes"/>
    <m/>
    <m/>
  </r>
  <r>
    <x v="7"/>
    <n v="1"/>
    <s v="Formular, ejecutar, hacer seguimiento y evaluación a los planes relacionados con la gestión del Talento Humano de acuerdo con el MIPG"/>
    <n v="0.51"/>
    <x v="102"/>
    <x v="139"/>
    <n v="1.5454545454545455E-2"/>
    <s v="Acto administrativo con la provisión de los cargos vacantes"/>
    <s v="(N° de vacates cubiertas / N° de vacantes disponibles) *100"/>
    <s v="Profesional Espec 2028-19 a cargo del tema Nómina - GIT Talento Humano y Atención al Ciudadano"/>
    <x v="12"/>
    <s v="N/A"/>
    <s v="N/A"/>
    <s v="D1 Talento Humano"/>
    <s v="POLÍTICA 1 Gestión Estratégica del Talento Humano"/>
    <s v="2. Incorporar las mejores prácticas organizacionales y tecnológicas que garanticen calidad e integridad de la gestión pública."/>
    <s v="11. Gestión del Talento Humano"/>
    <s v="3. Plan anual de vacantes"/>
    <m/>
    <m/>
  </r>
  <r>
    <x v="7"/>
    <n v="2"/>
    <s v="Liderar el proceso de modernización institucional"/>
    <n v="0.3"/>
    <x v="4"/>
    <x v="140"/>
    <n v="3.7499999999999999E-2"/>
    <s v="Manual de funciones actualizado."/>
    <s v="(N° de documentos elaborados y aprobados / N° de documentos requeridos) *100"/>
    <s v="Coordinadora GIT de Talento Humano y Atención al ciudadano"/>
    <x v="4"/>
    <s v="N/A"/>
    <s v="N/A"/>
    <s v="D3 Gestión para Resultados con Valores"/>
    <s v="POLÍTICA 5 Fortalecimiento Organizacional y Simplificación de Procesos"/>
    <s v="2. Incorporar las mejores prácticas organizacionales y tecnológicas que garanticen calidad e integridad de la gestión pública."/>
    <s v="1. Direccionamiento Estratégico"/>
    <s v="4. Plan de previsión de recursos humanos"/>
    <m/>
    <m/>
  </r>
  <r>
    <x v="7"/>
    <n v="2"/>
    <s v="Liderar el proceso de modernización institucional"/>
    <n v="0.3"/>
    <x v="5"/>
    <x v="141"/>
    <n v="3.7499999999999999E-2"/>
    <s v="Documento con la propuesta del nuevo manual de funciones, ajustado al proceso de modernización."/>
    <s v="(N° de documentos elaborados y aprobados / N° de documentos requeridos) *100"/>
    <s v="Coordinadora GIT de Talento Humano y Atención al ciudadano"/>
    <x v="5"/>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n v="2"/>
    <s v="Liderar el proceso de modernización institucional"/>
    <n v="0.3"/>
    <x v="6"/>
    <x v="142"/>
    <n v="3.7499999999999999E-2"/>
    <s v="Documento con la propuesta de financiación para la nueva planta del proceso de  modernización."/>
    <s v="(N° de documentos elaborados y aprobados / N° de documentos requeridos) *100"/>
    <s v="Coordinadora GIT de Talento Humano y Atención al ciudadano"/>
    <x v="5"/>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n v="2"/>
    <s v="Liderar el proceso de modernización institucional"/>
    <n v="0.3"/>
    <x v="14"/>
    <x v="143"/>
    <n v="3.7499999999999999E-2"/>
    <s v="Proyecto de decretos necesarios para el rediseño institucional."/>
    <s v="(N° de actos administrativos elaborados y aprobados / N° de actos administrativos requeridos) *100"/>
    <s v="Coordinadora GIT de Talento Humano y Atención al ciudadano"/>
    <x v="7"/>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n v="2"/>
    <s v="Liderar el proceso de modernización institucional"/>
    <n v="0.3"/>
    <x v="15"/>
    <x v="144"/>
    <n v="3.7499999999999999E-2"/>
    <s v="Radicación de la solicitud de aprobación de la propuesta de rediseño institucional ante el Ministerio de Energía."/>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n v="2"/>
    <s v="Liderar el proceso de modernización institucional"/>
    <n v="0.3"/>
    <x v="16"/>
    <x v="145"/>
    <n v="3.7499999999999999E-2"/>
    <s v="Radicación de la solicitud de aprobación de la propuesta de rediseño institucional ante el Ministerio de Ghacienda y Crédito Público."/>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n v="2"/>
    <s v="Liderar el proceso de modernización institucional"/>
    <n v="0.3"/>
    <x v="17"/>
    <x v="146"/>
    <n v="3.7499999999999999E-2"/>
    <s v="Radicación de la solicitud de aprobación de la propuesta de rediseño institucional ante el Departamento Administrativo de la Función Pública."/>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n v="2"/>
    <s v="Liderar el proceso de modernización institucional"/>
    <n v="0.3"/>
    <x v="18"/>
    <x v="147"/>
    <n v="3.7499999999999999E-2"/>
    <s v="Radicación de la solicitud de aprobación de la propuesta de rediseño institucional ante la Presidencia de la República."/>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n v="4"/>
    <s v="Elaboración y ejecución de la política de asistencia al ciudadano de la UPME"/>
    <n v="7.0000000000000007E-2"/>
    <x v="10"/>
    <x v="148"/>
    <n v="2.3333333333333334E-2"/>
    <s v="Evidencia del cumplimiento trimestral de las actividades correspondientes a Talento humano, consignadas en el cronograma de ejecución del Plan Anticorrupción y de Atención al Ciudadano (PAAC)"/>
    <s v="(N° de actividades ejecutadas / N° de actividades planificadas) *100"/>
    <s v="Profesional a cargo del tema - GIT Talento Humano y Atención al Ciudadano"/>
    <x v="3"/>
    <s v="N/A"/>
    <s v="N/A"/>
    <s v="D3 Gestión para Resultados con Valores"/>
    <s v="POLÍTICA 10 Servicio al ciudadano"/>
    <s v="2. Incorporar las mejores prácticas organizacionales y tecnológicas que garanticen calidad e integridad de la gestión pública."/>
    <s v="13. Participacion y servicio al ciudadano"/>
    <s v="9. Plan anticorrupción y de atención al ciudadano"/>
    <n v="1.7500000000000002E-2"/>
    <s v="Marzo"/>
  </r>
  <r>
    <x v="7"/>
    <n v="4"/>
    <s v="Elaboración y ejecución de la política de asistencia al ciudadano de la UPME"/>
    <n v="7.0000000000000007E-2"/>
    <x v="11"/>
    <x v="149"/>
    <n v="2.3333333333333334E-2"/>
    <s v="Evidencia del cumplimiento trimestral de las actividades correspondientes a Talento humano, consignadas en el cronograma de ejecución del Plan Anticorrupción y de Atención al Ciudadano (PAAC)"/>
    <s v="(N° de actividades ejecutadas / N° de actividades planificadas) *100"/>
    <s v="Profesional a cargo del tema - GIT Talento Humano y Atención al Ciudadano"/>
    <x v="5"/>
    <s v="N/A"/>
    <s v="N/A"/>
    <s v="D3 Gestión para Resultados con Valores"/>
    <s v="POLÍTICA 10 Servicio al ciudadano"/>
    <s v="2. Incorporar las mejores prácticas organizacionales y tecnológicas que garanticen calidad e integridad de la gestión pública."/>
    <s v="13. Participacion y servicio al ciudadano"/>
    <s v="9. Plan anticorrupción y de atención al ciudadano"/>
    <m/>
    <m/>
  </r>
  <r>
    <x v="7"/>
    <n v="4"/>
    <s v="Elaboración y ejecución de la política de asistencia al ciudadano de la UPME"/>
    <n v="7.0000000000000007E-2"/>
    <x v="12"/>
    <x v="150"/>
    <n v="2.3333333333333334E-2"/>
    <s v="Evidencia del cumplimiento trimestral de las actividades correspondientes a Talento humano, consignadas en el cronograma de ejecución del Plan Anticorrupción y de Atención al Ciudadano (PAAC)"/>
    <s v="(N° de actividades ejecutadas / N° de actividades planificadas) *100"/>
    <s v="Profesional a cargo del tema - GIT Talento Humano y Atención al Ciudadano"/>
    <x v="7"/>
    <s v="N/A"/>
    <s v="N/A"/>
    <s v="D3 Gestión para Resultados con Valores"/>
    <s v="POLÍTICA 10 Servicio al ciudadano"/>
    <s v="2. Incorporar las mejores prácticas organizacionales y tecnológicas que garanticen calidad e integridad de la gestión pública."/>
    <s v="13. Participacion y servicio al ciudadano"/>
    <s v="9. Plan anticorrupción y de atención al ciudadano"/>
    <m/>
    <m/>
  </r>
  <r>
    <x v="7"/>
    <n v="6"/>
    <s v="Implementación del programa de teletrabajo en la entidad en un 35%"/>
    <n v="0.03"/>
    <x v="103"/>
    <x v="151"/>
    <n v="1.4999999999999999E-2"/>
    <s v="Evidencia del cumplimiento trimestral de las actividades relacionadas con la planeación e implementación del programa de Teletrabajo en la entidad."/>
    <s v="(N° de actividades ejecutadas / N° de actividades planificadas) *100"/>
    <s v="Profesional a cargo del tema - GIT Talento Humano y Atención al Ciudadano"/>
    <x v="6"/>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n v="6"/>
    <s v="Implementación del programa de teletrabajo en la entidad en un 35%"/>
    <n v="0.03"/>
    <x v="104"/>
    <x v="151"/>
    <n v="1.4999999999999999E-2"/>
    <s v="Evidencia del cumplimiento trimestral de las actividades relacionadas con la planeación e implementación del programa de Teletrabajo en la entidad."/>
    <s v="(N° de actividades ejecutadas / N° de actividades planificadas) *100"/>
    <s v="Profesional a cargo del tema - GIT Talento Humano y Atención al Ciudadano"/>
    <x v="12"/>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n v="7"/>
    <s v="Realizar seguimiento a los acuerdos de gestión vigencia 2021 - 2022"/>
    <n v="0.03"/>
    <x v="105"/>
    <x v="152"/>
    <n v="1.4999999999999999E-2"/>
    <s v="Acuerdos de Gestión Firmados y archivados Historia Laboral"/>
    <s v="(N° de acuerdos firmados / N° de gerentes públicos) *100"/>
    <s v="Profesional Espec 2028-19 a cargo del tema Acuerdos de Gestión-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N/A"/>
    <n v="1.4999999999999999E-2"/>
    <s v="Marzo"/>
  </r>
  <r>
    <x v="7"/>
    <n v="7"/>
    <s v="Realizar seguimiento a los acuerdos de gestión vigencia 2021 - 2022"/>
    <n v="0.03"/>
    <x v="106"/>
    <x v="153"/>
    <n v="1.4999999999999999E-2"/>
    <s v="Acuerdos de Gestión Firmados y archivados Historia Laboral"/>
    <s v="(N° de acuerdos firmados / N° de gerentes públicos) *100"/>
    <s v="Profesional Espec 2028-19 a cargo del tema Acuerdos de Gestión-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N/A"/>
    <m/>
    <m/>
  </r>
  <r>
    <x v="7"/>
    <n v="8"/>
    <s v="Realizar seguimiento y gestión para el cumplimiento de las diferentes etapas del proceso de evaluación de desempeño para los funcionarios de carrera administrativa"/>
    <n v="0.03"/>
    <x v="107"/>
    <x v="154"/>
    <n v="1.4999999999999999E-2"/>
    <s v="Evaluaciones de desempeño diligenciadas en la plataforma establecida por la Comisión nacional del Servicio Civil - EDL"/>
    <s v="(N° de evaluaciones y concertación de compromisos cargados / N° de servidores públicos de carrera administrativa) *100"/>
    <s v="Profesional Espec 2028-19 a cargo del tem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N/A"/>
    <n v="1.4999999999999999E-2"/>
    <s v="Marzo"/>
  </r>
  <r>
    <x v="7"/>
    <n v="8"/>
    <s v="Realizar seguimiento y gestión para el cumplimiento de las diferentes etapas del proceso de evaluación de desempeño para los funcionarios de carrera administrativa"/>
    <n v="0.03"/>
    <x v="108"/>
    <x v="154"/>
    <n v="1.4999999999999999E-2"/>
    <s v="Evaluaciones de desempeño diligenciadas en la plataforma establecida por la Comisión nacional del Servicio Civil - EDL"/>
    <s v="(N° de evaluaciones y concertación de compromisos cargados / N° de servidores públicos de carrera administrativa) *100"/>
    <s v="Profesional Espec 2028-19 a cargo del tema - GIT Talento Humano y Atención al Ciudadano"/>
    <x v="10"/>
    <s v="N/A"/>
    <s v="N/A"/>
    <s v="D1 Talento Humano"/>
    <s v="POLÍTICA 1 Gestión Estratégica del Talento Humano"/>
    <s v="2. Incorporar las mejores prácticas organizacionales y tecnológicas que garanticen calidad e integridad de la gestión pública."/>
    <s v="11. Gestión del Talento Humano"/>
    <s v="N/A"/>
    <m/>
    <m/>
  </r>
  <r>
    <x v="7"/>
    <n v="9"/>
    <s v="Realizar seguimiento y gestión para el cumplimiento de las diferentes etapas del proceso de evaluación de la Gestión Institucional para servidores en provisionalidad y de libre nombramiento y remoción, que no ostenten condición de gerentes públicos"/>
    <n v="0.03"/>
    <x v="109"/>
    <x v="155"/>
    <n v="1.4999999999999999E-2"/>
    <s v="Evaluaciones de desempeño diligenciadas en la plataforma establecida por la Comisión nacional del Servicio Civil - EDL"/>
    <s v="(N° de evaluaciones cargadas / N° de servidores públicos de provisionalidad o LNR que no ostenten cargos de gerentes públicos) *100"/>
    <s v="Profesional Espec 2028-19 a cargo del tem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N/A"/>
    <n v="1.4999999999999999E-2"/>
    <s v="Marzo"/>
  </r>
  <r>
    <x v="7"/>
    <n v="9"/>
    <s v="Realizar seguimiento y gestión para el cumplimiento de las diferentes etapas del proceso de evaluación de la Gestión Institucional para servidores en provisionalidad y de libre nombramiento y remoción, que no ostenten condición de gerentes públicos"/>
    <n v="0.03"/>
    <x v="110"/>
    <x v="155"/>
    <n v="1.4999999999999999E-2"/>
    <s v="Evaluaciones de desempeño diligenciadas en la plataforma establecida por la Comisión nacional del Servicio Civil - EDL"/>
    <s v="(N° de evaluaciones cargadas / N° de servidores públicos de provisionalidad o LNR que no ostenten cargos de gerentes públicos) *100"/>
    <s v="Profesional Espec 2028-19 a cargo del tema - GIT Talento Humano y Atención al Ciudadano"/>
    <x v="10"/>
    <s v="N/A"/>
    <s v="N/A"/>
    <s v="D1 Talento Humano"/>
    <s v="POLÍTICA 1 Gestión Estratégica del Talento Humano"/>
    <s v="2. Incorporar las mejores prácticas organizacionales y tecnológicas que garanticen calidad e integridad de la gestión pública."/>
    <s v="11. Gestión del Talento Humano"/>
    <s v="N/A"/>
    <m/>
    <m/>
  </r>
  <r>
    <x v="8"/>
    <n v="1"/>
    <s v="Adelantar campañas de comunicación y acercamiento al ciudadano"/>
    <n v="0.1"/>
    <x v="0"/>
    <x v="156"/>
    <n v="0.04"/>
    <s v="Campañas"/>
    <s v="# campañas realizadas / # campañas planeadas"/>
    <s v="Angie Torres"/>
    <x v="0"/>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n v="0.09"/>
    <s v="Marzo"/>
  </r>
  <r>
    <x v="8"/>
    <n v="1"/>
    <s v="Adelantar campañas de comunicación y acercamiento al ciudadano"/>
    <n v="0.1"/>
    <x v="1"/>
    <x v="157"/>
    <n v="0.06"/>
    <s v="Eventos"/>
    <s v="# eventos realizados / # eventos planeados"/>
    <s v="Oliver Díaz Iglesias"/>
    <x v="0"/>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n v="0.1"/>
    <s v="Marzo"/>
  </r>
  <r>
    <x v="8"/>
    <n v="2"/>
    <s v="Generar diagnóstico de la percepción por parte de los usuarios finales de los servicios de planeación prestados por la entidad"/>
    <n v="0.04"/>
    <x v="4"/>
    <x v="158"/>
    <n v="0.02"/>
    <s v="Informe de caracterización"/>
    <s v="1 documento"/>
    <s v="Oliver Díaz Iglesias"/>
    <x v="10"/>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n v="0.7"/>
    <s v="Marzo"/>
  </r>
  <r>
    <x v="8"/>
    <n v="2"/>
    <s v="Generar diagnóstico de la percepción por parte de los usuarios finales de los servicios de planeación prestados por la entidad"/>
    <n v="0.04"/>
    <x v="5"/>
    <x v="159"/>
    <n v="0.02"/>
    <s v="Informe de resultado de percepción"/>
    <s v="1 documento"/>
    <s v="Angie Torres"/>
    <x v="11"/>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m/>
    <m/>
  </r>
  <r>
    <x v="8"/>
    <n v="3"/>
    <s v="Renovar el web site institucional con énfasis en la interacción con el ciudadano"/>
    <n v="0.1"/>
    <x v="7"/>
    <x v="160"/>
    <n v="0.05"/>
    <s v="Web site"/>
    <s v="Web site actualizado"/>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0. Divulgación Minero Energética"/>
    <s v="N/A"/>
    <m/>
    <m/>
  </r>
  <r>
    <x v="8"/>
    <n v="3"/>
    <s v="Renovar el web site institucional con énfasis en la interacción con el ciudadano"/>
    <n v="0.1"/>
    <x v="8"/>
    <x v="161"/>
    <n v="0.02"/>
    <s v="Evaluación de cumplimiento"/>
    <s v="Lineamientos cumplidos / lineamientos definidos"/>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0. Divulgación Minero Energética"/>
    <s v="N/A"/>
    <m/>
    <m/>
  </r>
  <r>
    <x v="8"/>
    <n v="3"/>
    <s v="Renovar el web site institucional con énfasis en la interacción con el ciudadano"/>
    <n v="0.1"/>
    <x v="9"/>
    <x v="162"/>
    <n v="0.03"/>
    <s v="Portales integrados"/>
    <s v="# portales integrados / # portales programados"/>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0. Divulgación Minero Energética"/>
    <s v="N/A"/>
    <m/>
    <m/>
  </r>
  <r>
    <x v="8"/>
    <n v="4"/>
    <s v="Actualizar la arquitectura empresarial enfocada en el nuevo marco de referencia emitido por MinTIC"/>
    <n v="0.1"/>
    <x v="10"/>
    <x v="163"/>
    <n v="0.1"/>
    <s v="Dominios actualizados"/>
    <s v="Dominios actualizados / dominios definidos en el marco de referencia"/>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n v="5"/>
    <s v="Generar reportes para la difusión y georreferenciación de información de acuerdo con los requerimientos institucionales"/>
    <n v="0.06"/>
    <x v="88"/>
    <x v="164"/>
    <n v="0.03"/>
    <s v="Reportes de información para difundir"/>
    <s v="# reportes generados / # reportes planeados"/>
    <s v="Miguel Barrera"/>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n v="0.15"/>
    <s v="Marzo"/>
  </r>
  <r>
    <x v="8"/>
    <n v="5"/>
    <s v="Generar reportes para la difusión y georreferenciación de información de acuerdo con los requerimientos institucionales"/>
    <n v="0.06"/>
    <x v="89"/>
    <x v="165"/>
    <n v="0.03"/>
    <s v="Información georreferenciada"/>
    <s v="# capas de información georeferenciadas / # capas planeadas"/>
    <s v="Alejandro Barrios"/>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n v="0.05"/>
    <s v="Marzo"/>
  </r>
  <r>
    <x v="8"/>
    <n v="6"/>
    <s v="Diseñar, desarrollar y poner en funcionamiento un cuadro de mando para el seguimiento a la gestión institucional"/>
    <n v="0.03"/>
    <x v="103"/>
    <x v="166"/>
    <n v="0.01"/>
    <s v="Cuadro de mando diseñado"/>
    <s v="1 Documento de diseño"/>
    <s v="Jairo Riaño Moreno"/>
    <x v="6"/>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n v="6"/>
    <s v="Diseñar, desarrollar y poner en funcionamiento un cuadro de mando para el seguimiento a la gestión institucional"/>
    <n v="0.03"/>
    <x v="104"/>
    <x v="167"/>
    <n v="0.01"/>
    <s v="Cuadro de mando desarrollado"/>
    <s v=" %Avance de desarrollo cuadro de mando"/>
    <s v="Jairo Riaño Moreno"/>
    <x v="7"/>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n v="6"/>
    <s v="Diseñar, desarrollar y poner en funcionamiento un cuadro de mando para el seguimiento a la gestión institucional"/>
    <n v="0.03"/>
    <x v="111"/>
    <x v="168"/>
    <n v="0.01"/>
    <s v="Cuadro de mando en funcionamiento"/>
    <s v="Indicadores implementados / Indicadores diseñados"/>
    <s v="Jairo Riaño More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n v="7"/>
    <s v="Implementar la fase 1 del plan unificado de gobierno de datos para la gestión de la información de la entidad"/>
    <n v="0.1"/>
    <x v="105"/>
    <x v="169"/>
    <n v="0.02"/>
    <s v="Acta de comité"/>
    <s v="1 Documento"/>
    <s v="Cesar Jerez"/>
    <x v="3"/>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n v="0.01"/>
    <s v="Marzo"/>
  </r>
  <r>
    <x v="8"/>
    <n v="7"/>
    <s v="Implementar la fase 1 del plan unificado de gobierno de datos para la gestión de la información de la entidad"/>
    <n v="0.1"/>
    <x v="106"/>
    <x v="170"/>
    <n v="0.04"/>
    <s v="Arquitectura de datos"/>
    <s v="1 Documento"/>
    <s v="Cesar Jerez"/>
    <x v="1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n v="7"/>
    <s v="Implementar la fase 1 del plan unificado de gobierno de datos para la gestión de la información de la entidad"/>
    <n v="0.1"/>
    <x v="112"/>
    <x v="171"/>
    <n v="0.04"/>
    <s v="Procedimientos de gestión de datos"/>
    <s v="1 Documento"/>
    <s v="Cesar Jerez"/>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n v="8"/>
    <s v="Desarrollar la fase 2 del proyecto de automatización de procesos misionales"/>
    <n v="0.1"/>
    <x v="107"/>
    <x v="172"/>
    <n v="0.04"/>
    <s v="Documento de requerimientos por proceso identificado"/>
    <s v="Requerimiento procesos levantados / Requerimiento procesos identificados"/>
    <s v="Cesar Jerez"/>
    <x v="9"/>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n v="8"/>
    <s v="Desarrollar la fase 2 del proyecto de automatización de procesos misionales"/>
    <n v="0.1"/>
    <x v="108"/>
    <x v="173"/>
    <n v="0.06"/>
    <s v="Procesos automatizados"/>
    <s v="Procesos automatizados / Procesos identificados"/>
    <s v="Cesar Jerez"/>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n v="9"/>
    <s v="Actualizar el Sistema de Gestión de Seguridad de la Información – SGSI"/>
    <n v="0.06"/>
    <x v="109"/>
    <x v="174"/>
    <n v="0.01"/>
    <s v="Plan de mejoramiento SGSI"/>
    <s v="1 Documento"/>
    <s v="Luis Antonio Hurtado"/>
    <x v="3"/>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n v="0.01"/>
    <s v="Marzo"/>
  </r>
  <r>
    <x v="8"/>
    <n v="9"/>
    <s v="Actualizar el Sistema de Gestión de Seguridad de la Información – SGSI"/>
    <n v="0.06"/>
    <x v="110"/>
    <x v="175"/>
    <n v="0.01"/>
    <s v="Plan de trabajo MSPI"/>
    <s v="1 Documento"/>
    <s v="Luis Antonio Hurtado"/>
    <x v="3"/>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n v="0.01"/>
    <s v="Marzo"/>
  </r>
  <r>
    <x v="8"/>
    <n v="9"/>
    <s v="Actualizar el Sistema de Gestión de Seguridad de la Información – SGSI"/>
    <n v="0.06"/>
    <x v="113"/>
    <x v="176"/>
    <n v="0.02"/>
    <s v="Informes de ejecución plan SGSI"/>
    <s v="% Actividades ejecutadas"/>
    <s v="Luis Antonio Hurtado"/>
    <x v="0"/>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m/>
    <m/>
  </r>
  <r>
    <x v="8"/>
    <n v="9"/>
    <s v="Actualizar el Sistema de Gestión de Seguridad de la Información – SGSI"/>
    <n v="0.06"/>
    <x v="114"/>
    <x v="177"/>
    <n v="0.02"/>
    <s v="Informes de ejecución plan MSPI"/>
    <s v="% Actividades ejecutadas"/>
    <s v="Luis Antonio Hurtado"/>
    <x v="0"/>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m/>
    <m/>
  </r>
  <r>
    <x v="8"/>
    <n v="10"/>
    <s v="Fortalecer la mesa de servicios"/>
    <n v="0.06"/>
    <x v="115"/>
    <x v="178"/>
    <n v="0.03"/>
    <s v="Procedimientos de la mesa de servicios"/>
    <s v="#de procedimientos caracterizados / #de procedimientos identificados "/>
    <s v="José Emilio Ramírez"/>
    <x v="9"/>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n v="10"/>
    <s v="Fortalecer la mesa de servicios"/>
    <n v="0.06"/>
    <x v="116"/>
    <x v="179"/>
    <n v="0.02"/>
    <s v="Herramienta implementada"/>
    <s v="% implementación de la herramienta"/>
    <s v="Edgar Alexander Pérez"/>
    <x v="6"/>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n v="10"/>
    <s v="Fortalecer la mesa de servicios"/>
    <n v="0.06"/>
    <x v="117"/>
    <x v="180"/>
    <n v="0.01"/>
    <s v="Campaña de sensibilización"/>
    <s v="% Avance de la campaña"/>
    <s v="Angie Torres"/>
    <x v="8"/>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n v="11"/>
    <s v="Implementar la solución de escritorios virtuales"/>
    <n v="0.1"/>
    <x v="118"/>
    <x v="181"/>
    <n v="0.03"/>
    <s v="Documento arquitectura de solución"/>
    <s v="1 Documento"/>
    <s v="Jairo Riaño Moreno"/>
    <x v="3"/>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n v="11"/>
    <s v="Implementar la solución de escritorios virtuales"/>
    <n v="0.1"/>
    <x v="119"/>
    <x v="182"/>
    <n v="0.06"/>
    <s v="Solución implementada"/>
    <s v="% Avance de implementación"/>
    <s v="Edgar Alexander Pérez"/>
    <x v="1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n v="11"/>
    <s v="Implementar la solución de escritorios virtuales"/>
    <n v="0.1"/>
    <x v="120"/>
    <x v="183"/>
    <n v="0.01"/>
    <s v="Informes de monitoreo"/>
    <s v="Informes generados / Informes planeados"/>
    <s v="Edgar Alexander Pérez"/>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n v="12"/>
    <s v="Actualizar la infraestructura de red institucional"/>
    <n v="0.06"/>
    <x v="121"/>
    <x v="184"/>
    <n v="0.02"/>
    <s v="Documento arquitectura de solución"/>
    <s v="1 Documento"/>
    <s v="Edgar Alexander Pérez"/>
    <x v="5"/>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n v="12"/>
    <s v="Actualizar la infraestructura de red institucional"/>
    <n v="0.06"/>
    <x v="122"/>
    <x v="182"/>
    <n v="0.04"/>
    <s v="Solución implementada"/>
    <s v="% Avance de implementación"/>
    <s v="Edgar Alexander Pérez"/>
    <x v="7"/>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n v="13"/>
    <s v="Migrar la solución de telefonía IP implementada en la entidad"/>
    <n v="0.03"/>
    <x v="123"/>
    <x v="185"/>
    <n v="0.01"/>
    <s v="Documento arquitectura de solución"/>
    <s v="1 Documento"/>
    <s v="Edgar Alexander Pérez"/>
    <x v="9"/>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n v="13"/>
    <s v="Migrar la solución de telefonía IP implementada en la entidad"/>
    <n v="0.03"/>
    <x v="124"/>
    <x v="182"/>
    <n v="0.02"/>
    <s v="Solución implementada"/>
    <s v="% Avance de implementación"/>
    <s v="Edgar Alexander Pérez"/>
    <x v="7"/>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n v="14"/>
    <s v="Implementar el DRP acorde con las necesidades institucionales"/>
    <n v="0.06"/>
    <x v="125"/>
    <x v="186"/>
    <n v="0.02"/>
    <s v="Documento arquitectura de solución"/>
    <s v="1 Documento"/>
    <s v="Luis Antonio Hurtado"/>
    <x v="4"/>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n v="4.0000000000000001E-3"/>
    <s v="Marzo"/>
  </r>
  <r>
    <x v="8"/>
    <n v="14"/>
    <s v="Implementar el DRP acorde con las necesidades institucionales"/>
    <n v="0.06"/>
    <x v="126"/>
    <x v="182"/>
    <n v="0.04"/>
    <s v="Solución implementada"/>
    <s v="% Avance de implementación"/>
    <s v="Edgar Alexander Pérez"/>
    <x v="8"/>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m/>
    <m/>
  </r>
  <r>
    <x v="9"/>
    <n v="1"/>
    <s v="Apoyar el proyecto de la modernizacion frente al proceso de gestión documental"/>
    <n v="0.1"/>
    <x v="0"/>
    <x v="187"/>
    <n v="0.05"/>
    <s v="Documentos"/>
    <s v="#documentos/#documentos revisados"/>
    <s v="Coordinación GITGA"/>
    <x v="10"/>
    <s v="N/A"/>
    <s v="N/A"/>
    <s v="D1 Talento Humano"/>
    <s v="POLÍTICA 1 Gestión Estratégica del Talento Humano"/>
    <s v="2. Incorporar las mejores prácticas organizacionales y tecnológicas que garanticen calidad e integridad de la gestión pública."/>
    <s v="1. Direccionamiento Estratégico"/>
    <s v="N/A"/>
    <n v="0"/>
    <s v="Marzo"/>
  </r>
  <r>
    <x v="9"/>
    <n v="1"/>
    <s v="Apoyar el proyecto de la modernizacion frente al proceso de gestión documental"/>
    <n v="0.1"/>
    <x v="127"/>
    <x v="188"/>
    <n v="0.05"/>
    <s v="Documentos"/>
    <s v="#documentos entregados/#documentos revisados"/>
    <s v="Coordinación GITGA"/>
    <x v="10"/>
    <s v="N/A"/>
    <s v="N/A"/>
    <s v="D2 Direccionamiento Estratégico y Planeación"/>
    <s v="POLÍTICA 5 Fortalecimiento Organizacional y Simplificación de Procesos"/>
    <s v="2. Incorporar las mejores prácticas organizacionales y tecnológicas que garanticen calidad e integridad de la gestión pública."/>
    <s v="1. Direccionamiento Estratégico"/>
    <s v="N/A"/>
    <n v="0"/>
    <s v="Marzo"/>
  </r>
  <r>
    <x v="9"/>
    <n v="2"/>
    <s v="Implementar el proceso de evaluación de provisionales y seguimiento a los indicadores de gestión"/>
    <n v="0.1"/>
    <x v="4"/>
    <x v="87"/>
    <n v="0.1"/>
    <s v="Formato y documento"/>
    <s v="#compromisos concertados para la evaluación/#evaluación realizada"/>
    <s v="Coordinador GITGA"/>
    <x v="0"/>
    <s v="N/A"/>
    <s v="N/A"/>
    <s v="D4 Evaluación de Resultados"/>
    <s v="POLÍTICA 13 Seguimiento y Evaluación del Desempeño Institucional"/>
    <s v="2. Incorporar las mejores prácticas organizacionales y tecnológicas que garanticen calidad e integridad de la gestión pública."/>
    <s v="19. Evaluación y Control"/>
    <s v="N/A"/>
    <n v="0.05"/>
    <s v="Marzo"/>
  </r>
  <r>
    <x v="9"/>
    <n v="3"/>
    <s v="Gestionar la adopción del programa de gestión documental e implentar su contenido"/>
    <n v="0.6"/>
    <x v="7"/>
    <x v="189"/>
    <n v="0.2"/>
    <s v="Documento con el programa de gestión documental"/>
    <s v="Documento aprobado"/>
    <s v="Profesional especializado con funciones de gestión documental y coordinación del grupo interno de trabajo"/>
    <x v="4"/>
    <s v="N/A"/>
    <s v="N/A"/>
    <s v="D3 Gestión para Resultados con Valores"/>
    <s v="POLÍTICA 14 Gestión Documental"/>
    <s v="2. Incorporar las mejores prácticas organizacionales y tecnológicas que garanticen calidad e integridad de la gestión pública."/>
    <s v="18. Gestion documental"/>
    <s v="1. Plan institucional de archivos de la entidad - PINAR"/>
    <n v="0.16"/>
    <s v="Marzo"/>
  </r>
  <r>
    <x v="9"/>
    <n v="3"/>
    <s v="Gestionar la adopción del programa de gestión documental e implentar su contenido"/>
    <n v="0.6"/>
    <x v="8"/>
    <x v="190"/>
    <n v="0.2"/>
    <s v="Documento con actualizaciones/ Flujo de gestión"/>
    <s v="# instrumentos archivisticos aprobados e implementados/Flujo documental ajustado e implementado"/>
    <s v="Profesional con funciones de gestión documental y coordinación del grupo interno de trabajo"/>
    <x v="0"/>
    <s v="N/A"/>
    <s v="N/A"/>
    <s v="D3 Gestión para Resultados con Valores"/>
    <s v="POLÍTICA 14 Gestión Documental"/>
    <s v="2. Incorporar las mejores prácticas organizacionales y tecnológicas que garanticen calidad e integridad de la gestión pública."/>
    <s v="18. Gestion documental"/>
    <s v="1. Plan institucional de archivos de la entidad - PINAR"/>
    <n v="0.03"/>
    <s v="Marzo"/>
  </r>
  <r>
    <x v="9"/>
    <n v="3"/>
    <s v="Gestionar la adopción del programa de gestión documental e implentar su contenido"/>
    <n v="0.6"/>
    <x v="9"/>
    <x v="191"/>
    <n v="0.2"/>
    <s v="Herramienta actualizada"/>
    <s v="# Ajustes a la herramienta orfeo"/>
    <s v="Profesional con funciones de gestión documental y coordinación del grupo interno de trabajo"/>
    <x v="0"/>
    <s v="N/A"/>
    <s v="N/A"/>
    <s v="D3 Gestión para Resultados con Valores"/>
    <s v="POLÍTICA 14 Gestión Documental"/>
    <s v="2. Incorporar las mejores prácticas organizacionales y tecnológicas que garanticen calidad e integridad de la gestión pública."/>
    <s v="18. Gestion documental"/>
    <s v="1. Plan institucional de archivos de la entidad - PINAR"/>
    <n v="0.06"/>
    <s v="Marzo"/>
  </r>
  <r>
    <x v="9"/>
    <n v="4"/>
    <s v="Administrar los bienes, bienes inmuebles y servicios para el funcionamiento de la entidad"/>
    <n v="0.2"/>
    <x v="10"/>
    <x v="192"/>
    <n v="0.1"/>
    <s v="Reportes periodicos"/>
    <s v="Reporte de compras e inventarios actualizado"/>
    <s v="Técnico administrativo con funciones de almacenista y coordinación del grupo interno de trabajo"/>
    <x v="0"/>
    <s v="N/A"/>
    <s v="N/A"/>
    <s v="D3 Gestión para Resultados con Valores"/>
    <s v="POLÍTICA 5 Fortalecimiento Organizacional y Simplificación de Procesos"/>
    <s v="2. Incorporar las mejores prácticas organizacionales y tecnológicas que garanticen calidad e integridad de la gestión pública."/>
    <s v="17. Gestión Servicios Administrativos"/>
    <s v="2. Plan anual de adquisiciones"/>
    <n v="0.02"/>
    <s v="Marzo"/>
  </r>
  <r>
    <x v="9"/>
    <n v="4"/>
    <s v="Administrar los bienes, bienes inmuebles y servicios para el funcionamiento de la entidad"/>
    <n v="0.2"/>
    <x v="11"/>
    <x v="193"/>
    <n v="0.1"/>
    <s v="Estudios previos y soportes e informes"/>
    <s v="# de informes de seguimiento"/>
    <s v="Profesional especializado con funciones de compras y coordinación del grupo interno de trabajo"/>
    <x v="6"/>
    <s v="N/A"/>
    <s v="N/A"/>
    <s v="D3 Gestión para Resultados con Valores"/>
    <s v="POLÍTICA 4 Gestión Presupuestal y Eficiencia del Gasto Público"/>
    <s v="2. Incorporar las mejores prácticas organizacionales y tecnológicas que garanticen calidad e integridad de la gestión pública."/>
    <s v="17. Gestión Servicios Administrativos"/>
    <s v="2. Plan anual de adquisiciones"/>
    <n v="0.03"/>
    <s v="Marzo"/>
  </r>
  <r>
    <x v="10"/>
    <n v="1"/>
    <s v="Proyectar los precios de los energéticos."/>
    <n v="0.1"/>
    <x v="0"/>
    <x v="194"/>
    <n v="2.5000000000000001E-2"/>
    <s v="Bases de datos actualizadas"/>
    <s v="% de avance =_x000a_ (Actividades realizadas / Actividades planeadas)"/>
    <s v="Juan Camilo Torres - Esteban Gómez - Katherine Rodriguez"/>
    <x v="9"/>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1"/>
    <s v="Proyectar los precios de los energéticos."/>
    <n v="0.1"/>
    <x v="1"/>
    <x v="195"/>
    <n v="2.5000000000000001E-2"/>
    <s v="Tablas de resultados"/>
    <s v="% de avance =_x000a_ (Actividades realizadas / Actividades planeadas)"/>
    <s v="Juan Camilo Torres - Esteban Gómez - Katherine Rodriguez"/>
    <x v="9"/>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1"/>
    <s v="Proyectar los precios de los energéticos."/>
    <n v="0.1"/>
    <x v="2"/>
    <x v="196"/>
    <n v="2.5000000000000001E-2"/>
    <s v="Informe con diagnóstico"/>
    <s v="% de avance =_x000a_ (Actividades realizadas / Actividades planeadas)"/>
    <s v="Juan Camilo Torres - Esteban Gómez - Katherine Rodriguez"/>
    <x v="5"/>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1"/>
    <s v="Proyectar los precios de los energéticos."/>
    <n v="0.1"/>
    <x v="3"/>
    <x v="197"/>
    <n v="2.5000000000000001E-2"/>
    <s v="Documento definitivo"/>
    <s v="% de avance =_x000a_ (Actividades realizadas / Actividades planeadas)"/>
    <s v="Juan Camilo Torres - Esteban Gómez - Katherine Rodriguez"/>
    <x v="6"/>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2"/>
    <s v="Convocatorias de gas natural"/>
    <n v="0.2"/>
    <x v="4"/>
    <x v="198"/>
    <n v="3.3000000000000002E-2"/>
    <s v="Circuales, adendas y oficios"/>
    <s v="% de avance =_x000a_ (Actividades realizadas / Actividades planeadas)"/>
    <s v="Sandra Leyva - Andrés Popayán"/>
    <x v="9"/>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n v="2"/>
    <s v="Convocatorias de gas natural"/>
    <n v="0.2"/>
    <x v="5"/>
    <x v="199"/>
    <n v="3.3000000000000002E-2"/>
    <s v="Actas de adjudicación"/>
    <s v="% de avance =_x000a_ (Actividades realizadas / Actividades planeadas)"/>
    <s v="Sandra Leyva - Andrés Popayán"/>
    <x v="0"/>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n v="2"/>
    <s v="Convocatorias de gas natural"/>
    <n v="0.2"/>
    <x v="6"/>
    <x v="200"/>
    <n v="3.3000000000000002E-2"/>
    <s v="Actas de adjudicación"/>
    <s v="% de avance =_x000a_ (Actividades realizadas / Actividades planeadas)"/>
    <s v="Sandra Leyva - Andrés Popayán - Katherine Rodriguez"/>
    <x v="6"/>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n v="2"/>
    <s v="Convocatorias de gas natural"/>
    <n v="0.2"/>
    <x v="14"/>
    <x v="201"/>
    <n v="3.3000000000000002E-2"/>
    <s v="Certificados de cumplimiento"/>
    <s v="% de avance =_x000a_ (Actividades realizadas / Actividades planeadas)"/>
    <s v="Sandra Leyva - Andrés Popayán"/>
    <x v="0"/>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n v="2"/>
    <s v="Convocatorias de gas natural"/>
    <n v="0.2"/>
    <x v="15"/>
    <x v="202"/>
    <n v="3.3000000000000002E-2"/>
    <s v="Resoluciones de proyectos prioritarios"/>
    <s v="% de avance =_x000a_ (Actividades realizadas / Actividades planeadas)"/>
    <s v="Sandra Leyva - Andrés Popayán"/>
    <x v="9"/>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n v="2"/>
    <s v="Convocatorias de gas natural"/>
    <n v="0.2"/>
    <x v="16"/>
    <x v="203"/>
    <n v="3.3000000000000002E-2"/>
    <s v="Sondeos de mercado, términos de referencia, certificados de cumplimiento"/>
    <s v="% de avance =_x000a_ (Actividades realizadas / Actividades planeadas)"/>
    <s v="Sandra Leyva - Andrés Popayán - Katherine Rodriguez"/>
    <x v="0"/>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n v="3"/>
    <s v="Plan de Abastecimiento de Gas Natural 2021"/>
    <n v="0.15"/>
    <x v="7"/>
    <x v="204"/>
    <n v="3.7999999999999999E-2"/>
    <s v="Tablas, bases de datos, gráficas, programas."/>
    <s v="% de avance =_x000a_ (Actividades realizadas / Actividades planeadas)"/>
    <s v="Jaime Andrade - Ibrahim Massy"/>
    <x v="9"/>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3"/>
    <s v="Plan de Abastecimiento de Gas Natural 2021"/>
    <n v="0.15"/>
    <x v="8"/>
    <x v="205"/>
    <n v="3.7999999999999999E-2"/>
    <s v="Documento de avances y soportes"/>
    <s v="% de avance =_x000a_ (Actividades realizadas / Actividades planeadas)"/>
    <s v="Jaime Andrade - Ibrahim Massy - Katherine Rodriguez"/>
    <x v="5"/>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3"/>
    <s v="Plan de Abastecimiento de Gas Natural 2021"/>
    <n v="0.15"/>
    <x v="9"/>
    <x v="206"/>
    <n v="3.7999999999999999E-2"/>
    <s v="Estudio técnico y anexos"/>
    <s v="% de avance =_x000a_ (Actividades realizadas / Actividades planeadas)"/>
    <s v="Jaime Andrade - Ibrahim Massy"/>
    <x v="6"/>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3"/>
    <s v="Plan de Abastecimiento de Gas Natural 2021"/>
    <n v="0.15"/>
    <x v="60"/>
    <x v="207"/>
    <n v="3.7999999999999999E-2"/>
    <s v="Presentaciones, informes"/>
    <s v="% de avance =_x000a_ (Actividades realizadas / Actividades planeadas)"/>
    <s v="Jaime Andrade - Ibrahim Massy"/>
    <x v="10"/>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4"/>
    <s v="Plan Indicativo de Abastecimiento de Combustibles Líquidos"/>
    <n v="0.15"/>
    <x v="10"/>
    <x v="204"/>
    <n v="3.7999999999999999E-2"/>
    <s v="Bases de datos, tablas y gráficas de resultados, informe consolidado."/>
    <s v="% de avance =_x000a_ (Actividades realizadas / Actividades planeadas)"/>
    <s v="Esteban Gómez - Juan Cam ilo Torres - Santiago Hurtado"/>
    <x v="1"/>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3.5000000000000003E-2"/>
    <s v="Enero"/>
  </r>
  <r>
    <x v="10"/>
    <n v="4"/>
    <s v="Plan Indicativo de Abastecimiento de Combustibles Líquidos"/>
    <n v="0.15"/>
    <x v="11"/>
    <x v="205"/>
    <n v="3.7999999999999999E-2"/>
    <s v="Documento de análisis de alternativas"/>
    <s v="% de avance =_x000a_ (Actividades realizadas / Actividades planeadas)"/>
    <s v="Esteban Gómez - Juan Cam ilo Torres - Santiago Hurtado"/>
    <x v="2"/>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3.5000000000000003E-2"/>
    <s v="Febrero"/>
  </r>
  <r>
    <x v="10"/>
    <n v="4"/>
    <s v="Plan Indicativo de Abastecimiento de Combustibles Líquidos"/>
    <n v="0.15"/>
    <x v="12"/>
    <x v="206"/>
    <n v="3.7999999999999999E-2"/>
    <s v="Documento del plan y conclusiones. Anexos con sustentación metodológica."/>
    <s v="% de avance =_x000a_ (Actividades realizadas / Actividades planeadas)"/>
    <s v="Esteban Gómez - Juan Cam ilo Torres - Santiago Hurtado"/>
    <x v="3"/>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3.2000000000000001E-2"/>
    <s v="Marzo"/>
  </r>
  <r>
    <x v="10"/>
    <n v="4"/>
    <s v="Plan Indicativo de Abastecimiento de Combustibles Líquidos"/>
    <n v="0.15"/>
    <x v="13"/>
    <x v="207"/>
    <n v="3.7999999999999999E-2"/>
    <s v="Presentaciones. Resumen ejecutivo"/>
    <s v="% de avance =_x000a_ (Actividades realizadas / Actividades planeadas)"/>
    <s v="Esteban Gómez - Juan Cam ilo Torres - Santiago Hurtado"/>
    <x v="3"/>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0"/>
    <m/>
  </r>
  <r>
    <x v="10"/>
    <n v="5"/>
    <s v="Análisis de eficiencia en el consumo de energéticos (sustitución de leña y expansión de cobertura de gas combustible)."/>
    <n v="0.15"/>
    <x v="88"/>
    <x v="204"/>
    <n v="3.7999999999999999E-2"/>
    <s v="Bases de datos, tablas y gráficas de resultados, informe consolidado."/>
    <s v="% de avance =_x000a_ (Actividades realizadas / Actividades planeadas)"/>
    <s v="Esteban Gómez - Santiago Hurtado - Héctor Herrera - Katherine Rodriguez"/>
    <x v="9"/>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5"/>
    <s v="Análisis de eficiencia en el consumo de energéticos (sustitución de leña y expansión de cobertura de gas combustible)."/>
    <n v="0.15"/>
    <x v="89"/>
    <x v="205"/>
    <n v="3.7999999999999999E-2"/>
    <s v="Documento de análisis de alternativas"/>
    <s v="% de avance =_x000a_ (Actividades realizadas / Actividades planeadas)"/>
    <s v="Esteban Gómez - Héctor Herrera - Katherine Rodriguez"/>
    <x v="6"/>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5"/>
    <s v="Análisis de eficiencia en el consumo de energéticos (sustitución de leña y expansión de cobertura de gas combustible)."/>
    <n v="0.15"/>
    <x v="90"/>
    <x v="206"/>
    <n v="3.7999999999999999E-2"/>
    <s v="Documento del plan y conclusiones. Anexos con sustentación metodológica."/>
    <s v="% de avance =_x000a_ (Actividades realizadas / Actividades planeadas)"/>
    <s v="Esteban Gómez - Santiago Hurtado - Héctor Herrera - Katherine Rodriguez"/>
    <x v="10"/>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5"/>
    <s v="Análisis de eficiencia en el consumo de energéticos (sustitución de leña y expansión de cobertura de gas combustible)."/>
    <n v="0.15"/>
    <x v="128"/>
    <x v="207"/>
    <n v="3.7999999999999999E-2"/>
    <s v="Presentaciones. Resumen ejecutivo"/>
    <s v="% de avance =_x000a_ (Actividades realizadas / Actividades planeadas)"/>
    <s v="Esteban Gómez - Santiago Hurtado - Héctor Herrera - Katherine Rodriguez"/>
    <x v="7"/>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n v="6"/>
    <s v="Calcular la estructura de precios"/>
    <n v="0.05"/>
    <x v="103"/>
    <x v="208"/>
    <n v="1.2500000000000001E-2"/>
    <s v="Archivos con la estructura de precios y formatos para publicación"/>
    <s v="% de avance =_x000a_ (Actividades realizadas / Actividades planeadas)"/>
    <s v="Juan Camilo Torres - Santiago Hurtado"/>
    <x v="3"/>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n v="1.2999999999999999E-2"/>
    <s v="Marzo"/>
  </r>
  <r>
    <x v="10"/>
    <n v="6"/>
    <s v="Calcular la estructura de precios"/>
    <n v="0.05"/>
    <x v="104"/>
    <x v="209"/>
    <n v="1.2500000000000001E-2"/>
    <s v="Archivos con la estructura de precios y formatos para publicación"/>
    <s v="% de avance =_x000a_ (Actividades realizadas / Actividades planeadas)"/>
    <s v="Juan Camilo Torres - Santiago Hurtado"/>
    <x v="5"/>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n v="6"/>
    <s v="Calcular la estructura de precios"/>
    <n v="0.05"/>
    <x v="111"/>
    <x v="210"/>
    <n v="1.2500000000000001E-2"/>
    <s v="Archivos con la estructura de precios y formatos para publicación"/>
    <s v="% de avance =_x000a_ (Actividades realizadas / Actividades planeadas)"/>
    <s v="Juan Camilo Torres - Santiago Hurtado"/>
    <x v="7"/>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n v="6"/>
    <s v="Calcular la estructura de precios"/>
    <n v="0.05"/>
    <x v="129"/>
    <x v="211"/>
    <n v="1.2500000000000001E-2"/>
    <s v="Archivos con la estructura de precios y formatos para publicación"/>
    <s v="% de avance =_x000a_ (Actividades realizadas / Actividades planeadas)"/>
    <s v="Juan Camilo Torres - Santiago Hurtado"/>
    <x v="0"/>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n v="7"/>
    <s v="Trámites y procesos de cupos y compensaciones"/>
    <n v="0.15"/>
    <x v="105"/>
    <x v="212"/>
    <n v="0.05"/>
    <s v="Registro de trámites con cupos asignados"/>
    <s v="% de avance =_x000a_ (Actividades realizadas / Actividades planeadas)"/>
    <s v="Carlos Niño - Santiago Hurtado"/>
    <x v="2"/>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n v="0.05"/>
    <s v="Febrero"/>
  </r>
  <r>
    <x v="10"/>
    <n v="7"/>
    <s v="Trámites y procesos de cupos y compensaciones"/>
    <n v="0.15"/>
    <x v="106"/>
    <x v="213"/>
    <n v="1.25E-3"/>
    <s v="Registro de novedades recibidas y tramitadas"/>
    <s v="% de avance =_x000a_ (Actividades realizadas / Actividades planeadas)"/>
    <s v="Carlos Niño - Santiago Hurtado"/>
    <x v="3"/>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n v="1E-3"/>
    <s v="Marzo"/>
  </r>
  <r>
    <x v="10"/>
    <n v="7"/>
    <s v="Trámites y procesos de cupos y compensaciones"/>
    <n v="0.15"/>
    <x v="112"/>
    <x v="214"/>
    <n v="1.25E-3"/>
    <s v="Registro de novedades recibidas y tramitadas"/>
    <s v="% de avance =_x000a_ (Actividades realizadas / Actividades planeadas)"/>
    <s v="Carlos Niño - Santiago Hurtado"/>
    <x v="5"/>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n v="7"/>
    <s v="Trámites y procesos de cupos y compensaciones"/>
    <n v="0.15"/>
    <x v="130"/>
    <x v="215"/>
    <n v="1.25E-3"/>
    <s v="Registro de novedades recibidas y tramitadas"/>
    <s v="% de avance =_x000a_ (Actividades realizadas / Actividades planeadas)"/>
    <s v="Carlos Niño - Santiago Hurtado"/>
    <x v="7"/>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n v="7"/>
    <s v="Trámites y procesos de cupos y compensaciones"/>
    <n v="0.15"/>
    <x v="131"/>
    <x v="216"/>
    <n v="1.25E-3"/>
    <s v="Registro de novedades recibidas y tramitadas"/>
    <s v="% de avance =_x000a_ (Actividades realizadas / Actividades planeadas)"/>
    <s v="Carlos Niño - Santiago Hurtado"/>
    <x v="0"/>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n v="7"/>
    <s v="Trámites y procesos de cupos y compensaciones"/>
    <n v="0.15"/>
    <x v="132"/>
    <x v="217"/>
    <n v="3.5000000000000003E-2"/>
    <s v="Reporte de volúmenes con derecho a compensación"/>
    <s v="% de avance =_x000a_ (Actividades realizadas / Actividades planeadas)"/>
    <s v="Ibrahim Massy - Carlos Niño"/>
    <x v="4"/>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n v="7"/>
    <s v="Trámites y procesos de cupos y compensaciones"/>
    <n v="0.15"/>
    <x v="133"/>
    <x v="218"/>
    <n v="5.0000000000000001E-3"/>
    <s v="Resolución con listado de grandes consumidores individuales no intermediarios de ACPM - Primer semestre"/>
    <s v="% de avance =_x000a_ (Actividades realizadas / Actividades planeadas)"/>
    <s v="Carlos Niño - Santiago Hurtado"/>
    <x v="5"/>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n v="7"/>
    <s v="Trámites y procesos de cupos y compensaciones"/>
    <n v="0.15"/>
    <x v="134"/>
    <x v="219"/>
    <n v="5.0000000000000001E-3"/>
    <s v="Resolución con listado de grandes consumidores individuales no intermediarios de ACPM - Segundo semestre"/>
    <s v="% de avance =_x000a_ (Actividades realizadas / Actividades planeadas)"/>
    <s v="Carlos Niño - Santiago Hurtado"/>
    <x v="0"/>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n v="7"/>
    <s v="Trámites y procesos de cupos y compensaciones"/>
    <n v="0.15"/>
    <x v="135"/>
    <x v="220"/>
    <n v="0.05"/>
    <s v="Resolución con nueva metodología de compensación de transporte de GLP"/>
    <s v="% de avance =_x000a_ (Actividades realizadas / Actividades planeadas)"/>
    <s v="Andrés Popayán - Esteban Gómez"/>
    <x v="3"/>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n v="3.2000000000000001E-2"/>
    <s v="Marzo"/>
  </r>
  <r>
    <x v="10"/>
    <n v="8"/>
    <s v="Cooperación interinstitucional"/>
    <n v="0.05"/>
    <x v="107"/>
    <x v="221"/>
    <n v="2.5000000000000001E-2"/>
    <s v="Resoluciones de conformación de CNOGas"/>
    <s v="% de avance =_x000a_ (Actividades realizadas / Actividades planeadas)"/>
    <s v="Esteban Gómez - Héctor Herrera"/>
    <x v="4"/>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n v="8"/>
    <s v="Cooperación interinstitucional"/>
    <n v="0.05"/>
    <x v="108"/>
    <x v="222"/>
    <n v="2.5000000000000001E-2"/>
    <s v="Actas y demás documentos derivados de la secretaría técnica del CACSSE"/>
    <s v="% de avance =_x000a_ (Actividades realizadas / Actividades planeadas)"/>
    <s v="Sandra Leyva - Héctor Herrera"/>
    <x v="0"/>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1"/>
    <n v="1"/>
    <s v="Identificar posibilidades y condicionantes de los proyectos de transmisión (alertas tempranas: físicas, sociales, ambientales, etc.) en fase de planeación y en fase de convocatoria."/>
    <n v="0.15"/>
    <x v="0"/>
    <x v="223"/>
    <n v="0.02"/>
    <s v="Solicitud a las entidades involucradas"/>
    <s v="# de solicitudes realizadas / # de solicitudes programadas"/>
    <s v="Grupo Convocatorias"/>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1"/>
    <s v="Identificar posibilidades y condicionantes de los proyectos de transmisión (alertas tempranas: físicas, sociales, ambientales, etc.) en fase de planeación y en fase de convocatoria."/>
    <n v="0.15"/>
    <x v="1"/>
    <x v="224"/>
    <n v="0.02"/>
    <s v="informe para transmision"/>
    <s v="% de avance de la elaboracion del informe para transmisión en fase de planeacion"/>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1"/>
    <s v="Identificar posibilidades y condicionantes de los proyectos de transmisión (alertas tempranas: físicas, sociales, ambientales, etc.) en fase de planeación y en fase de convocatoria."/>
    <n v="0.15"/>
    <x v="2"/>
    <x v="225"/>
    <n v="0.02"/>
    <s v="documento final"/>
    <s v="% de avance de la elaboracion del documento de alertas tempranas en fase de planeacion"/>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1"/>
    <s v="Identificar posibilidades y condicionantes de los proyectos de transmisión (alertas tempranas: físicas, sociales, ambientales, etc.) en fase de planeación y en fase de convocatoria."/>
    <n v="0.15"/>
    <x v="3"/>
    <x v="226"/>
    <n v="0.02"/>
    <s v="Documentos con alertas tempranas"/>
    <s v="# de documentos realiz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1"/>
    <s v="Identificar posibilidades y condicionantes de los proyectos de transmisión (alertas tempranas: físicas, sociales, ambientales, etc.) en fase de planeación y en fase de convocatoria."/>
    <n v="0.15"/>
    <x v="42"/>
    <x v="227"/>
    <n v="0.03"/>
    <s v="Documentos con alertas tempranas"/>
    <s v="# de documentos realiz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1"/>
    <s v="Identificar posibilidades y condicionantes de los proyectos de transmisión (alertas tempranas: físicas, sociales, ambientales, etc.) en fase de planeación y en fase de convocatoria."/>
    <n v="0.15"/>
    <x v="43"/>
    <x v="228"/>
    <n v="0.03"/>
    <s v="Documentos con alertas tempranas"/>
    <s v="# de documentos realiz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1"/>
    <s v="Identificar posibilidades y condicionantes de los proyectos de transmisión (alertas tempranas: físicas, sociales, ambientales, etc.) en fase de planeación y en fase de convocatoria."/>
    <n v="0.15"/>
    <x v="44"/>
    <x v="229"/>
    <n v="2.5000000000000001E-3"/>
    <s v="Documentos con alertas tempranas"/>
    <s v="Ejecución de la actualización del geovisor"/>
    <s v="Grupo Convocatorias"/>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1"/>
    <s v="Identificar posibilidades y condicionantes de los proyectos de transmisión (alertas tempranas: físicas, sociales, ambientales, etc.) en fase de planeación y en fase de convocatoria."/>
    <n v="0.15"/>
    <x v="45"/>
    <x v="230"/>
    <n v="2.5000000000000001E-3"/>
    <s v="Documentos con alertas tempranas"/>
    <s v="Ejecución de la actualización del geovisor"/>
    <s v="Grupo Convocatorias"/>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1"/>
    <s v="Identificar posibilidades y condicionantes de los proyectos de transmisión (alertas tempranas: físicas, sociales, ambientales, etc.) en fase de planeación y en fase de convocatoria."/>
    <n v="0.15"/>
    <x v="46"/>
    <x v="231"/>
    <n v="2.5000000000000001E-3"/>
    <s v="Documentos con alertas tempranas"/>
    <s v="Ejecución de la actualización del geovisor"/>
    <s v="Grupo Convocatorias"/>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1"/>
    <s v="Identificar posibilidades y condicionantes de los proyectos de transmisión (alertas tempranas: físicas, sociales, ambientales, etc.) en fase de planeación y en fase de convocatoria."/>
    <n v="0.15"/>
    <x v="47"/>
    <x v="232"/>
    <n v="2.5000000000000001E-3"/>
    <s v="Documentos con alertas tempranas"/>
    <s v="Ejecución de la actualización del geovisor"/>
    <s v="Grupo Convocatorias"/>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2"/>
    <s v="Realizar el análisis a los procesos de convocatorias y subastas para la estructuración de documentos para la selección del inversionista y de la interventoría, tanto en asuntos jurídicos como en aspectos técnicos. _x000a_ (Contratos de consultorias)"/>
    <n v="0.1"/>
    <x v="4"/>
    <x v="233"/>
    <n v="0.01"/>
    <s v="Ficha para presentar a comité de contratos, solicitud de CDP y Estudios previos"/>
    <s v="% de avance de la elaboracion de los documentos"/>
    <s v="Grupo Convocatorias"/>
    <x v="7"/>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2"/>
    <s v="Realizar el análisis a los procesos de convocatorias y subastas para la estructuración de documentos para la selección del inversionista y de la interventoría, tanto en asuntos jurídicos como en aspectos técnicos. _x000a_ (Contratos de consultorias)"/>
    <n v="0.1"/>
    <x v="6"/>
    <x v="234"/>
    <n v="0.03"/>
    <s v="Informes con los resultados de la contratación"/>
    <s v="% de avance"/>
    <s v="Grupo Convocatorias"/>
    <x v="0"/>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2"/>
    <s v="Realizar el análisis a los procesos de convocatorias y subastas para la estructuración de documentos para la selección del inversionista y de la interventoría, tanto en asuntos jurídicos como en aspectos técnicos. _x000a_ (Contratos de consultorias)"/>
    <n v="0.1"/>
    <x v="14"/>
    <x v="235"/>
    <n v="0.01"/>
    <s v="Ficha para presentar a comité de contratos, solicitud de CDP y Estudios previos"/>
    <s v="% de avance de la elaboracion de los documentos"/>
    <s v="Grupo Convocatorias"/>
    <x v="5"/>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2"/>
    <s v="Realizar el análisis a los procesos de convocatorias y subastas para la estructuración de documentos para la selección del inversionista y de la interventoría, tanto en asuntos jurídicos como en aspectos técnicos. _x000a_ (Contratos de consultorias)"/>
    <n v="0.1"/>
    <x v="15"/>
    <x v="236"/>
    <n v="0.05"/>
    <s v="Informes con los resultados de la contratación"/>
    <s v="% de avance"/>
    <s v="Grupo Convocatorias"/>
    <x v="0"/>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3"/>
    <s v="Estructurar convocatorías públicas y documentos de Selección"/>
    <n v="0.3"/>
    <x v="7"/>
    <x v="237"/>
    <n v="7.4999999999999997E-2"/>
    <s v="Documentos DSI y sus anexos"/>
    <s v="# de documentos realiz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3"/>
    <s v="Estructurar convocatorías públicas y documentos de Selección"/>
    <n v="0.3"/>
    <x v="8"/>
    <x v="238"/>
    <n v="7.4999999999999997E-2"/>
    <s v="Documentos DSI y sus anexos"/>
    <s v="# de documentos realiz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3"/>
    <s v="Estructurar convocatorías públicas y documentos de Selección"/>
    <n v="0.3"/>
    <x v="9"/>
    <x v="239"/>
    <n v="7.4999999999999997E-2"/>
    <s v="Documentos DSI y sus anexos"/>
    <s v="# de documentos realiz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3"/>
    <s v="Estructurar convocatorías públicas y documentos de Selección"/>
    <n v="0.3"/>
    <x v="60"/>
    <x v="240"/>
    <n v="7.4999999999999997E-2"/>
    <s v="Documentos DSI y sus anexos"/>
    <s v="# de documentos realiz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0"/>
    <x v="241"/>
    <n v="0.01"/>
    <s v="- Correo electrónico autorizando la publicacion_x000a_ _x000a_ - Link donde se encuentra publicada la convocatoria"/>
    <s v="# de publicaciones realizadas / # de publicaciones programada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1"/>
    <x v="242"/>
    <n v="0.01"/>
    <s v="Memorando con resultados de la evaluación y la correspondiente Resolución"/>
    <s v="# de documentos public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2"/>
    <x v="243"/>
    <n v="1.4999999999999999E-2"/>
    <s v="Documento de Respuesta"/>
    <s v="# de documentos public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3"/>
    <x v="244"/>
    <n v="2.5000000000000001E-2"/>
    <s v="Acta de apertura, Acta de evalución y Acta de continuación."/>
    <s v="# de documentos public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67"/>
    <x v="245"/>
    <n v="2.5000000000000001E-3"/>
    <s v="Oficio dirgidos a Minenergía y CREG"/>
    <s v="# de documentos envi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68"/>
    <x v="246"/>
    <n v="0.01"/>
    <s v="- Correo electrónico autorizando la publicacion_x000a_ _x000a_ - Link donde se encuentra publicada la convocatoria"/>
    <s v="# de publicaciones realizadas / # de publicaciones programada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91"/>
    <x v="247"/>
    <n v="0.01"/>
    <s v="Memorando con resultados de la evaluación y la correspondiente Resolución"/>
    <s v="# de documentos public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36"/>
    <x v="248"/>
    <n v="1.4999999999999999E-2"/>
    <s v="Documento de Respuesta"/>
    <s v="# de documentos public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37"/>
    <x v="249"/>
    <n v="2.5000000000000001E-2"/>
    <s v="Acta de apertura, Acta de evalución y Acta de continuación."/>
    <s v="# de documentos public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38"/>
    <x v="250"/>
    <n v="2.5000000000000001E-3"/>
    <s v="Oficio dirgidos a Minenergía y CREG"/>
    <s v="# de documentos envi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39"/>
    <x v="251"/>
    <n v="0.01"/>
    <s v="- Correo electrónico autorizando la publicacion_x000a_ _x000a_ - Link donde se encuentra publicada la convocatoria"/>
    <s v="# de publicaciones realizadas / # de publicaciones programada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40"/>
    <x v="252"/>
    <n v="0.01"/>
    <s v="Memorando con resultados de la evaluación y la correspondiente Resolución"/>
    <s v="# de documentos public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41"/>
    <x v="253"/>
    <n v="1.4999999999999999E-2"/>
    <s v="Documento de Respuesta"/>
    <s v="# de documentos public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42"/>
    <x v="254"/>
    <n v="2.5000000000000001E-2"/>
    <s v="Acta de apertura, Acta de evalución y Acta de continuación."/>
    <s v="# de documentos public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43"/>
    <x v="255"/>
    <n v="2.5000000000000001E-3"/>
    <s v="Oficio dirgidos a Minenergía y CREG"/>
    <s v="# de documentos envi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44"/>
    <x v="256"/>
    <n v="0.01"/>
    <s v="- Correo electrónico autorizando la publicacion_x000a_ _x000a_ - Link donde se encuentra publicada la convocatoria"/>
    <s v="# de publicaciones realizadas / # de publicaciones programada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45"/>
    <x v="257"/>
    <n v="0.01"/>
    <s v="Memorando con resultados de la evaluación y la correspondiente Resolución"/>
    <s v="# de documentos public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46"/>
    <x v="258"/>
    <n v="1.4999999999999999E-2"/>
    <s v="Documento de Respuesta"/>
    <s v="# de documentos public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47"/>
    <x v="259"/>
    <n v="2.5000000000000001E-2"/>
    <s v="Acta de apertura, Acta de evalución y Acta de continuación."/>
    <s v="# de documentos public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4"/>
    <s v="Efectuar los procesos de selección de Interventores o Inversionistas."/>
    <n v="0.25"/>
    <x v="148"/>
    <x v="260"/>
    <n v="2.5000000000000001E-3"/>
    <s v="Oficio dirgidos a Minenergía y CREG"/>
    <s v="# de documentos envi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5"/>
    <s v="Efectuar seguimiento a los proyectos en ejecución objeto de convocatoria pública y generar los debidos reportes."/>
    <n v="0.2"/>
    <x v="88"/>
    <x v="261"/>
    <n v="3.5000000000000003E-2"/>
    <s v="- Correo con observaciones a los informes_x000a_ - Oficio con devolución o aprobación de informes"/>
    <s v="# de documentos revisados / # de documentos radic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5"/>
    <s v="Efectuar seguimiento a los proyectos en ejecución objeto de convocatoria pública y generar los debidos reportes."/>
    <n v="0.2"/>
    <x v="89"/>
    <x v="262"/>
    <n v="1.4999999999999999E-2"/>
    <s v="Documento"/>
    <s v="# de documetos realiz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5"/>
    <s v="Efectuar seguimiento a los proyectos en ejecución objeto de convocatoria pública y generar los debidos reportes."/>
    <n v="0.2"/>
    <x v="90"/>
    <x v="263"/>
    <n v="3.5000000000000003E-2"/>
    <s v="- Correo con observaciones a los informes_x000a_ - Oficio con devolución o aprobación de informes"/>
    <s v="# de documentos revisados / # de documentos radic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5"/>
    <s v="Efectuar seguimiento a los proyectos en ejecución objeto de convocatoria pública y generar los debidos reportes."/>
    <n v="0.2"/>
    <x v="128"/>
    <x v="264"/>
    <n v="1.4999999999999999E-2"/>
    <s v="Documento"/>
    <s v="# de documetos realiz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5"/>
    <s v="Efectuar seguimiento a los proyectos en ejecución objeto de convocatoria pública y generar los debidos reportes."/>
    <n v="0.2"/>
    <x v="84"/>
    <x v="265"/>
    <n v="3.5000000000000003E-2"/>
    <s v="- Correo con observaciones a los informes_x000a_ - Oficio con devolución o aprobación de informes"/>
    <s v="# de documentos revisados / # de documentos radic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5"/>
    <s v="Efectuar seguimiento a los proyectos en ejecución objeto de convocatoria pública y generar los debidos reportes."/>
    <n v="0.2"/>
    <x v="85"/>
    <x v="266"/>
    <n v="1.4999999999999999E-2"/>
    <s v="Documento"/>
    <s v="# de documetos realiz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5"/>
    <s v="Efectuar seguimiento a los proyectos en ejecución objeto de convocatoria pública y generar los debidos reportes."/>
    <n v="0.2"/>
    <x v="86"/>
    <x v="267"/>
    <n v="3.5000000000000003E-2"/>
    <s v="- Correo con observaciones a los informes_x000a_ - Oficio con devolución o aprobación de informes"/>
    <s v="# de documentos revisados / # de documentos radic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n v="5"/>
    <s v="Efectuar seguimiento a los proyectos en ejecución objeto de convocatoria pública y generar los debidos reportes."/>
    <n v="0.2"/>
    <x v="149"/>
    <x v="268"/>
    <n v="1.4999999999999999E-2"/>
    <s v="Documento"/>
    <s v="# de documetos realiz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1"/>
    <s v="Elaborar el Plan de Expansión de Transmisión de energía eléctrica (Analisis corto circuito, reconfiguración subestaciones, HVDC, BESS, Smart Wires, ETC)."/>
    <n v="0.2"/>
    <x v="0"/>
    <x v="269"/>
    <n v="0.02"/>
    <s v="Documento y/o presentación donde se presenten los objetivos del plan"/>
    <s v="% cumplimiento actividad"/>
    <s v="Grupo de Transmisión"/>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1"/>
    <s v="Elaborar el Plan de Expansión de Transmisión de energía eléctrica (Analisis corto circuito, reconfiguración subestaciones, HVDC, BESS, Smart Wires, ETC)."/>
    <n v="0.2"/>
    <x v="1"/>
    <x v="270"/>
    <n v="0.05"/>
    <s v="Bases de datos para inicar analisis plan:_x000a_ Ajuste demanda (30%)_x000a_ Ajuste de red (30%)_x000a_ Preparación base de datos (40%)"/>
    <s v="% cumplimiento actividad"/>
    <s v="Grupo de Transmisión"/>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1"/>
    <s v="Elaborar el Plan de Expansión de Transmisión de energía eléctrica (Analisis corto circuito, reconfiguración subestaciones, HVDC, BESS, Smart Wires, ETC)."/>
    <n v="0.2"/>
    <x v="2"/>
    <x v="271"/>
    <n v="5.3999999999999999E-2"/>
    <s v="Plan preliminar:_x000a_ Elaboración Plan Preliminar (90%)"/>
    <s v="% cumplimiento actividad"/>
    <s v="Grupo de Transmisión/subdirección"/>
    <x v="1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1"/>
    <s v="Elaborar el Plan de Expansión de Transmisión de energía eléctrica (Analisis corto circuito, reconfiguración subestaciones, HVDC, BESS, Smart Wires, ETC)."/>
    <n v="0.2"/>
    <x v="2"/>
    <x v="271"/>
    <n v="6.0000000000000001E-3"/>
    <s v="Publicación Plan Preliminar (10%)"/>
    <s v="% cumplimiento actividad"/>
    <s v="Grupo de Transmisión/subdirección"/>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1"/>
    <s v="Elaborar el Plan de Expansión de Transmisión de energía eléctrica (Analisis corto circuito, reconfiguración subestaciones, HVDC, BESS, Smart Wires, ETC)."/>
    <n v="0.2"/>
    <x v="3"/>
    <x v="272"/>
    <n v="7.0000000000000001E-3"/>
    <s v="plan definitvo:_x000a_ Documento respuestass Procesamiento y respuesta observaciones"/>
    <s v="%cumplimiento actividad"/>
    <s v="Grupo de Transmisión/subdirección"/>
    <x v="11"/>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1"/>
    <s v="Elaborar el Plan de Expansión de Transmisión de energía eléctrica (Analisis corto circuito, reconfiguración subestaciones, HVDC, BESS, Smart Wires, ETC)."/>
    <n v="0.2"/>
    <x v="42"/>
    <x v="273"/>
    <n v="5.6000000000000001E-2"/>
    <s v="Elaboración Plan definitivo (80%)"/>
    <s v="%cumplimiento actividad"/>
    <s v="Grupo de Transmisión/subdirec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1"/>
    <s v="Elaborar el Plan de Expansión de Transmisión de energía eléctrica (Analisis corto circuito, reconfiguración subestaciones, HVDC, BESS, Smart Wires, ETC)."/>
    <n v="0.2"/>
    <x v="43"/>
    <x v="274"/>
    <n v="7.0000000000000001E-3"/>
    <s v="Oficio envio Ministerio"/>
    <s v="%cumplimiento actividad"/>
    <s v="Grupo de Transmisión/subdirec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20 MW"/>
    <n v="0.2"/>
    <x v="4"/>
    <x v="275"/>
    <n v="1.2500000000000001E-2"/>
    <s v="Respuesta oportuna"/>
    <s v="% cumplimiento actividad (inferior 6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20 MW"/>
    <n v="0.2"/>
    <x v="5"/>
    <x v="275"/>
    <n v="1.2500000000000001E-2"/>
    <s v="Respuesta oportuna"/>
    <s v="% cumplimiento actividad (inferior 6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20 MW"/>
    <n v="0.2"/>
    <x v="6"/>
    <x v="275"/>
    <n v="1.2500000000000001E-2"/>
    <s v="Respuesta oportuna"/>
    <s v="% cumplimiento actividad (inferior 6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20 MW"/>
    <n v="0.2"/>
    <x v="14"/>
    <x v="275"/>
    <n v="1.2500000000000001E-2"/>
    <s v="Respuesta oportuna"/>
    <s v="% cumplimiento actividad (inferior 6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50 MW"/>
    <n v="0.2"/>
    <x v="15"/>
    <x v="276"/>
    <n v="1.2500000000000001E-2"/>
    <s v="Respuesta oportuna"/>
    <s v="% cumplimiento actividad (inferior 8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50 MW"/>
    <n v="0.2"/>
    <x v="16"/>
    <x v="276"/>
    <n v="1.2500000000000001E-2"/>
    <s v="Respuesta oportuna"/>
    <s v="% cumplimiento actividad (inferior 8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50 MW"/>
    <n v="0.2"/>
    <x v="17"/>
    <x v="276"/>
    <n v="1.2500000000000001E-2"/>
    <s v="Respuesta oportuna"/>
    <s v="% cumplimiento actividad (inferior 8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50 MW"/>
    <n v="0.2"/>
    <x v="18"/>
    <x v="276"/>
    <n v="1.2500000000000001E-2"/>
    <s v="Respuesta oportuna"/>
    <s v="% cumplimiento actividad (inferior 8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100 MW"/>
    <n v="0.2"/>
    <x v="19"/>
    <x v="277"/>
    <n v="1.2500000000000001E-2"/>
    <s v="Respuesta oportuna"/>
    <s v="% cumplimiento actividad (inferior 12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100 MW"/>
    <n v="0.2"/>
    <x v="20"/>
    <x v="277"/>
    <n v="1.2500000000000001E-2"/>
    <s v="Respuesta oportuna"/>
    <s v="% cumplimiento actividad (inferior 12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100 MW"/>
    <n v="0.2"/>
    <x v="21"/>
    <x v="277"/>
    <n v="1.2500000000000001E-2"/>
    <s v="Respuesta oportuna"/>
    <s v="% cumplimiento actividad (inferior 12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lt; 100 MW"/>
    <n v="0.2"/>
    <x v="22"/>
    <x v="277"/>
    <n v="1.2500000000000001E-2"/>
    <s v="Respuesta oportuna"/>
    <s v="% cumplimiento actividad (inferior 12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gt; 100 MW"/>
    <n v="0.2"/>
    <x v="23"/>
    <x v="278"/>
    <n v="1.2500000000000001E-2"/>
    <s v="Respuesta oportuna"/>
    <s v="% cumplimiento actividad (inferior 18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gt; 100 MW"/>
    <n v="0.2"/>
    <x v="24"/>
    <x v="278"/>
    <n v="1.2500000000000001E-2"/>
    <s v="Respuesta oportuna"/>
    <s v="% cumplimiento actividad (inferior 18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gt; 100 MW"/>
    <n v="0.2"/>
    <x v="25"/>
    <x v="278"/>
    <n v="1.2500000000000001E-2"/>
    <s v="Respuesta oportuna"/>
    <s v="% cumplimiento actividad (inferior 18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2"/>
    <s v="Análisis de solicitudes de conexión &gt; 100 MW"/>
    <n v="0.2"/>
    <x v="26"/>
    <x v="278"/>
    <n v="1.2500000000000001E-2"/>
    <s v="Respuesta oportuna"/>
    <s v="% cumplimiento actividad (inferior 18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3"/>
    <s v="Seguimiento Obras STRs"/>
    <n v="0.2"/>
    <x v="7"/>
    <x v="279"/>
    <n v="0.05"/>
    <s v="Seguimiento Obras STRs"/>
    <s v="%cumplimiento actividad"/>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3"/>
    <s v="Seguimiento Obras STRs"/>
    <n v="0.2"/>
    <x v="8"/>
    <x v="279"/>
    <n v="0.05"/>
    <s v="Seguimiento Obras STRs"/>
    <s v="%cumplimiento actividad"/>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3"/>
    <s v="Seguimiento Obras STRs"/>
    <n v="0.2"/>
    <x v="9"/>
    <x v="279"/>
    <n v="0.05"/>
    <s v="Seguimiento Obras STRs"/>
    <s v="%cumplimiento actividad"/>
    <s v="Grupo de Transmisión"/>
    <x v="7"/>
    <s v="N/A"/>
    <m/>
    <m/>
    <m/>
    <m/>
    <m/>
    <m/>
    <m/>
    <m/>
  </r>
  <r>
    <x v="12"/>
    <n v="3"/>
    <s v="Seguimiento Obras STRs"/>
    <n v="0.2"/>
    <x v="60"/>
    <x v="279"/>
    <n v="0.05"/>
    <s v="Seguimiento Obras STRs"/>
    <s v="%cumplimiento actividad"/>
    <s v="Grupo de Transmisión"/>
    <x v="0"/>
    <s v="N/A"/>
    <m/>
    <m/>
    <m/>
    <m/>
    <m/>
    <m/>
    <m/>
    <m/>
  </r>
  <r>
    <x v="12"/>
    <n v="4"/>
    <s v="Análisis HVDC"/>
    <n v="0.2"/>
    <x v="10"/>
    <x v="280"/>
    <n v="0.1"/>
    <s v="Terminos de referencia consultoria"/>
    <s v="% cumplimiento actividad"/>
    <s v="Grupo de Transmisión"/>
    <x v="9"/>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4"/>
    <s v="Análisis HVDC"/>
    <n v="0.2"/>
    <x v="11"/>
    <x v="281"/>
    <n v="0.1"/>
    <s v="documento con recomendaciones finales"/>
    <s v="% cumplimiento actividad"/>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5"/>
    <s v="Misión Transformación"/>
    <n v="0.2"/>
    <x v="88"/>
    <x v="282"/>
    <n v="0.1"/>
    <s v="Documento identificación activiades UPME en temas de planeación STN y STR"/>
    <s v="% cumplimiento actividad"/>
    <s v="Grupo Transmisión"/>
    <x v="9"/>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n v="5"/>
    <s v="Misión Transformación"/>
    <n v="0.2"/>
    <x v="89"/>
    <x v="282"/>
    <n v="0.1"/>
    <s v="Documento estrategia para incorporación actividades UPME en temas de planeación de STN y STR"/>
    <s v="% cumplimiento actividad"/>
    <s v="Grupo Transmisión"/>
    <x v="1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n v="1"/>
    <s v="Elaborar Plan de Expansión de Energía Eléctrica"/>
    <n v="0.6"/>
    <x v="0"/>
    <x v="283"/>
    <n v="0.06"/>
    <s v="Documento y/o presentación donde se presenten los objetivos del Plan"/>
    <s v="% de Avance en la Gestión del Plan de Expansión"/>
    <s v="GIT Generación"/>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s v="Marzo"/>
  </r>
  <r>
    <x v="13"/>
    <n v="1"/>
    <s v="Elaborar Plan de Expansión de Energía Eléctrica"/>
    <n v="0.6"/>
    <x v="1"/>
    <x v="284"/>
    <n v="0.15"/>
    <s v="Bases de datos para iniciar análisis plan: Actualización (30%) Validación (30%)"/>
    <s v="% de Avance en la Gestión del Plan de Expansión"/>
    <s v="GIT Generación"/>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n v="1"/>
    <s v="Elaborar Plan de Expansión de Energía Eléctrica"/>
    <n v="0.6"/>
    <x v="2"/>
    <x v="285"/>
    <n v="0.16200000000000001"/>
    <s v="Documento Plan de Expansión preliminar"/>
    <s v="% de Avance en la Gestión del Plan de Expansión"/>
    <s v="GIT Generación"/>
    <x v="1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n v="1"/>
    <s v="Elaborar Plan de Expansión de Energía Eléctrica"/>
    <n v="0.6"/>
    <x v="2"/>
    <x v="285"/>
    <n v="1.7999999999999999E-2"/>
    <s v="Publicación Plan de Expansión preliminar"/>
    <s v="% de Avance en la Gestión del Plan de Expansión"/>
    <s v="GIT Generación"/>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n v="1"/>
    <s v="Elaborar Plan de Expansión de Energía Eléctrica"/>
    <n v="0.6"/>
    <x v="3"/>
    <x v="286"/>
    <n v="2.1000000000000001E-2"/>
    <s v="Documento de respuestas a observaciones"/>
    <s v="% de Avance en la Gestión del Plan de Expansión"/>
    <s v="GIT Generación"/>
    <x v="11"/>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n v="1"/>
    <s v="Elaborar Plan de Expansión de Energía Eléctrica"/>
    <n v="0.6"/>
    <x v="3"/>
    <x v="286"/>
    <n v="0.16800000000000001"/>
    <s v="Documento Plan de Expansión definitivo"/>
    <s v="% de Avance en la Gestión del Plan de Expansión"/>
    <s v="GIT Genera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n v="1"/>
    <s v="Elaborar Plan de Expansión de Energía Eléctrica"/>
    <n v="0.6"/>
    <x v="3"/>
    <x v="286"/>
    <n v="2.1000000000000001E-2"/>
    <s v="Oficio de remisión al MME"/>
    <s v="% de Avance en la Gestión del Plan de Expansión"/>
    <s v="GIT Genera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n v="2"/>
    <s v="Registrar proyectos de generación"/>
    <n v="0.1"/>
    <x v="4"/>
    <x v="287"/>
    <n v="1.2500000000000001E-2"/>
    <s v="Oficio de registro u Oficio de requerimientos"/>
    <s v="#Oficios emitidos en tiempo/# Solicitudes"/>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2"/>
    <s v="Registrar proyectos de generación"/>
    <n v="0.1"/>
    <x v="5"/>
    <x v="288"/>
    <n v="1.2500000000000001E-2"/>
    <s v="Informe de registro de proyectos de generación"/>
    <s v="#Informes publicados/3"/>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2"/>
    <s v="Registrar proyectos de generación"/>
    <n v="0.1"/>
    <x v="6"/>
    <x v="289"/>
    <n v="1.2500000000000001E-2"/>
    <s v="Oficio de registro u Oficio de requerimientos"/>
    <s v="#Oficios emitidos en tiempo/# Solicitudes"/>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2"/>
    <s v="Registrar proyectos de generación"/>
    <n v="0.1"/>
    <x v="14"/>
    <x v="290"/>
    <n v="1.2500000000000001E-2"/>
    <s v="Informe de registro de proyectos de generación"/>
    <s v="#Informes publicados/3"/>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2"/>
    <s v="Registrar proyectos de generación"/>
    <n v="0.1"/>
    <x v="15"/>
    <x v="291"/>
    <n v="1.2500000000000001E-2"/>
    <s v="Oficio de registro u Oficio de requerimientos"/>
    <s v="#Oficios emitidos en tiempo/# Solicitudes"/>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2"/>
    <s v="Registrar proyectos de generación"/>
    <n v="0.1"/>
    <x v="16"/>
    <x v="292"/>
    <n v="1.2500000000000001E-2"/>
    <s v="Informe de registro de proyectos de generación"/>
    <s v="#Informes publicados/3"/>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2"/>
    <s v="Registrar proyectos de generación"/>
    <n v="0.1"/>
    <x v="17"/>
    <x v="293"/>
    <n v="1.2500000000000001E-2"/>
    <s v="Oficio de registro u Oficio de requerimientos"/>
    <s v="#Oficios emitidos en tiempo/# Solicitudes"/>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2"/>
    <s v="Registrar proyectos de generación"/>
    <n v="0.1"/>
    <x v="18"/>
    <x v="294"/>
    <n v="1.2500000000000001E-2"/>
    <s v="Informe de registro de proyectos de generación"/>
    <s v="#Informes publicados/3"/>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3"/>
    <s v="Elaborar concepto de potencial hidroenergético"/>
    <n v="0.1"/>
    <x v="7"/>
    <x v="295"/>
    <n v="1.2500000000000001E-2"/>
    <s v="Oficio de concepto u Oficio de requerimientos"/>
    <s v="#Oficios emitidos en tiempo/# Solicitudes"/>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3"/>
    <s v="Elaborar concepto de potencial hidroenergético"/>
    <n v="0.1"/>
    <x v="8"/>
    <x v="296"/>
    <n v="1.2500000000000001E-2"/>
    <s v="Informe de conceptos de potencial hidroenergético"/>
    <s v="#Informes publicados/3"/>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3"/>
    <s v="Elaborar concepto de potencial hidroenergético"/>
    <n v="0.1"/>
    <x v="9"/>
    <x v="297"/>
    <n v="1.2500000000000001E-2"/>
    <s v="Oficio de concepto u Oficio de requerimientos"/>
    <s v="#Oficios emitidos en tiempo/# Solicitudes"/>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3"/>
    <s v="Elaborar concepto de potencial hidroenergético"/>
    <n v="0.1"/>
    <x v="60"/>
    <x v="298"/>
    <n v="1.2500000000000001E-2"/>
    <s v="Informe de conceptos de potencial hidroenergético"/>
    <s v="#Informes publicados/3"/>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3"/>
    <s v="Elaborar concepto de potencial hidroenergético"/>
    <n v="0.1"/>
    <x v="61"/>
    <x v="299"/>
    <n v="1.2500000000000001E-2"/>
    <s v="Oficio de concepto u Oficio de requerimientos"/>
    <s v="#Oficios emitidos en tiempo/# Solicitudes"/>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3"/>
    <s v="Elaborar concepto de potencial hidroenergético"/>
    <n v="0.1"/>
    <x v="62"/>
    <x v="300"/>
    <n v="1.2500000000000001E-2"/>
    <s v="Informe de conceptos de potencial hidroenergético"/>
    <s v="#Informes publicados/3"/>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3"/>
    <s v="Elaborar concepto de potencial hidroenergético"/>
    <n v="0.1"/>
    <x v="63"/>
    <x v="301"/>
    <n v="1.2500000000000001E-2"/>
    <s v="Oficio de concepto u Oficio de requerimientos"/>
    <s v="#Oficios emitidos en tiempo/# Solicitudes"/>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3"/>
    <s v="Elaborar concepto de potencial hidroenergético"/>
    <n v="0.1"/>
    <x v="64"/>
    <x v="302"/>
    <n v="1.2500000000000001E-2"/>
    <s v="Informe de conceptos de potencial hidroenergético"/>
    <s v="#Informes publicados/3"/>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4"/>
    <s v="Gestión de Convenios Minciencias-UPME-IDEAM"/>
    <n v="0.05"/>
    <x v="10"/>
    <x v="303"/>
    <n v="0.05"/>
    <s v="Informe final convenio Minciencias-UPME-IDEAM"/>
    <s v="% de avance informes de seguimiento"/>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5"/>
    <s v="Realizar simulaciones energéticas del sistema de generación para plan de gas"/>
    <n v="0.1"/>
    <x v="88"/>
    <x v="304"/>
    <n v="1.4999999999999999E-2"/>
    <s v="Resultados preliminares"/>
    <s v="% de avance"/>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5"/>
    <s v="Realizar simulaciones energéticas del sistema de generación para plan de gas"/>
    <n v="0.1"/>
    <x v="89"/>
    <x v="304"/>
    <n v="5.5E-2"/>
    <s v="Resultados preliminares"/>
    <s v="% de avance"/>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5"/>
    <s v="Realizar simulaciones energéticas del sistema de generación para plan de gas"/>
    <n v="0.1"/>
    <x v="90"/>
    <x v="305"/>
    <n v="0.03"/>
    <s v="Resultados finales"/>
    <s v="% de avance"/>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6"/>
    <s v="Elaborar informe de seguimiento de proyectos de generación"/>
    <n v="0.05"/>
    <x v="103"/>
    <x v="306"/>
    <n v="1.2500000000000001E-2"/>
    <s v="Informe de seguimiento publicado"/>
    <s v="% de avance"/>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6"/>
    <s v="Elaborar informe de seguimiento de proyectos de generación"/>
    <n v="0.05"/>
    <x v="104"/>
    <x v="307"/>
    <n v="1.2500000000000001E-2"/>
    <s v="Informe de seguimiento publicado"/>
    <s v="% de avance"/>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6"/>
    <s v="Elaborar informe de seguimiento de proyectos de generación"/>
    <n v="0.05"/>
    <x v="111"/>
    <x v="308"/>
    <n v="1.2500000000000001E-2"/>
    <s v="Informe de seguimiento publicado"/>
    <s v="% de avance"/>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n v="6"/>
    <s v="Elaborar informe de seguimiento de proyectos de generación"/>
    <n v="0.05"/>
    <x v="129"/>
    <x v="309"/>
    <n v="1.2500000000000001E-2"/>
    <s v="Informe de seguimiento publicado"/>
    <s v="% de avance"/>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4"/>
    <n v="1"/>
    <s v="Elaborar el documento con la estimación del ICEE"/>
    <n v="0.25"/>
    <x v="0"/>
    <x v="310"/>
    <n v="0.1"/>
    <s v="Correos a los proveedores de la información (OR, IPSE, SSPD,) solicitando la información."/>
    <s v="# de solicitudes enviadas / _x000a_ # de solicitudes programadas"/>
    <s v="Grupo Cobertura"/>
    <x v="3"/>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4"/>
    <n v="1"/>
    <s v="Elaborar el documento con la estimación del ICEE"/>
    <n v="0.25"/>
    <x v="1"/>
    <x v="311"/>
    <n v="0.1"/>
    <s v="Versión preliminar de lo cálculos del ICEE"/>
    <s v="% avance"/>
    <s v="Grupo Cobertura"/>
    <x v="9"/>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1"/>
    <s v="Elaborar el documento con la estimación del ICEE"/>
    <n v="0.25"/>
    <x v="2"/>
    <x v="312"/>
    <n v="0.04"/>
    <s v="Versión preliminar del documento metodologico con anexos"/>
    <s v="% avance del documento para publicación"/>
    <s v="Grupo Cobertura"/>
    <x v="5"/>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1"/>
    <s v="Elaborar el documento con la estimación del ICEE"/>
    <n v="0.25"/>
    <x v="3"/>
    <x v="313"/>
    <n v="0.01"/>
    <s v="Autorización de la subdirección para publicar los resultados del ICEE"/>
    <s v="% avance"/>
    <s v="Grupo Cobertura"/>
    <x v="5"/>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2"/>
    <s v="Elaborar el documento del Plan Indicativo de Expansión de Cobertura - PIEC"/>
    <n v="0.6"/>
    <x v="4"/>
    <x v="314"/>
    <n v="0.15"/>
    <s v="información base del PIEC debidamente estructurada"/>
    <s v="% avance"/>
    <s v="Grupo Cobertura"/>
    <x v="2"/>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2"/>
    <s v="Elaborar el documento del Plan Indicativo de Expansión de Cobertura - PIEC"/>
    <n v="0.6"/>
    <x v="5"/>
    <x v="315"/>
    <n v="0.15"/>
    <s v="Metodología del Plan estructurada"/>
    <s v="% avance"/>
    <s v="Grupo Cobertura"/>
    <x v="2"/>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2"/>
    <s v="Elaborar el documento del Plan Indicativo de Expansión de Cobertura - PIEC"/>
    <n v="0.6"/>
    <x v="6"/>
    <x v="316"/>
    <n v="0.1"/>
    <s v="Corridas espaciales para la interconexión y de homer para soluciones aisladas"/>
    <s v="% avance"/>
    <s v="Grupo Cobertura"/>
    <x v="2"/>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2"/>
    <s v="Elaborar el documento del Plan Indicativo de Expansión de Cobertura - PIEC"/>
    <n v="0.6"/>
    <x v="14"/>
    <x v="317"/>
    <n v="0.05"/>
    <s v="Corridas espaciales para la interconexión y de homer para soluciones aisladas"/>
    <s v="% avance"/>
    <s v="Grupo Cobertura"/>
    <x v="5"/>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2"/>
    <s v="Elaborar el documento del Plan Indicativo de Expansión de Cobertura - PIEC"/>
    <n v="0.6"/>
    <x v="15"/>
    <x v="318"/>
    <n v="0.05"/>
    <s v="Reunión programada para tal fin"/>
    <s v="% avance"/>
    <s v="Grupo Cobertura"/>
    <x v="2"/>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2"/>
    <s v="Elaborar el documento del Plan Indicativo de Expansión de Cobertura - PIEC"/>
    <n v="0.6"/>
    <x v="16"/>
    <x v="319"/>
    <n v="0.05"/>
    <s v="Autorización de la subdirección para publicar los resultados del PIEC"/>
    <s v="% avance"/>
    <s v="Grupo Cobertura"/>
    <x v="9"/>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2"/>
    <s v="Elaborar el documento del Plan Indicativo de Expansión de Cobertura - PIEC"/>
    <n v="0.6"/>
    <x v="17"/>
    <x v="320"/>
    <n v="0.05"/>
    <s v="Autorización de la subdirección para publicar los resultados del PIEC"/>
    <s v="% avance"/>
    <s v="Grupo Cobertura"/>
    <x v="5"/>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3"/>
    <s v="Emitir los conceptos PECOR a los OR que lo presenten para el año vigente"/>
    <n v="0.15"/>
    <x v="7"/>
    <x v="321"/>
    <n v="2.5000000000000001E-2"/>
    <s v="Capa de Sitios actualizada, depende del reporte que realice cada OR"/>
    <s v="% avance"/>
    <s v="Grupo Cobertura"/>
    <x v="9"/>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3"/>
    <s v="Emitir los conceptos PECOR a los OR que lo presenten para el año vigente"/>
    <n v="0.15"/>
    <x v="8"/>
    <x v="322"/>
    <n v="2.5000000000000001E-2"/>
    <s v="Base de costos actualizada"/>
    <s v="% avance"/>
    <s v="Grupo Cobertura"/>
    <x v="5"/>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3"/>
    <s v="Emitir los conceptos PECOR a los OR que lo presenten para el año vigente"/>
    <n v="0.15"/>
    <x v="9"/>
    <x v="323"/>
    <n v="0.03"/>
    <s v="Formatos de evaluación revisados y gestionados con cada OR"/>
    <s v="#evaluaciones realizadas en tiempo/# Solicitudes"/>
    <s v="Grupo Cobertura"/>
    <x v="5"/>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3"/>
    <s v="Emitir los conceptos PECOR a los OR que lo presenten para el año vigente"/>
    <n v="0.15"/>
    <x v="60"/>
    <x v="324"/>
    <n v="0.03"/>
    <s v="Formatos de evaluación revisados y gestionados con cada OR"/>
    <s v="#evaluaciones realizadas en tiempo/# Solicitudes"/>
    <s v="Grupo Cobertura"/>
    <x v="7"/>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3"/>
    <s v="Emitir los conceptos PECOR a los OR que lo presenten para el año vigente"/>
    <n v="0.15"/>
    <x v="61"/>
    <x v="325"/>
    <n v="0.03"/>
    <s v="Formatos de evaluación revisados y gestionados con cada OR"/>
    <s v="#evaluaciones realizadas en tiempo/# Solicitudes"/>
    <s v="Grupo Cobertura"/>
    <x v="0"/>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n v="3"/>
    <s v="Emitir los conceptos PECOR a los OR que lo presenten para el año vigente"/>
    <n v="0.15"/>
    <x v="61"/>
    <x v="326"/>
    <n v="0.01"/>
    <s v="Comunicación firmada para el MME"/>
    <s v="% avance"/>
    <s v="Grupo Cobertura"/>
    <x v="0"/>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5"/>
    <n v="1"/>
    <s v="Evaluar técnica y financieramente los proyectos de energía eléctrica y gas combustible presentados a los mecanismos y fondos de apoyo financiero"/>
    <n v="0.35"/>
    <x v="69"/>
    <x v="327"/>
    <n v="1.2500000000000001E-2"/>
    <s v="Conceptos de evaluación"/>
    <s v="(N° de proyectos evaluados/Saldo anterior+recibidos al corte definido)+100"/>
    <s v="Sandra Alzate"/>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n v="1"/>
    <s v="Evaluar técnica y financieramente los proyectos de energía eléctrica y gas combustible presentados a los mecanismos y fondos de apoyo financiero"/>
    <n v="0.35"/>
    <x v="69"/>
    <x v="327"/>
    <n v="1.2500000000000001E-2"/>
    <s v="Conceptos de evaluación"/>
    <s v="(N° de proyectos evaluados/Saldo anterior+recibidos al corte definido)+100"/>
    <s v="Sandra Alzate"/>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69"/>
    <x v="327"/>
    <n v="1.2500000000000001E-2"/>
    <s v="Conceptos de evaluación"/>
    <s v="(N° de proyectos evaluados/Saldo anterior+recibidos al corte definido)+100"/>
    <s v="Sandra Alzate"/>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69"/>
    <x v="327"/>
    <n v="1.2500000000000001E-2"/>
    <s v="Conceptos de evaluación"/>
    <s v="(N° de proyectos evaluados/Saldo anterior+recibidos al corte definido)+100"/>
    <s v="Sandra Alzate"/>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127"/>
    <x v="328"/>
    <n v="1.2500000000000001E-2"/>
    <s v="Conceptos de evaluación"/>
    <s v="(N° de proyectos evaluados/Saldo anterior+recibidos al corte definido)+100"/>
    <s v="Diana Delgado; Cesar Sotelo"/>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n v="1"/>
    <s v="Evaluar técnica y financieramente los proyectos de energía eléctrica y gas combustible presentados a los mecanismos y fondos de apoyo financiero"/>
    <n v="0.35"/>
    <x v="127"/>
    <x v="328"/>
    <n v="1.2500000000000001E-2"/>
    <s v="Conceptos de evaluación"/>
    <s v="(N° de proyectos evaluados/Saldo anterior+recibidos al corte definido)+100"/>
    <s v="Diana Delgado; Cesar Sotelo"/>
    <x v="5"/>
    <m/>
    <m/>
    <m/>
    <m/>
    <m/>
    <m/>
    <m/>
    <m/>
    <m/>
  </r>
  <r>
    <x v="15"/>
    <n v="1"/>
    <s v="Evaluar técnica y financieramente los proyectos de energía eléctrica y gas combustible presentados a los mecanismos y fondos de apoyo financiero"/>
    <n v="0.35"/>
    <x v="127"/>
    <x v="328"/>
    <n v="1.2500000000000001E-2"/>
    <s v="Conceptos de evaluación"/>
    <s v="(N° de proyectos evaluados/Saldo anterior+recibidos al corte definido)+100"/>
    <s v="Diana Delgado; Cesar Sotelo"/>
    <x v="7"/>
    <m/>
    <m/>
    <m/>
    <m/>
    <m/>
    <m/>
    <m/>
    <m/>
    <m/>
  </r>
  <r>
    <x v="15"/>
    <n v="1"/>
    <s v="Evaluar técnica y financieramente los proyectos de energía eléctrica y gas combustible presentados a los mecanismos y fondos de apoyo financiero"/>
    <n v="0.35"/>
    <x v="127"/>
    <x v="328"/>
    <n v="1.2500000000000001E-2"/>
    <s v="Conceptos de evaluación"/>
    <s v="(N° de proyectos evaluados/Saldo anterior+recibidos al corte definido)+100"/>
    <s v="Diana Delgado; Cesar Sotelo"/>
    <x v="0"/>
    <m/>
    <m/>
    <m/>
    <m/>
    <m/>
    <m/>
    <m/>
    <m/>
    <m/>
  </r>
  <r>
    <x v="15"/>
    <n v="1"/>
    <s v="Evaluar técnica y financieramente los proyectos de energía eléctrica y gas combustible presentados a los mecanismos y fondos de apoyo financiero"/>
    <n v="0.35"/>
    <x v="150"/>
    <x v="329"/>
    <n v="1.2500000000000001E-2"/>
    <s v="Conceptos de evaluación"/>
    <s v="(N° de proyectos evaluados/Saldo anterior+recibidos al corte definido)+100"/>
    <s v="Andres Rodriguez"/>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n v="1"/>
    <s v="Evaluar técnica y financieramente los proyectos de energía eléctrica y gas combustible presentados a los mecanismos y fondos de apoyo financiero"/>
    <n v="0.35"/>
    <x v="150"/>
    <x v="329"/>
    <n v="1.2500000000000001E-2"/>
    <s v="Conceptos de evaluación"/>
    <s v="(N° de proyectos evaluados/Saldo anterior+recibidos al corte definido)+100"/>
    <s v="Andres Rodriguez"/>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150"/>
    <x v="329"/>
    <n v="1.2500000000000001E-2"/>
    <s v="Conceptos de evaluación"/>
    <s v="(N° de proyectos evaluados/Saldo anterior+recibidos al corte definido)+100"/>
    <s v="Andres Rodriguez"/>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150"/>
    <x v="329"/>
    <n v="1.2500000000000001E-2"/>
    <s v="Conceptos de evaluación"/>
    <s v="(N° de proyectos evaluados/Saldo anterior+recibidos al corte definido)+100"/>
    <s v="Andres Rodriguez"/>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151"/>
    <x v="330"/>
    <n v="1.2500000000000001E-2"/>
    <s v="Conceptos de evaluación"/>
    <s v="(N° de proyectos evaluados/Saldo anterior+recibidos al corte definido)+100"/>
    <s v="Angelica Baena"/>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n v="1"/>
    <s v="Evaluar técnica y financieramente los proyectos de energía eléctrica y gas combustible presentados a los mecanismos y fondos de apoyo financiero"/>
    <n v="0.35"/>
    <x v="151"/>
    <x v="330"/>
    <n v="1.2500000000000001E-2"/>
    <s v="Conceptos de evaluación"/>
    <s v="(N° de proyectos evaluados/Saldo anterior+recibidos al corte definido)+100"/>
    <s v="Angelica Baena"/>
    <x v="5"/>
    <m/>
    <m/>
    <m/>
    <m/>
    <m/>
    <m/>
    <m/>
    <m/>
    <m/>
  </r>
  <r>
    <x v="15"/>
    <n v="1"/>
    <s v="Evaluar técnica y financieramente los proyectos de energía eléctrica y gas combustible presentados a los mecanismos y fondos de apoyo financiero"/>
    <n v="0.35"/>
    <x v="151"/>
    <x v="330"/>
    <n v="1.2500000000000001E-2"/>
    <s v="Conceptos de evaluación"/>
    <s v="(N° de proyectos evaluados/Saldo anterior+recibidos al corte definido)+100"/>
    <s v="Angelica Baena"/>
    <x v="7"/>
    <m/>
    <m/>
    <m/>
    <m/>
    <m/>
    <m/>
    <m/>
    <m/>
    <m/>
  </r>
  <r>
    <x v="15"/>
    <n v="1"/>
    <s v="Evaluar técnica y financieramente los proyectos de energía eléctrica y gas combustible presentados a los mecanismos y fondos de apoyo financiero"/>
    <n v="0.35"/>
    <x v="151"/>
    <x v="330"/>
    <n v="1.2500000000000001E-2"/>
    <s v="Conceptos de evaluación"/>
    <s v="(N° de proyectos evaluados/Saldo anterior+recibidos al corte definido)+100"/>
    <s v="Angelica Baena"/>
    <x v="0"/>
    <m/>
    <m/>
    <m/>
    <m/>
    <m/>
    <m/>
    <m/>
    <m/>
    <m/>
  </r>
  <r>
    <x v="15"/>
    <n v="1"/>
    <s v="Evaluar técnica y financieramente los proyectos de energía eléctrica y gas combustible presentados a los mecanismos y fondos de apoyo financiero"/>
    <n v="0.35"/>
    <x v="152"/>
    <x v="331"/>
    <n v="1.2500000000000001E-2"/>
    <s v="Conceptos de evaluación"/>
    <s v="(N° de proyectos evaluados/Saldo anterior+recibidos al corte definido)+100"/>
    <s v="Harold Quiñones"/>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n v="1"/>
    <s v="Evaluar técnica y financieramente los proyectos de energía eléctrica y gas combustible presentados a los mecanismos y fondos de apoyo financiero"/>
    <n v="0.35"/>
    <x v="152"/>
    <x v="331"/>
    <n v="1.2500000000000001E-2"/>
    <s v="Conceptos de evaluación"/>
    <s v="(N° de proyectos evaluados/Saldo anterior+recibidos al corte definido)+100"/>
    <s v="Harold Quiñones"/>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152"/>
    <x v="331"/>
    <n v="1.2500000000000001E-2"/>
    <s v="Conceptos de evaluación"/>
    <s v="(N° de proyectos evaluados/Saldo anterior+recibidos al corte definido)+100"/>
    <s v="Harold Quiñones"/>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152"/>
    <x v="331"/>
    <n v="1.2500000000000001E-2"/>
    <s v="Conceptos de evaluación"/>
    <s v="(N° de proyectos evaluados/Saldo anterior+recibidos al corte definido)+100"/>
    <s v="Harold Quiñones"/>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153"/>
    <x v="332"/>
    <n v="1.2500000000000001E-2"/>
    <s v="Conceptos de evaluación"/>
    <s v="(N° de proyectos evaluados/Saldo anterior+recibidos al corte definido)+100"/>
    <s v="Harold Quiñones"/>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n v="1"/>
    <s v="Evaluar técnica y financieramente los proyectos de energía eléctrica y gas combustible presentados a los mecanismos y fondos de apoyo financiero"/>
    <n v="0.35"/>
    <x v="153"/>
    <x v="332"/>
    <n v="1.2500000000000001E-2"/>
    <s v="Conceptos de evaluación"/>
    <s v="(N° de proyectos evaluados/Saldo anterior+recibidos al corte definido)+100"/>
    <s v="Harold Quiñones"/>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153"/>
    <x v="332"/>
    <n v="1.2500000000000001E-2"/>
    <s v="Conceptos de evaluación"/>
    <s v="(N° de proyectos evaluados/Saldo anterior+recibidos al corte definido)+100"/>
    <s v="Harold Quiñones"/>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153"/>
    <x v="332"/>
    <n v="1.2500000000000001E-2"/>
    <s v="Conceptos de evaluación"/>
    <s v="(N° de proyectos evaluados/Saldo anterior+recibidos al corte definido)+100"/>
    <s v="Harold Quiñones"/>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1"/>
    <s v="Evaluar técnica y financieramente los proyectos de energía eléctrica y gas combustible presentados a los mecanismos y fondos de apoyo financiero"/>
    <n v="0.35"/>
    <x v="154"/>
    <x v="333"/>
    <n v="1.2500000000000001E-2"/>
    <s v="Conceptos de evaluación"/>
    <s v="(N° de proyectos evaluados/Saldo anterior+recibidos al corte definido)+100"/>
    <s v="Cesar Sotelo"/>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n v="1"/>
    <s v="Evaluar técnica y financieramente los proyectos de energía eléctrica y gas combustible presentados a los mecanismos y fondos de apoyo financiero"/>
    <n v="0.35"/>
    <x v="154"/>
    <x v="333"/>
    <n v="1.2500000000000001E-2"/>
    <s v="Conceptos de evaluación"/>
    <s v="(N° de proyectos evaluados/Saldo anterior+recibidos al corte definido)+100"/>
    <s v="Cesar Sotelo"/>
    <x v="5"/>
    <m/>
    <m/>
    <m/>
    <m/>
    <m/>
    <m/>
    <m/>
    <m/>
    <m/>
  </r>
  <r>
    <x v="15"/>
    <n v="1"/>
    <s v="Evaluar técnica y financieramente los proyectos de energía eléctrica y gas combustible presentados a los mecanismos y fondos de apoyo financiero"/>
    <n v="0.35"/>
    <x v="154"/>
    <x v="333"/>
    <n v="1.2500000000000001E-2"/>
    <s v="Conceptos de evaluación"/>
    <s v="(N° de proyectos evaluados/Saldo anterior+recibidos al corte definido)+100"/>
    <s v="Cesar Sotelo"/>
    <x v="7"/>
    <m/>
    <m/>
    <m/>
    <m/>
    <m/>
    <m/>
    <m/>
    <m/>
    <m/>
  </r>
  <r>
    <x v="15"/>
    <n v="1"/>
    <s v="Evaluar técnica y financieramente los proyectos de energía eléctrica y gas combustible presentados a los mecanismos y fondos de apoyo financiero"/>
    <n v="0.35"/>
    <x v="154"/>
    <x v="333"/>
    <n v="1.2500000000000001E-2"/>
    <s v="Conceptos de evaluación"/>
    <s v="(N° de proyectos evaluados/Saldo anterior+recibidos al corte definido)+100"/>
    <s v="Cesar Sotelo"/>
    <x v="0"/>
    <m/>
    <m/>
    <m/>
    <m/>
    <m/>
    <m/>
    <m/>
    <m/>
    <m/>
  </r>
  <r>
    <x v="15"/>
    <n v="2"/>
    <s v="Realizar seguimiento gerencial, trazabilidad y transparencia en la evaluación de proyectos"/>
    <n v="0.1"/>
    <x v="70"/>
    <x v="334"/>
    <n v="1.2500000000000001E-2"/>
    <s v="Documento terminado"/>
    <s v="Aplicativo actualizado con la información de los proyectos evaluados"/>
    <s v="Lideres de fondos"/>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n v="2"/>
    <s v="Realizar seguimiento gerencial, trazabilidad y transparencia en la evaluación de proyectos"/>
    <n v="0.1"/>
    <x v="70"/>
    <x v="334"/>
    <n v="1.2500000000000001E-2"/>
    <s v="Documento terminado"/>
    <s v="Aplicativo actualizado con la información de los proyectos evaluados"/>
    <s v="Lideres de fondos"/>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2"/>
    <s v="Realizar seguimiento gerencial, trazabilidad y transparencia en la evaluación de proyectos"/>
    <n v="0.1"/>
    <x v="70"/>
    <x v="334"/>
    <n v="1.2500000000000001E-2"/>
    <s v="Documento terminado"/>
    <s v="Aplicativo actualizado con la información de los proyectos evaluados"/>
    <s v="Lideres de fondos"/>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2"/>
    <s v="Realizar seguimiento gerencial, trazabilidad y transparencia en la evaluación de proyectos"/>
    <n v="0.1"/>
    <x v="70"/>
    <x v="334"/>
    <n v="1.2500000000000001E-2"/>
    <s v="Documento terminado"/>
    <s v="Aplicativo actualizado con la información de los proyectos evaluados"/>
    <s v="Lideres de fondos"/>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2"/>
    <s v="Realizar seguimiento gerencial, trazabilidad y transparencia en la evaluación de proyectos"/>
    <n v="0.1"/>
    <x v="155"/>
    <x v="335"/>
    <n v="1.2500000000000001E-2"/>
    <s v="Documento terminado"/>
    <s v="1 documento"/>
    <s v="Borman Leguizamo y Andres Rodriguez"/>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n v="2"/>
    <s v="Realizar seguimiento gerencial, trazabilidad y transparencia en la evaluación de proyectos"/>
    <n v="0.1"/>
    <x v="155"/>
    <x v="335"/>
    <n v="1.2500000000000001E-2"/>
    <s v="Documento terminado"/>
    <s v="1 documento"/>
    <s v="Borman Leguizamo y Andres Rodriguez"/>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2"/>
    <s v="Realizar seguimiento gerencial, trazabilidad y transparencia en la evaluación de proyectos"/>
    <n v="0.1"/>
    <x v="155"/>
    <x v="335"/>
    <n v="1.2500000000000001E-2"/>
    <s v="Documento terminado"/>
    <s v="1 documento"/>
    <s v="Borman Leguizamo y Andres Rodriguez"/>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2"/>
    <s v="Realizar seguimiento gerencial, trazabilidad y transparencia en la evaluación de proyectos"/>
    <n v="0.1"/>
    <x v="155"/>
    <x v="335"/>
    <n v="1.2500000000000001E-2"/>
    <s v="Documento terminado"/>
    <s v="1 documento"/>
    <s v="Borman Leguizamo y Andres Rodriguez"/>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3"/>
    <s v="Racionalizar los procedimientos con la construcción de manuales operativos o guías de evaluación."/>
    <n v="0.15"/>
    <x v="71"/>
    <x v="336"/>
    <n v="0"/>
    <s v="Documento terminado"/>
    <s v="1 documento"/>
    <s v="Sandra Alzate"/>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0"/>
    <s v="Marzo"/>
  </r>
  <r>
    <x v="15"/>
    <n v="3"/>
    <s v="Racionalizar los procedimientos con la construcción de manuales operativos o guías de evaluación."/>
    <n v="0.15"/>
    <x v="71"/>
    <x v="336"/>
    <n v="3.0000000000000001E-3"/>
    <s v="Documento terminado"/>
    <s v="1 documento"/>
    <s v="Sandra Alzate"/>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3"/>
    <s v="Racionalizar los procedimientos con la construcción de manuales operativos o guías de evaluación."/>
    <n v="0.15"/>
    <x v="71"/>
    <x v="336"/>
    <n v="1.35E-2"/>
    <s v="Documento terminado"/>
    <s v="1 documento"/>
    <s v="Sandra Alzate"/>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3"/>
    <s v="Racionalizar los procedimientos con la construcción de manuales operativos o guías de evaluación."/>
    <n v="0.15"/>
    <x v="71"/>
    <x v="336"/>
    <n v="1.35E-2"/>
    <s v="Documento terminado"/>
    <s v="1 documento"/>
    <s v="Sandra Alzate"/>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3"/>
    <s v="Racionalizar los procedimientos con la construcción de manuales operativos o guías de evaluación."/>
    <n v="0.15"/>
    <x v="72"/>
    <x v="337"/>
    <n v="7.4999999999999997E-3"/>
    <s v="Documento terminado"/>
    <s v="1 documento"/>
    <s v="Diana Delgado; Cesar Sotelo"/>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2.3E-3"/>
    <s v="Marzo"/>
  </r>
  <r>
    <x v="15"/>
    <n v="3"/>
    <s v="Racionalizar los procedimientos con la construcción de manuales operativos o guías de evaluación."/>
    <n v="0.15"/>
    <x v="72"/>
    <x v="337"/>
    <n v="7.4999999999999997E-3"/>
    <s v="Documento terminado"/>
    <s v="1 documento"/>
    <s v="Diana Delgado; Cesar Sotelo"/>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3"/>
    <s v="Racionalizar los procedimientos con la construcción de manuales operativos o guías de evaluación."/>
    <n v="0.15"/>
    <x v="72"/>
    <x v="337"/>
    <n v="7.4999999999999997E-3"/>
    <s v="Documento terminado"/>
    <s v="1 documento"/>
    <s v="Diana Delgado; Cesar Sotelo"/>
    <x v="7"/>
    <m/>
    <m/>
    <m/>
    <m/>
    <m/>
    <m/>
    <m/>
    <m/>
    <m/>
  </r>
  <r>
    <x v="15"/>
    <n v="3"/>
    <s v="Racionalizar los procedimientos con la construcción de manuales operativos o guías de evaluación."/>
    <n v="0.15"/>
    <x v="72"/>
    <x v="337"/>
    <n v="7.4999999999999997E-3"/>
    <s v="Documento terminado"/>
    <s v="1 documento"/>
    <s v="Diana Delgado; Cesar Sotelo"/>
    <x v="0"/>
    <m/>
    <m/>
    <m/>
    <m/>
    <m/>
    <m/>
    <m/>
    <m/>
    <m/>
  </r>
  <r>
    <x v="15"/>
    <n v="3"/>
    <s v="Racionalizar los procedimientos con la construcción de manuales operativos o guías de evaluación."/>
    <n v="0.15"/>
    <x v="156"/>
    <x v="338"/>
    <n v="5.0000000000000001E-3"/>
    <s v="Documento terminado"/>
    <s v="1 documento"/>
    <s v="Harold Quiñones"/>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2.5000000000000001E-3"/>
    <s v="Marzo"/>
  </r>
  <r>
    <x v="15"/>
    <n v="3"/>
    <s v="Racionalizar los procedimientos con la construcción de manuales operativos o guías de evaluación."/>
    <n v="0.15"/>
    <x v="156"/>
    <x v="338"/>
    <n v="5.0000000000000001E-3"/>
    <s v="Documento terminado"/>
    <s v="1 documento"/>
    <s v="Harold Quiñones"/>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3"/>
    <s v="Racionalizar los procedimientos con la construcción de manuales operativos o guías de evaluación."/>
    <n v="0.15"/>
    <x v="156"/>
    <x v="338"/>
    <n v="5.0000000000000001E-3"/>
    <s v="Documento terminado"/>
    <s v="1 documento"/>
    <s v="Harold Quiñones"/>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3"/>
    <s v="Racionalizar los procedimientos con la construcción de manuales operativos o guías de evaluación."/>
    <n v="0.15"/>
    <x v="156"/>
    <x v="338"/>
    <n v="1.4999999999999999E-2"/>
    <s v="Documento terminado"/>
    <s v="1 documento"/>
    <s v="Harold Quiñones"/>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3"/>
    <s v="Racionalizar los procedimientos con la construcción de manuales operativos o guías de evaluación."/>
    <n v="0.15"/>
    <x v="157"/>
    <x v="339"/>
    <n v="5.0000000000000001E-3"/>
    <s v="Documento terminado"/>
    <s v="1 documento"/>
    <s v="Angelica Baena"/>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2.9999999999999997E-4"/>
    <s v="Marzo"/>
  </r>
  <r>
    <x v="15"/>
    <n v="3"/>
    <s v="Racionalizar los procedimientos con la construcción de manuales operativos o guías de evaluación."/>
    <n v="0.15"/>
    <x v="157"/>
    <x v="339"/>
    <n v="5.0000000000000001E-3"/>
    <s v="Documento terminado"/>
    <s v="1 documento"/>
    <s v="Angelica Baena"/>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3"/>
    <s v="Racionalizar los procedimientos con la construcción de manuales operativos o guías de evaluación."/>
    <n v="0.15"/>
    <x v="157"/>
    <x v="339"/>
    <n v="5.0000000000000001E-3"/>
    <s v="Documento terminado"/>
    <s v="1 documento"/>
    <s v="Angelica Baena"/>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3"/>
    <s v="Racionalizar los procedimientos con la construcción de manuales operativos o guías de evaluación."/>
    <n v="0.15"/>
    <x v="157"/>
    <x v="339"/>
    <n v="1.4999999999999999E-2"/>
    <s v="Documento terminado"/>
    <s v="1 documento"/>
    <s v="Angelica Baena"/>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3"/>
    <s v="Racionalizar los procedimientos con la construcción de manuales operativos o guías de evaluación."/>
    <n v="0.15"/>
    <x v="158"/>
    <x v="340"/>
    <n v="7.4999999999999997E-3"/>
    <s v="Documento terminado"/>
    <s v="1 documento"/>
    <s v="Diana Delgado; Cesar Sotelo"/>
    <x v="3"/>
    <m/>
    <m/>
    <m/>
    <m/>
    <m/>
    <m/>
    <m/>
    <n v="8.0000000000000004E-4"/>
    <s v="Marzo"/>
  </r>
  <r>
    <x v="15"/>
    <n v="3"/>
    <s v="Racionalizar los procedimientos con la construcción de manuales operativos o guías de evaluación."/>
    <n v="0.15"/>
    <x v="158"/>
    <x v="340"/>
    <n v="7.4999999999999997E-3"/>
    <s v="Documento terminado"/>
    <s v="1 documento"/>
    <s v="Diana Delgado; Cesar Sotelo"/>
    <x v="5"/>
    <m/>
    <m/>
    <m/>
    <m/>
    <m/>
    <m/>
    <m/>
    <m/>
    <m/>
  </r>
  <r>
    <x v="15"/>
    <n v="3"/>
    <s v="Racionalizar los procedimientos con la construcción de manuales operativos o guías de evaluación."/>
    <n v="0.15"/>
    <x v="158"/>
    <x v="340"/>
    <n v="7.4999999999999997E-3"/>
    <s v="Documento terminado"/>
    <s v="1 documento"/>
    <s v="Diana Delgado; Cesar Sotelo"/>
    <x v="7"/>
    <m/>
    <m/>
    <m/>
    <m/>
    <m/>
    <m/>
    <m/>
    <m/>
    <m/>
  </r>
  <r>
    <x v="15"/>
    <n v="3"/>
    <s v="Racionalizar los procedimientos con la construcción de manuales operativos o guías de evaluación."/>
    <n v="0.15"/>
    <x v="158"/>
    <x v="340"/>
    <n v="7.4999999999999997E-3"/>
    <s v="Documento terminado"/>
    <s v="1 documento"/>
    <s v="Diana Delgado; Cesar Sotelo"/>
    <x v="0"/>
    <m/>
    <m/>
    <m/>
    <m/>
    <m/>
    <m/>
    <m/>
    <m/>
    <m/>
  </r>
  <r>
    <x v="15"/>
    <n v="4"/>
    <s v="Planes de Energización Rural Sostenible-PERS"/>
    <n v="0.2"/>
    <x v="73"/>
    <x v="341"/>
    <n v="0.01"/>
    <s v="Convenio firmado"/>
    <s v="1 documento"/>
    <s v="Johanna Larrotta"/>
    <x v="3"/>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5.0000000000000001E-3"/>
    <s v="Marzo"/>
  </r>
  <r>
    <x v="15"/>
    <n v="4"/>
    <s v="Planes de Energización Rural Sostenible-PERS"/>
    <n v="0.2"/>
    <x v="73"/>
    <x v="341"/>
    <n v="0.01"/>
    <s v="Convenio firmado"/>
    <s v="1 documento"/>
    <s v="Johanna Larrotta"/>
    <x v="5"/>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59"/>
    <x v="342"/>
    <n v="5.0000000000000001E-3"/>
    <s v="Actas de reuniones"/>
    <s v="1 Archivo con evidencias"/>
    <s v="Johanna Larrotta"/>
    <x v="3"/>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5.0000000000000001E-3"/>
    <s v="Marzo"/>
  </r>
  <r>
    <x v="15"/>
    <n v="4"/>
    <s v="Planes de Energización Rural Sostenible-PERS"/>
    <n v="0.2"/>
    <x v="159"/>
    <x v="342"/>
    <n v="5.0000000000000001E-3"/>
    <s v="Actas de reuniones"/>
    <s v="1 Archivo con evidencias"/>
    <s v="Johanna Larrotta"/>
    <x v="5"/>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59"/>
    <x v="342"/>
    <n v="5.0000000000000001E-3"/>
    <s v="Actas de reuniones"/>
    <s v="1 Archivo con evidencias"/>
    <s v="Johanna Larrotta"/>
    <x v="7"/>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59"/>
    <x v="342"/>
    <n v="5.0000000000000001E-3"/>
    <s v="Actas de reuniones"/>
    <s v="1 Archivo con evidencias"/>
    <s v="Johanna Larrotta"/>
    <x v="0"/>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0"/>
    <x v="343"/>
    <n v="5.0000000000000001E-3"/>
    <s v="Documentos con las observaciones y recomendaciones realizadas"/>
    <s v="1 documento"/>
    <s v="Dora Castaño"/>
    <x v="3"/>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5.0000000000000001E-3"/>
    <s v="Marzo"/>
  </r>
  <r>
    <x v="15"/>
    <n v="4"/>
    <s v="Planes de Energización Rural Sostenible-PERS"/>
    <n v="0.2"/>
    <x v="160"/>
    <x v="343"/>
    <n v="5.0000000000000001E-3"/>
    <s v="Documentos con las observaciones y recomendaciones realizadas"/>
    <s v="1 documento"/>
    <s v="Dora Castaño"/>
    <x v="5"/>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0"/>
    <x v="343"/>
    <n v="5.0000000000000001E-3"/>
    <s v="Documentos con las observaciones y recomendaciones realizadas"/>
    <s v="1 documento"/>
    <s v="Dora Castaño"/>
    <x v="7"/>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0"/>
    <x v="343"/>
    <n v="5.0000000000000001E-3"/>
    <s v="Documentos con las observaciones y recomendaciones realizadas"/>
    <s v="1 documento"/>
    <s v="Dora Castaño"/>
    <x v="0"/>
    <m/>
    <m/>
    <m/>
    <m/>
    <m/>
    <m/>
    <m/>
    <m/>
    <m/>
  </r>
  <r>
    <x v="15"/>
    <n v="4"/>
    <s v="Planes de Energización Rural Sostenible-PERS"/>
    <n v="0.2"/>
    <x v="161"/>
    <x v="344"/>
    <n v="0.01"/>
    <s v="Documentos con las observaciones y recomendaciones realizadas"/>
    <s v="1 documento"/>
    <s v="Angelica Baena"/>
    <x v="3"/>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0.01"/>
    <s v="Marzo"/>
  </r>
  <r>
    <x v="15"/>
    <n v="4"/>
    <s v="Planes de Energización Rural Sostenible-PERS"/>
    <n v="0.2"/>
    <x v="161"/>
    <x v="344"/>
    <n v="5.0000000000000001E-3"/>
    <s v="Documentos con las observaciones y recomendaciones realizadas"/>
    <s v="1 documento"/>
    <s v="Angelica Baena"/>
    <x v="5"/>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1"/>
    <x v="344"/>
    <n v="5.0000000000000001E-3"/>
    <s v="Documentos con las observaciones y recomendaciones realizadas"/>
    <s v="1 documento"/>
    <s v="Angelica Baena"/>
    <x v="7"/>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2"/>
    <x v="345"/>
    <n v="5.0000000000000001E-3"/>
    <s v="Documentos con las observaciones y recomendaciones realizadas"/>
    <s v="1 documento"/>
    <s v="Angelica Baena"/>
    <x v="3"/>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5.0000000000000001E-3"/>
    <s v="Marzo"/>
  </r>
  <r>
    <x v="15"/>
    <n v="4"/>
    <s v="Planes de Energización Rural Sostenible-PERS"/>
    <n v="0.2"/>
    <x v="162"/>
    <x v="345"/>
    <n v="0.01"/>
    <s v="Documentos con las observaciones y recomendaciones realizadas"/>
    <s v="1 documento"/>
    <s v="Angelica Baena"/>
    <x v="5"/>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2"/>
    <x v="345"/>
    <n v="5.0000000000000001E-3"/>
    <s v="Documentos con las observaciones y recomendaciones realizadas"/>
    <s v="1 documento"/>
    <s v="Angelica Baena"/>
    <x v="7"/>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3"/>
    <x v="346"/>
    <n v="5.0000000000000001E-3"/>
    <s v="Documentos con las observaciones y recomendaciones realizadas"/>
    <s v="1 documento"/>
    <s v="Cesar sotelo"/>
    <x v="3"/>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5.0000000000000001E-3"/>
    <s v="Marzo"/>
  </r>
  <r>
    <x v="15"/>
    <n v="4"/>
    <s v="Planes de Energización Rural Sostenible-PERS"/>
    <n v="0.2"/>
    <x v="163"/>
    <x v="346"/>
    <n v="0.01"/>
    <s v="Documentos con las observaciones y recomendaciones realizadas"/>
    <s v="1 documento"/>
    <s v="Cesar sotelo"/>
    <x v="5"/>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3"/>
    <x v="346"/>
    <n v="5.0000000000000001E-3"/>
    <s v="Documentos con las observaciones y recomendaciones realizadas"/>
    <s v="1 documento"/>
    <s v="Cesar sotelo"/>
    <x v="7"/>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4"/>
    <x v="347"/>
    <n v="5.0000000000000001E-3"/>
    <s v="Documentos con las observaciones y recomendaciones realizadas"/>
    <s v="1 documento"/>
    <s v="Borman Leguizamo, Cesar Sotelo y Johanna Larrotta"/>
    <x v="3"/>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5.0000000000000001E-3"/>
    <s v="Marzo"/>
  </r>
  <r>
    <x v="15"/>
    <n v="4"/>
    <s v="Planes de Energización Rural Sostenible-PERS"/>
    <n v="0.2"/>
    <x v="164"/>
    <x v="347"/>
    <n v="0.01"/>
    <s v="Documentos con las observaciones y recomendaciones realizadas"/>
    <s v="1 documento"/>
    <s v="Borman Leguizamo, Cesar Sotelo y Johanna Larrotta"/>
    <x v="5"/>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4"/>
    <x v="347"/>
    <n v="5.0000000000000001E-3"/>
    <s v="Documentos con las observaciones y recomendaciones realizadas"/>
    <s v="1 documento"/>
    <s v="Borman Leguizamo, Cesar Sotelo y Johanna Larrotta"/>
    <x v="7"/>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5"/>
    <x v="348"/>
    <n v="0.01"/>
    <s v="Documentos con las observaciones y recomendaciones realizadas"/>
    <s v="1 documento"/>
    <s v="Angelica Baena"/>
    <x v="3"/>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0.01"/>
    <s v="Marzo"/>
  </r>
  <r>
    <x v="15"/>
    <n v="4"/>
    <s v="Planes de Energización Rural Sostenible-PERS"/>
    <n v="0.2"/>
    <x v="165"/>
    <x v="348"/>
    <n v="0.01"/>
    <s v="Documentos con las observaciones y recomendaciones realizadas"/>
    <s v="1 documento"/>
    <s v="Angelica Baena"/>
    <x v="5"/>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6"/>
    <x v="349"/>
    <n v="0.01"/>
    <s v="Desarrollo de un PERS por otras entidades"/>
    <s v="1 documento"/>
    <s v="Johanna Larrotta"/>
    <x v="3"/>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0.01"/>
    <s v="Marzo"/>
  </r>
  <r>
    <x v="15"/>
    <n v="4"/>
    <s v="Planes de Energización Rural Sostenible-PERS"/>
    <n v="0.2"/>
    <x v="166"/>
    <x v="349"/>
    <n v="0.01"/>
    <s v="Desarrollo de un PERS por otras entidades"/>
    <s v="1 documento"/>
    <s v="Johanna Larrotta"/>
    <x v="5"/>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4"/>
    <s v="Planes de Energización Rural Sostenible-PERS"/>
    <n v="0.2"/>
    <x v="167"/>
    <x v="350"/>
    <n v="1.4999999999999999E-2"/>
    <s v="Documento con los cambios planteados para los PERS"/>
    <s v="1 documento"/>
    <s v="Johanna Larrotta"/>
    <x v="3"/>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4999999999999999E-2"/>
    <s v="Marzo"/>
  </r>
  <r>
    <x v="15"/>
    <n v="4"/>
    <s v="Planes de Energización Rural Sostenible-PERS"/>
    <n v="0.2"/>
    <x v="167"/>
    <x v="350"/>
    <n v="5.0000000000000001E-3"/>
    <s v="Documento con los cambios planteados para los PERS"/>
    <s v="1 documento"/>
    <s v="Johanna Larrotta"/>
    <x v="5"/>
    <s v="DNP"/>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5"/>
    <s v="Desarrollar actividades con enfoque territorial y estrategia de comunicación adecuada."/>
    <n v="0.2"/>
    <x v="74"/>
    <x v="351"/>
    <n v="1.6799999999999999E-2"/>
    <s v="Listado de asistencia a las capacitaciones"/>
    <s v="1 documento"/>
    <s v="Andres Rodriguez"/>
    <x v="3"/>
    <s v="N/A"/>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6799999999999999E-2"/>
    <s v="Marzo"/>
  </r>
  <r>
    <x v="15"/>
    <n v="5"/>
    <s v="Desarrollar actividades con enfoque territorial y estrategia de comunicación adecuada."/>
    <n v="0.2"/>
    <x v="74"/>
    <x v="351"/>
    <n v="1.6799999999999999E-2"/>
    <s v="Listado de asistencia a las capacitaciones"/>
    <s v="1 documento"/>
    <s v="Andres Rodriguez"/>
    <x v="5"/>
    <m/>
    <m/>
    <m/>
    <m/>
    <m/>
    <m/>
    <m/>
    <m/>
    <m/>
  </r>
  <r>
    <x v="15"/>
    <n v="5"/>
    <s v="Desarrollar actividades con enfoque territorial y estrategia de comunicación adecuada."/>
    <n v="0.2"/>
    <x v="74"/>
    <x v="351"/>
    <n v="1.6799999999999999E-2"/>
    <s v="Listado de asistencia a las capacitaciones"/>
    <s v="1 documento"/>
    <s v="Andres Rodriguez"/>
    <x v="7"/>
    <m/>
    <m/>
    <m/>
    <m/>
    <m/>
    <m/>
    <m/>
    <m/>
    <m/>
  </r>
  <r>
    <x v="15"/>
    <n v="5"/>
    <s v="Desarrollar actividades con enfoque territorial y estrategia de comunicación adecuada."/>
    <n v="0.2"/>
    <x v="74"/>
    <x v="351"/>
    <n v="1.6799999999999999E-2"/>
    <s v="Listado de asistencia a las capacitaciones"/>
    <s v="1 documento"/>
    <s v="Andres Rodriguez"/>
    <x v="0"/>
    <m/>
    <m/>
    <m/>
    <m/>
    <m/>
    <m/>
    <m/>
    <m/>
    <m/>
  </r>
  <r>
    <x v="15"/>
    <n v="5"/>
    <s v="Desarrollar actividades con enfoque territorial y estrategia de comunicación adecuada."/>
    <n v="0.2"/>
    <x v="75"/>
    <x v="352"/>
    <n v="1.6799999999999999E-2"/>
    <s v="Documento preliminar"/>
    <s v="1 documento"/>
    <s v="Dora Castaño"/>
    <x v="3"/>
    <m/>
    <m/>
    <m/>
    <m/>
    <m/>
    <m/>
    <m/>
    <n v="1.6799999999999999E-2"/>
    <s v="Marzo"/>
  </r>
  <r>
    <x v="15"/>
    <n v="5"/>
    <s v="Desarrollar actividades con enfoque territorial y estrategia de comunicación adecuada."/>
    <n v="0.2"/>
    <x v="75"/>
    <x v="352"/>
    <n v="1.6799999999999999E-2"/>
    <s v="Documento preliminar"/>
    <s v="1 documento"/>
    <s v="Dora Castaño"/>
    <x v="5"/>
    <m/>
    <m/>
    <m/>
    <m/>
    <m/>
    <m/>
    <m/>
    <m/>
    <m/>
  </r>
  <r>
    <x v="15"/>
    <n v="5"/>
    <s v="Desarrollar actividades con enfoque territorial y estrategia de comunicación adecuada."/>
    <n v="0.2"/>
    <x v="75"/>
    <x v="352"/>
    <n v="1.6799999999999999E-2"/>
    <s v="Documento preliminar"/>
    <s v="1 documento"/>
    <s v="Dora Castaño"/>
    <x v="7"/>
    <m/>
    <m/>
    <m/>
    <m/>
    <m/>
    <m/>
    <s v="X"/>
    <m/>
    <m/>
  </r>
  <r>
    <x v="15"/>
    <n v="5"/>
    <s v="Desarrollar actividades con enfoque territorial y estrategia de comunicación adecuada."/>
    <n v="0.2"/>
    <x v="75"/>
    <x v="352"/>
    <n v="1.6799999999999999E-2"/>
    <s v="Documento terminado"/>
    <s v="1 documento"/>
    <s v="Dora Castaño"/>
    <x v="0"/>
    <s v="N/A"/>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n v="5"/>
    <s v="Desarrollar actividades con enfoque territorial y estrategia de comunicación adecuada."/>
    <n v="0.2"/>
    <x v="76"/>
    <x v="353"/>
    <n v="6.6000000000000003E-2"/>
    <s v="Documento explicativo del apoyo prestado y"/>
    <s v="1 documento"/>
    <s v="Borman Leguizamo"/>
    <x v="0"/>
    <s v="N/A"/>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pivotCacheRecords>
</file>

<file path=xl/pivotCache/pivotCacheRecords2.xml><?xml version="1.0" encoding="utf-8"?>
<pivotCacheRecords xmlns="http://schemas.openxmlformats.org/spreadsheetml/2006/main" xmlns:r="http://schemas.openxmlformats.org/officeDocument/2006/relationships" count="448">
  <r>
    <x v="0"/>
    <x v="0"/>
    <s v="Acompañar a la Entidad en la implementación la transformación cultural, organizacional y digital a través de la modernización institucional."/>
    <n v="0.25"/>
    <x v="0"/>
    <s v="Identificar y transferir mejores prácticas metodológicas para la implementación de la transformación cultural, organizacional y digital a través de la modernización institucional."/>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
    <s v="1. Direccionamiento Estratégico"/>
    <s v="N/A"/>
    <n v="1.5599999999999999E-2"/>
    <s v="Marzo"/>
  </r>
  <r>
    <x v="0"/>
    <x v="0"/>
    <s v="Acompañar a la Entidad en la implementación la transformación cultural, organizacional y digital a través de la modernización institucional."/>
    <n v="0.25"/>
    <x v="1"/>
    <s v="Brindar soporte técnico a las áreas para la implementación de la transformación cultural, organizacional y digital a través de la modernización institucional."/>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
    <s v="1. Direccionamiento Estratégico"/>
    <s v="N/A"/>
    <n v="1.5599999999999999E-2"/>
    <s v="Marzo"/>
  </r>
  <r>
    <x v="0"/>
    <x v="0"/>
    <s v="Acompañar a la Entidad en la implementación la transformación cultural, organizacional y digital a través de la modernización institucional."/>
    <n v="0.25"/>
    <x v="2"/>
    <s v="Hacer seguimiento al proceso de modernización y la gestión frente a las diferentes entidades que hacen parte del proceso. "/>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
    <s v="1. Direccionamiento Estratégico"/>
    <s v="N/A"/>
    <n v="1.5599999999999999E-2"/>
    <s v="Marzo"/>
  </r>
  <r>
    <x v="0"/>
    <x v="0"/>
    <s v="Acompañar a la Entidad en la implementación la transformación cultural, organizacional y digital a través de la modernización institucional."/>
    <n v="0.25"/>
    <x v="3"/>
    <s v="Retroalimentar los avances de la transformación cultural, organizacional y digital a través de la modernización institucional, en particular los del rediseño institucional."/>
    <n v="6.25E-2"/>
    <s v="Lista de asistencia ó correo ó documento ó Actas de reunión"/>
    <s v="% de solicitudes atendidas"/>
    <s v="Equipo Asesor"/>
    <x v="0"/>
    <s v="N/A"/>
    <s v="N/A"/>
    <s v="D2 Direccionamiento Estratégico y Planeación"/>
    <s v="POLÍTICA 3 Planeación Institucional"/>
    <s v="_x000a_Obj.Est N. 1: Generar valor público, económico y social, a partir del conocimiento integral de los recursos minero-energéticos._x000a_Obj.Est N. 2: Incorporar las mejores prácticas organizacionales y tecnológicas que garanticen calidad e integridad de la gesti"/>
    <s v="1. Direccionamiento Estratégico"/>
    <s v="N/A"/>
    <n v="1.5599999999999999E-2"/>
    <s v="Marzo"/>
  </r>
  <r>
    <x v="0"/>
    <x v="1"/>
    <s v="Acompañar a la Unidad en la gestión institucional en el marco de la planeación inteligente."/>
    <n v="0.25"/>
    <x v="4"/>
    <s v="Apoyar al Director General en la identificación de mejoras normativas que sean de interés para el impulso del sector."/>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0"/>
    <x v="1"/>
    <s v="Acompañar a la Unidad en la gestión institucional en el marco de la planeación inteligente."/>
    <n v="0.25"/>
    <x v="5"/>
    <s v="Acompañar en la actualización y el seguimiento del Plan Estratégico Insitucional."/>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0"/>
    <x v="1"/>
    <s v="Acompañar a la Unidad en la gestión institucional en el marco de la planeación inteligente."/>
    <n v="0.25"/>
    <x v="6"/>
    <s v="Facilitar el proceso de flujo efectivo de información entre las áreas de la entidad, así como de la entidad con sus grupos de interés"/>
    <n v="8.3333333333333329E-2"/>
    <s v="Lista de asistencia ó correo ó documento ó Actas de reunión"/>
    <s v="% de solicitudes atendidas"/>
    <s v="Equipo Asesor"/>
    <x v="0"/>
    <s v="N/A"/>
    <s v="N/A"/>
    <s v="D3 Gestión para Resultados con Valores"/>
    <s v="POLÍTICA 5 Fortalecimiento Organizacional y Simplificación de Procesos"/>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0"/>
    <x v="2"/>
    <s v="Acompañar a la Dirección en el desarrollo del enfoque territorial de la planeación."/>
    <n v="0.25"/>
    <x v="7"/>
    <s v="Identificar y transferir mejores prácticas metodológicas para la aplicación del enfoque territorial a la planeación"/>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3: Orientar el aprovechamiento y uso eficiente y responsable de los recursos minero - energéticos._x000a_Obj.Est N. 4: Des"/>
    <s v="1. Direccionamiento Estratégico"/>
    <s v="N/A"/>
    <s v="1.56%"/>
    <s v="Marzo"/>
  </r>
  <r>
    <x v="0"/>
    <x v="2"/>
    <s v="Acompañar a la Dirección en el desarrollo del enfoque territorial de la planeación."/>
    <n v="0.25"/>
    <x v="8"/>
    <s v="Brindar soporte técnico a las áreas en la aplicación del enfoque territorial en los planes de la UPME"/>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3: Orientar el aprovechamiento y uso eficiente y responsable de los recursos minero - energéticos._x000a_Obj.Est N. 4: Des"/>
    <s v="1. Direccionamiento Estratégico"/>
    <s v="N/A"/>
    <s v="1.56%"/>
    <s v="Marzo"/>
  </r>
  <r>
    <x v="0"/>
    <x v="2"/>
    <s v="Acompañar a la Dirección en el desarrollo del enfoque territorial de la planeación."/>
    <n v="0.25"/>
    <x v="9"/>
    <s v="Retroalimentar los avances de la aplicación del enfoque territorial en lso plans programas y proyectos de la Unidad"/>
    <n v="8.3333333333333329E-2"/>
    <s v="Lista de asistencia ó correo ó documento ó Actas de reunión"/>
    <s v="% de solicitudes atendidas"/>
    <s v="Equipo Asesor"/>
    <x v="0"/>
    <s v="N/A"/>
    <s v="N/A"/>
    <s v="D2 Direccionamiento Estratégico y Planeación"/>
    <s v="POLÍTICA 3 Planeación Institucional"/>
    <s v="Obj.Est N. 1: Generar valor público, económico y social, a partir del conocimiento integral de los recursos minero-energéticos._x000a_Obj.Est N. 3: Orientar el aprovechamiento y uso eficiente y responsable de los recursos minero - energéticos._x000a_Obj.Est N. 4: Des"/>
    <s v="1. Direccionamiento Estratégico"/>
    <s v="N/A"/>
    <s v="1.56%"/>
    <s v="Marzo"/>
  </r>
  <r>
    <x v="0"/>
    <x v="3"/>
    <s v="Acompañar el desarrollo de la Comunicación y difusión estratégica de los planes, programas y proyectos de la Unidad."/>
    <n v="0.25"/>
    <x v="10"/>
    <s v="Identificar y transferir mejores prácticas metodológicas para la comunicación y difusión estratégica de los planes, programas y proyectos de la Unidad y su relacionamiento con públicos de interés."/>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s v="1.56%"/>
    <s v="Marzo"/>
  </r>
  <r>
    <x v="0"/>
    <x v="3"/>
    <s v="Acompañar el desarrollo de la Comunicación y difusión estratégica de los planes, programas y proyectos de la Unidad."/>
    <n v="0.25"/>
    <x v="11"/>
    <s v="Dar soporte técnico a las áreas en el diseño y desarrollo de estrategias de comunicación y difusión de los planes, programas y proyectos de la Unidad y su relacionamiento con públicos de interés."/>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0"/>
    <x v="3"/>
    <s v="Acompañar el desarrollo de la Comunicación y difusión estratégica de los planes, programas y proyectos de la Unidad."/>
    <n v="0.25"/>
    <x v="12"/>
    <s v="Retroalimentar a las áreas misionales de la entidad para que los planes que sean desarrollados en el transcurso de la vigencia identifiquen una estrategia de socialización diferenciada por grupos de interés."/>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0"/>
    <x v="3"/>
    <s v="Acompañar el desarrollo de la Comunicación y difusión estratégica de los planes, programas y proyectos de la Unidad."/>
    <n v="0.25"/>
    <x v="13"/>
    <s v="Hacer seguimiento a la implementación del Plan Estratégico de Comunicaciones y a la Oficina de Gestión de la Información para promover el desarrollo de estrategias efectivas de identificación de actores e intereses, así como en la socialización de los pla"/>
    <n v="6.25E-2"/>
    <s v="Lista de asistencia ó correo ó documento ó Actas de reunión"/>
    <s v="% de solicitudes atendidas"/>
    <s v="Equipo Asesor"/>
    <x v="0"/>
    <s v="N/A"/>
    <s v="N/A"/>
    <s v="D3 Gestión para Resultados con Valores"/>
    <s v="POLÍTICA 12 Participación Ciudadana en la Gestión Pública"/>
    <s v="Obj.Est N. 1: Generar valor público, económico y social, a partir del conocimiento integral de los recursos minero-energéticos_x000a_Obj.Est N. 2: Incorporar las mejores prácticas organizacionales y tecnológicas que garanticen calidad e integrida._x000a_Obj.Est N. 3:"/>
    <s v="1. Direccionamiento Estratégico"/>
    <s v="N/A"/>
    <n v="1.5599999999999999E-2"/>
    <s v="Marzo"/>
  </r>
  <r>
    <x v="1"/>
    <x v="0"/>
    <s v="Elaborar el Programa Anual de auditorias lnternas PAAI 2021"/>
    <n v="0.1"/>
    <x v="0"/>
    <s v="Elaborar el Programa Anual de auditorias lnternas PAAI 2021"/>
    <n v="0.05"/>
    <s v="Documento de PAAI 2021"/>
    <s v="Cantidad de Documentos"/>
    <s v="Bertha Sofía Ortiz Gutiérrez"/>
    <x v="1"/>
    <s v="N/A"/>
    <s v="N/A"/>
    <s v="D7 Control Interno"/>
    <s v="POLÍTICA 16 Control Interno"/>
    <s v="2. Incorporar las mejores prácticas organizacionales y tecnológicas que garanticen calidad e integridad de la gestión pública."/>
    <s v="19. Evaluación y Control"/>
    <s v="N/A"/>
    <n v="0.05"/>
    <s v="Enero"/>
  </r>
  <r>
    <x v="1"/>
    <x v="0"/>
    <s v="Elaborar el Programa Anual de auditorias lnternas PAAI 2021"/>
    <n v="0.1"/>
    <x v="1"/>
    <s v="Presentar al CCCI el Programa Anual de auditorias lnternas PAAI 2021 para aprobación"/>
    <n v="0.05"/>
    <s v="Documento de PAAI 2021 aprobado"/>
    <s v="Cantidad de Documentos"/>
    <s v="Bertha Sofía Ortiz Gutiérrez"/>
    <x v="1"/>
    <s v="N/A"/>
    <s v="N/A"/>
    <s v="D7 Control Interno"/>
    <s v="POLÍTICA 16 Control Interno"/>
    <s v="2. Incorporar las mejores prácticas organizacionales y tecnológicas que garanticen calidad e integridad de la gestión pública."/>
    <s v="19. Evaluación y Control"/>
    <s v="N/A"/>
    <n v="0.05"/>
    <s v="Enero"/>
  </r>
  <r>
    <x v="1"/>
    <x v="1"/>
    <s v="Ejecutar las actividades programadas dentro del Plan Anual de Auditorías Internas - PAAI 2021, de conformidad con los roles establecidos para Control Interno."/>
    <n v="0.6"/>
    <x v="4"/>
    <s v="Realizar 1 Auditoría Interna"/>
    <n v="0.04"/>
    <s v="Informe de Auditoría"/>
    <s v="Indice de ejecución del PAAI 2021"/>
    <s v="Bertha Sofía Ortiz Gutiérrez"/>
    <x v="2"/>
    <s v="N/A"/>
    <s v="N/A"/>
    <s v="D7 Control Interno"/>
    <s v="POLÍTICA 16 Control Interno"/>
    <s v="2. Incorporar las mejores prácticas organizacionales y tecnológicas que garanticen calidad e integridad de la gestión pública."/>
    <s v="19. Evaluación y Control"/>
    <s v="N/A"/>
    <n v="0.04"/>
    <s v="Febrero"/>
  </r>
  <r>
    <x v="1"/>
    <x v="1"/>
    <s v="Ejecutar las actividades programadas dentro del Plan Anual de Auditorías Internas - PAAI 2021, de conformidad con los roles establecidos para Control Interno."/>
    <n v="0.6"/>
    <x v="5"/>
    <s v="Realizar 1 Auditoría Interna"/>
    <n v="0.04"/>
    <s v="Informe de Auditoría"/>
    <s v="Indice de ejecución del PAAI 2021"/>
    <s v="Bertha Sofía Ortiz Gutiérrez"/>
    <x v="3"/>
    <s v="N/A"/>
    <s v="N/A"/>
    <s v="D7 Control Interno"/>
    <s v="POLÍTICA 16 Control Interno"/>
    <s v="2. Incorporar las mejores prácticas organizacionales y tecnológicas que garanticen calidad e integridad de la gestión pública."/>
    <s v="19. Evaluación y Control"/>
    <s v="N/A"/>
    <n v="0.04"/>
    <s v="Marzo"/>
  </r>
  <r>
    <x v="1"/>
    <x v="1"/>
    <s v="Ejecutar las actividades programadas dentro del Plan Anual de Auditorías Internas - PAAI 2021, de conformidad con los roles establecidos para Control Interno."/>
    <n v="0.6"/>
    <x v="6"/>
    <s v="Realizar 1 Auditoría Interna"/>
    <n v="0.04"/>
    <s v="Informe de Auditoría"/>
    <s v="Indice de ejecución del PAAI 2021"/>
    <s v="Bertha Sofía Ortiz Gutiérrez"/>
    <x v="4"/>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14"/>
    <s v="Realizar 1 Auditoría Interna"/>
    <n v="0.04"/>
    <s v="Informe de Auditoría"/>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15"/>
    <s v="Realizar 1 Auditoría Interna"/>
    <n v="0.04"/>
    <s v="Informe de Auditoría"/>
    <s v="Indice de ejecución del PAAI 2021"/>
    <s v="Bertha Sofía Ortiz Gutiérrez"/>
    <x v="6"/>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16"/>
    <s v="Realizar 1 Auditoría Interna"/>
    <n v="0.04"/>
    <s v="Informe de Auditoría"/>
    <s v="Indice de ejecución del PAAI 2021"/>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17"/>
    <s v="Realizar 1 Auditoría Interna"/>
    <n v="0.04"/>
    <s v="Informe de Auditoría"/>
    <s v="Indice de ejecución del PAAI 2021"/>
    <s v="Bertha Sofía Ortiz Gutiérrez"/>
    <x v="8"/>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18"/>
    <s v="Realizar 8 Informes de Ley"/>
    <n v="0.05"/>
    <s v="Informes o reportes"/>
    <s v="Indice de ejecución del PAAI 2021"/>
    <s v="Bertha Sofía Ortiz Gutiérrez"/>
    <x v="1"/>
    <s v="N/A"/>
    <s v="N/A"/>
    <s v="D7 Control Interno"/>
    <s v="POLÍTICA 16 Control Interno"/>
    <s v="2. Incorporar las mejores prácticas organizacionales y tecnológicas que garanticen calidad e integridad de la gestión pública."/>
    <s v="19. Evaluación y Control"/>
    <s v="N/A"/>
    <n v="0.05"/>
    <s v="Enero"/>
  </r>
  <r>
    <x v="1"/>
    <x v="1"/>
    <s v="Ejecutar las actividades programadas dentro del Plan Anual de Auditorías Internas - PAAI 2021, de conformidad con los roles establecidos para Control Interno."/>
    <n v="0.6"/>
    <x v="19"/>
    <s v="Realizar 5 Informes de Ley"/>
    <n v="0.02"/>
    <s v="Informes o reportes"/>
    <s v="Indice de ejecución del PAAI 2021"/>
    <s v="Bertha Sofía Ortiz Gutiérrez"/>
    <x v="2"/>
    <s v="N/A"/>
    <s v="N/A"/>
    <s v="D7 Control Interno"/>
    <s v="POLÍTICA 16 Control Interno"/>
    <s v="2. Incorporar las mejores prácticas organizacionales y tecnológicas que garanticen calidad e integridad de la gestión pública."/>
    <s v="19. Evaluación y Control"/>
    <s v="N/A"/>
    <n v="0.02"/>
    <s v="Febrero"/>
  </r>
  <r>
    <x v="1"/>
    <x v="1"/>
    <s v="Ejecutar las actividades programadas dentro del Plan Anual de Auditorías Internas - PAAI 2021, de conformidad con los roles establecidos para Control Interno."/>
    <n v="0.6"/>
    <x v="20"/>
    <s v="Realizar 6 Informes de Ley"/>
    <n v="0.03"/>
    <s v="Informes o reportes"/>
    <s v="Indice de ejecución del PAAI 2021"/>
    <s v="Bertha Sofía Ortiz Gutiérrez"/>
    <x v="3"/>
    <s v="N/A"/>
    <s v="N/A"/>
    <s v="D7 Control Interno"/>
    <s v="POLÍTICA 16 Control Interno"/>
    <s v="2. Incorporar las mejores prácticas organizacionales y tecnológicas que garanticen calidad e integridad de la gestión pública."/>
    <s v="19. Evaluación y Control"/>
    <s v="N/A"/>
    <n v="0.03"/>
    <s v="Marzo"/>
  </r>
  <r>
    <x v="1"/>
    <x v="1"/>
    <s v="Ejecutar las actividades programadas dentro del Plan Anual de Auditorías Internas - PAAI 2021, de conformidad con los roles establecidos para Control Interno."/>
    <n v="0.6"/>
    <x v="21"/>
    <s v="Realizar 2 Informes de Ley"/>
    <n v="5.0000000000000001E-3"/>
    <s v="Informes o reportes"/>
    <s v="Indice de ejecución del PAAI 2021"/>
    <s v="Bertha Sofía Ortiz Gutiérrez"/>
    <x v="4"/>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2"/>
    <s v="Realizar 2 Informes de Ley"/>
    <n v="5.0000000000000001E-3"/>
    <s v="Informes o reportes"/>
    <s v="Indice de ejecución del PAAI 2021"/>
    <s v="Bertha Sofía Ortiz Gutiérrez"/>
    <x v="9"/>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3"/>
    <s v="Realizar 2 Informes de Ley"/>
    <n v="5.0000000000000001E-3"/>
    <s v="Informes o reportes"/>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4"/>
    <s v="Realizar 7 Informes de Ley"/>
    <n v="0.04"/>
    <s v="Informes o reportes"/>
    <s v="Indice de ejecución del PAAI 2021"/>
    <s v="Bertha Sofía Ortiz Gutiérrez"/>
    <x v="6"/>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5"/>
    <s v="Realizar 2 Informes de Ley"/>
    <n v="5.0000000000000001E-3"/>
    <s v="Informes o reportes"/>
    <s v="Indice de ejecución del PAAI 2021"/>
    <s v="Bertha Sofía Ortiz Gutiérrez"/>
    <x v="10"/>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6"/>
    <s v="Realizar 3 Informes de Ley"/>
    <n v="0.01"/>
    <s v="Informes o reportes"/>
    <s v="Indice de ejecución del PAAI 2021"/>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7"/>
    <s v="Realizar 2 Informes de Ley"/>
    <n v="5.0000000000000001E-3"/>
    <s v="Informes o reportes"/>
    <s v="Indice de ejecución del PAAI 2021"/>
    <s v="Bertha Sofía Ortiz Gutiérrez"/>
    <x v="8"/>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8"/>
    <s v="Realizar 2 Informes de Ley"/>
    <n v="5.0000000000000001E-3"/>
    <s v="Informes o reportes"/>
    <s v="Indice de ejecución del PAAI 2021"/>
    <s v="Bertha Sofía Ortiz Gutiérrez"/>
    <x v="11"/>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29"/>
    <s v="Realizar 2 Informes de Ley"/>
    <n v="5.0000000000000001E-3"/>
    <s v="Informes o reportes"/>
    <s v="Indice de ejecución del PAAI 2021"/>
    <s v="Bertha Sofía Ortiz Gutiérrez"/>
    <x v="0"/>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0"/>
    <s v="Realizar 2 Seguimientos de Ley"/>
    <n v="0.01"/>
    <s v="Informes o reportes"/>
    <s v="Indice de ejecución del PAAI 2021"/>
    <s v="Bertha Sofía Ortiz Gutiérrez"/>
    <x v="1"/>
    <s v="N/A"/>
    <s v="N/A"/>
    <s v="D7 Control Interno"/>
    <s v="POLÍTICA 16 Control Interno"/>
    <s v="2. Incorporar las mejores prácticas organizacionales y tecnológicas que garanticen calidad e integridad de la gestión pública."/>
    <s v="19. Evaluación y Control"/>
    <s v="N/A"/>
    <n v="0.01"/>
    <s v="Enero"/>
  </r>
  <r>
    <x v="1"/>
    <x v="1"/>
    <s v="Ejecutar las actividades programadas dentro del Plan Anual de Auditorías Internas - PAAI 2021, de conformidad con los roles establecidos para Control Interno."/>
    <n v="0.6"/>
    <x v="31"/>
    <s v="Realizar 2 Seguimientos de Ley"/>
    <n v="0.01"/>
    <s v="Informes o reportes"/>
    <s v="Indice de ejecución del PAAI 2021"/>
    <s v="Bertha Sofía Ortiz Gutiérrez"/>
    <x v="2"/>
    <s v="N/A"/>
    <s v="N/A"/>
    <s v="D7 Control Interno"/>
    <s v="POLÍTICA 16 Control Interno"/>
    <s v="2. Incorporar las mejores prácticas organizacionales y tecnológicas que garanticen calidad e integridad de la gestión pública."/>
    <s v="19. Evaluación y Control"/>
    <s v="N/A"/>
    <n v="0.01"/>
    <s v="Febrero"/>
  </r>
  <r>
    <x v="1"/>
    <x v="1"/>
    <s v="Ejecutar las actividades programadas dentro del Plan Anual de Auditorías Internas - PAAI 2021, de conformidad con los roles establecidos para Control Interno."/>
    <n v="0.6"/>
    <x v="32"/>
    <s v="Realizar 2 Seguimientos de Ley"/>
    <n v="0.01"/>
    <s v="Informes o reportes"/>
    <s v="Indice de ejecución del PAAI 2021"/>
    <s v="Bertha Sofía Ortiz Gutiérrez"/>
    <x v="3"/>
    <s v="N/A"/>
    <s v="N/A"/>
    <s v="D7 Control Interno"/>
    <s v="POLÍTICA 16 Control Interno"/>
    <s v="2. Incorporar las mejores prácticas organizacionales y tecnológicas que garanticen calidad e integridad de la gestión pública."/>
    <s v="19. Evaluación y Control"/>
    <s v="N/A"/>
    <n v="0.01"/>
    <s v="Marzo"/>
  </r>
  <r>
    <x v="1"/>
    <x v="1"/>
    <s v="Ejecutar las actividades programadas dentro del Plan Anual de Auditorías Internas - PAAI 2021, de conformidad con los roles establecidos para Control Interno."/>
    <n v="0.6"/>
    <x v="33"/>
    <s v="Realizar 3 Seguimientos de Ley"/>
    <n v="1.4999999999999999E-2"/>
    <s v="Informes o reportes"/>
    <s v="Indice de ejecución del PAAI 2021"/>
    <s v="Bertha Sofía Ortiz Gutiérrez"/>
    <x v="4"/>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4"/>
    <s v="Realizar 2 Seguimientos de Ley"/>
    <n v="0.01"/>
    <s v="Informes o reportes"/>
    <s v="Indice de ejecución del PAAI 2021"/>
    <s v="Bertha Sofía Ortiz Gutiérrez"/>
    <x v="9"/>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5"/>
    <s v="Realizar 1 Seguimientos de Ley"/>
    <n v="5.0000000000000001E-3"/>
    <s v="Informes o reportes"/>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6"/>
    <s v="Realizar 1 Seguimientos de Ley"/>
    <n v="5.0000000000000001E-3"/>
    <s v="Informes o reportes"/>
    <s v="Indice de ejecución del PAAI 2021"/>
    <s v="Bertha Sofía Ortiz Gutiérrez"/>
    <x v="6"/>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7"/>
    <s v="Realizar 2 Seguimientos de Ley"/>
    <n v="0.01"/>
    <s v="Informes o reportes"/>
    <s v="Indice de ejecución del PAAI 2021"/>
    <s v="Bertha Sofía Ortiz Gutiérrez"/>
    <x v="10"/>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8"/>
    <s v="Realizar 5 Seguimientos de Ley"/>
    <n v="0.03"/>
    <s v="Informes o reportes"/>
    <s v="Indice de ejecución del PAAI 2021"/>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39"/>
    <s v="Realizar 2 Seguimientos de Ley"/>
    <n v="0.01"/>
    <s v="Informes o reportes"/>
    <s v="Indice de ejecución del PAAI 2021"/>
    <s v="Bertha Sofía Ortiz Gutiérrez"/>
    <x v="11"/>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40"/>
    <s v="Realizar 2 Seguimientos de Ley"/>
    <n v="0.01"/>
    <s v="Informes o reportes"/>
    <s v="Indice de ejecución del PAAI 2021"/>
    <s v="Bertha Sofía Ortiz Gutiérrez"/>
    <x v="0"/>
    <s v="N/A"/>
    <s v="N/A"/>
    <s v="D7 Control Interno"/>
    <s v="POLÍTICA 16 Control Interno"/>
    <s v="2. Incorporar las mejores prácticas organizacionales y tecnológicas que garanticen calidad e integridad de la gestión pública."/>
    <s v="19. Evaluación y Control"/>
    <s v="N/A"/>
    <m/>
    <m/>
  </r>
  <r>
    <x v="1"/>
    <x v="1"/>
    <s v="Ejecutar las actividades programadas dentro del Plan Anual de Auditorías Internas - PAAI 2021, de conformidad con los roles establecidos para Control Interno."/>
    <n v="0.6"/>
    <x v="41"/>
    <s v="Realizar capacitación en riesgos"/>
    <n v="0.01"/>
    <s v="Listado de Asistencia"/>
    <s v="Indice de ejecución del PAAI 2021"/>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x v="2"/>
    <s v="Revisar y actualizar la documentación del Proceso de Evaluación y Control a cargo de Control Interno."/>
    <n v="0.1"/>
    <x v="7"/>
    <s v="Revisar documentos (Estatuto de auditoría, procedimiento de auditoría y formatos)"/>
    <n v="0.1"/>
    <s v="Documentos del Proceso de Evaluación y Control revisados y actualizados."/>
    <s v="Indice de documentos revisados y actualizados"/>
    <s v="Bertha Sofía Ortiz Gutiérrez"/>
    <x v="8"/>
    <s v="N/A"/>
    <s v="N/A"/>
    <s v="D7 Control Interno"/>
    <s v="POLÍTICA 16 Control Interno"/>
    <s v="2. Incorporar las mejores prácticas organizacionales y tecnológicas que garanticen calidad e integridad de la gestión pública."/>
    <s v="19. Evaluación y Control"/>
    <s v="N/A"/>
    <m/>
    <m/>
  </r>
  <r>
    <x v="1"/>
    <x v="3"/>
    <s v="Tramitar y dar respuesta a los requerimientos de los entes de control. (A demanda)"/>
    <n v="0.2"/>
    <x v="10"/>
    <s v="Dar respuesta a los requerimientos de los entes de control."/>
    <n v="0.05"/>
    <s v="Respuestas a requerimientos de entes de control"/>
    <s v="Indice de respuestas a requerimientos de entes de control"/>
    <s v="Bertha Sofía Ortiz Gutiérrez"/>
    <x v="3"/>
    <s v="N/A"/>
    <s v="N/A"/>
    <s v="D7 Control Interno"/>
    <s v="POLÍTICA 16 Control Interno"/>
    <s v="2. Incorporar las mejores prácticas organizacionales y tecnológicas que garanticen calidad e integridad de la gestión pública."/>
    <s v="19. Evaluación y Control"/>
    <s v="N/A"/>
    <n v="0.05"/>
    <s v="Marzo"/>
  </r>
  <r>
    <x v="1"/>
    <x v="3"/>
    <s v="Tramitar y dar respuesta a los requerimientos de los entes de control. (A demanda)"/>
    <n v="0.2"/>
    <x v="11"/>
    <s v="Dar respuesta a los requerimientos de los entes de control."/>
    <n v="0.05"/>
    <s v="Respuestas a requerimientos de entes de control"/>
    <s v="Indice de respuestas a requerimientos de entes de control"/>
    <s v="Bertha Sofía Ortiz Gutiérrez"/>
    <x v="5"/>
    <s v="N/A"/>
    <s v="N/A"/>
    <s v="D7 Control Interno"/>
    <s v="POLÍTICA 16 Control Interno"/>
    <s v="2. Incorporar las mejores prácticas organizacionales y tecnológicas que garanticen calidad e integridad de la gestión pública."/>
    <s v="19. Evaluación y Control"/>
    <s v="N/A"/>
    <m/>
    <m/>
  </r>
  <r>
    <x v="1"/>
    <x v="3"/>
    <s v="Tramitar y dar respuesta a los requerimientos de los entes de control. (A demanda)"/>
    <n v="0.2"/>
    <x v="12"/>
    <s v="Dar respuesta a los requerimientos de los entes de control."/>
    <n v="0.05"/>
    <s v="Respuestas a requerimientos de entes de control"/>
    <s v="Indice de respuestas a requerimientos de entes de control"/>
    <s v="Bertha Sofía Ortiz Gutiérrez"/>
    <x v="7"/>
    <s v="N/A"/>
    <s v="N/A"/>
    <s v="D7 Control Interno"/>
    <s v="POLÍTICA 16 Control Interno"/>
    <s v="2. Incorporar las mejores prácticas organizacionales y tecnológicas que garanticen calidad e integridad de la gestión pública."/>
    <s v="19. Evaluación y Control"/>
    <s v="N/A"/>
    <m/>
    <m/>
  </r>
  <r>
    <x v="1"/>
    <x v="3"/>
    <s v="Tramitar y dar respuesta a los requerimientos de los entes de control. (A demanda)"/>
    <n v="0.2"/>
    <x v="13"/>
    <s v="Dar respuesta a los requerimientos de los entes de control."/>
    <n v="0.05"/>
    <s v="Respuestas a requerimientos de entes de control"/>
    <s v="Indice de respuestas a requerimientos de entes de control"/>
    <s v="Bertha Sofía Ortiz Gutiérrez"/>
    <x v="0"/>
    <s v="N/A"/>
    <s v="N/A"/>
    <s v="D7 Control Interno"/>
    <s v="POLÍTICA 16 Control Interno"/>
    <s v="2. Incorporar las mejores prácticas organizacionales y tecnológicas que garanticen calidad e integridad de la gestión pública."/>
    <s v="19. Evaluación y Control"/>
    <s v="N/A"/>
    <m/>
    <m/>
  </r>
  <r>
    <x v="2"/>
    <x v="0"/>
    <s v="Seguimiento"/>
    <n v="0.3"/>
    <x v="0"/>
    <s v="Efectuar el seguimiento al PAAC I CUATRIMESTRE"/>
    <n v="1.4999999999999999E-2"/>
    <s v="PAAC actualizado"/>
    <s v="Aumento en el porcentaje de avance del PAAC : _x000a_Actividades realizadas / Actividades planeadas "/>
    <s v="Libardo Murillo - Carlos Felipe Rojas"/>
    <x v="7"/>
    <s v="N.A"/>
    <s v="N/A"/>
    <s v="D2 Direccionamiento Estratégico y Planeación"/>
    <s v="POLÍTICA 3 Planeación Institucional"/>
    <s v="2. Incorporar las mejores prácticas organizacionales y tecnológicas que garanticen calidad e integridad de la gestión pública."/>
    <s v="1. Direccionamiento Estratégico"/>
    <s v="9. Plan anticorrupción y de atención al ciudadano"/>
    <m/>
    <m/>
  </r>
  <r>
    <x v="2"/>
    <x v="0"/>
    <s v="Seguimiento"/>
    <n v="0.3"/>
    <x v="1"/>
    <s v="Efectuar el seguimiento al PAAC II CUATRIMESTRE"/>
    <n v="1.4999999999999999E-2"/>
    <s v="PAAC actualizado"/>
    <s v="Aumento en el porcentaje de avance del PAAC : _x000a_Actividades realizadas / Actividades planeadas "/>
    <s v="Libardo Murillo - Carlos Felipe Rojas"/>
    <x v="7"/>
    <s v="N.A"/>
    <s v="N/A"/>
    <s v="D2 Direccionamiento Estratégico y Planeación"/>
    <s v="POLÍTICA 3 Planeación Institucional"/>
    <s v="2. Incorporar las mejores prácticas organizacionales y tecnológicas que garanticen calidad e integridad de la gestión pública."/>
    <s v="1. Direccionamiento Estratégico"/>
    <s v="9. Plan anticorrupción y de atención al ciudadano"/>
    <m/>
    <m/>
  </r>
  <r>
    <x v="2"/>
    <x v="0"/>
    <s v="Seguimiento"/>
    <n v="0.3"/>
    <x v="2"/>
    <s v="Efectuar el seguimiento al PAAC III CUATRIMESTRE"/>
    <n v="1.4999999999999999E-2"/>
    <s v="PAAC actualizado"/>
    <s v="Aumento en el porcentaje de avance del PAAC : _x000a_Actividades realizadas / Actividades planeadas "/>
    <s v="Libardo Murillo - Carlos Felipe Rojas"/>
    <x v="12"/>
    <s v="N.A"/>
    <s v="N/A"/>
    <s v="D2 Direccionamiento Estratégico y Planeación"/>
    <s v="POLÍTICA 3 Planeación Institucional"/>
    <s v="2. Incorporar las mejores prácticas organizacionales y tecnológicas que garanticen calidad e integridad de la gestión pública."/>
    <s v="1. Direccionamiento Estratégico"/>
    <s v="9. Plan anticorrupción y de atención al ciudadano"/>
    <m/>
    <m/>
  </r>
  <r>
    <x v="2"/>
    <x v="0"/>
    <s v="Seguimiento"/>
    <n v="0.3"/>
    <x v="3"/>
    <s v="Diligenciar el aplicativo de la matríz de transparencia ITA"/>
    <n v="2.5000000000000001E-2"/>
    <s v="Matriz de transparencia ITA diligenciada y enviada "/>
    <s v="% de avance del aplicativo:_x000a_Modulos diligenciados satisfactoriamente/ Modulos totales del aplicativo"/>
    <s v="Libardo Murillo - Luz Mireya Gómez"/>
    <x v="10"/>
    <s v="N/A"/>
    <s v="N/A"/>
    <s v="D4 Evaluación de Resultados"/>
    <s v="POLÍTICA 13 Seguimiento y Evaluación del Desempeño Institucional"/>
    <s v="2. Incorporar las mejores prácticas organizacionales y tecnológicas que garanticen calidad e integridad de la gestión pública."/>
    <s v="1. Direccionamiento Estratégico"/>
    <s v="N/A"/>
    <n v="0.2"/>
    <m/>
  </r>
  <r>
    <x v="2"/>
    <x v="0"/>
    <s v="Seguimiento"/>
    <n v="0.3"/>
    <x v="42"/>
    <s v="DNP - Gestionar la actualización de la información del SISCOMPES"/>
    <n v="0.01"/>
    <s v="Actualizaciones realizadas"/>
    <s v="% de actualizaciones de modulo SISCOMPES "/>
    <s v="Libardo Murillo - Luz Mireya Gómez"/>
    <x v="0"/>
    <s v="N/A"/>
    <s v="N/A"/>
    <s v="D4 Evaluación de Resultados"/>
    <s v="POLÍTICA 13 Seguimiento y Evaluación del Desempeño Institucional"/>
    <s v="2. Incorporar las mejores prácticas organizacionales y tecnológicas que garanticen calidad e integridad de la gestión pública."/>
    <s v="1. Direccionamiento Estratégico"/>
    <s v="N/A"/>
    <n v="0.25"/>
    <s v="Marzo"/>
  </r>
  <r>
    <x v="2"/>
    <x v="0"/>
    <s v="Seguimiento"/>
    <n v="0.3"/>
    <x v="43"/>
    <s v="Asesorar y validar el seguimiento al SPI de los proyectos de inversión"/>
    <n v="1.4999999999999999E-2"/>
    <s v="Sistema y matriz SPI actualizada"/>
    <s v="Aumento en el porcentaje de avance del SPI : _x000a_Actividades realizadas / Actividades planeadas "/>
    <s v="Libardo Murillo - Luz Mireya Gómez"/>
    <x v="0"/>
    <s v="N/A"/>
    <s v="5 - Generación de valor público a traves del emprendimiento y la innovación para la UPME ubicada en Bogotá - 2019011000090"/>
    <s v="D4 Evaluación de Resultados"/>
    <s v="POLÍTICA 13 Seguimiento y Evaluación del Desempeño Institucional"/>
    <s v="2. Incorporar las mejores prácticas organizacionales y tecnológicas que garanticen calidad e integridad de la gestión pública."/>
    <s v="1. Direccionamiento Estratégico"/>
    <s v="N/A"/>
    <n v="0.25"/>
    <s v="Marzo"/>
  </r>
  <r>
    <x v="2"/>
    <x v="0"/>
    <s v="Seguimiento"/>
    <n v="0.3"/>
    <x v="44"/>
    <s v="Generar el seguimiento y los reportes presupuestales de proyectos de inversión Primer trimestre "/>
    <n v="1.4999999999999999E-2"/>
    <s v="Informe de seguimiento trimestral socializado con los dueños de proceso "/>
    <s v="# de indicadores presupuestales calculados/ # de indcadores presupuestales planteados"/>
    <s v="Luz Mireya Gómez - Libardo Murillo"/>
    <x v="3"/>
    <s v="N/A"/>
    <s v="N/A"/>
    <s v="D2 Direccionamiento Estratégico y Planeación"/>
    <s v="POLÍTICA 3 Planeación Institucional"/>
    <s v="2. Incorporar las mejores prácticas organizacionales y tecnológicas que garanticen calidad e integridad de la gestión pública."/>
    <s v="1. Direccionamiento Estratégico"/>
    <s v="N/A"/>
    <n v="1.4999999999999999E-2"/>
    <s v="Marzo"/>
  </r>
  <r>
    <x v="2"/>
    <x v="0"/>
    <s v="Seguimiento"/>
    <n v="0.3"/>
    <x v="45"/>
    <s v="Generar el seguimiento y los reportes presupuestales de proyectos de inversión segundo trimestre "/>
    <n v="1.4999999999999999E-2"/>
    <s v="Informe de seguimiento trimestral socializado con los dueños de proceso "/>
    <s v="# de indicadores presupuestales calculados/ # de indcadores presupuestales planteados"/>
    <s v="Luz Mireya Gómez - Libardo Murillo"/>
    <x v="5"/>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46"/>
    <s v="Generar el seguimiento y los reportes presupuestales de proyectos de inversión tercer trimestre "/>
    <n v="1.4999999999999999E-2"/>
    <s v="Informe de seguimiento trimestral socializado con los dueños de proceso "/>
    <s v="# de indicadores presupuestales calculados/ # de indcadores presupuestales planteados"/>
    <s v="Luz Mireya Gómez - Libardo Murillo"/>
    <x v="7"/>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47"/>
    <s v="Generar el seguimiento y los reportes presupuestales de proyectos de inversión cuarto trimestre "/>
    <n v="1.4999999999999999E-2"/>
    <s v="Informe de seguimiento trimestral socializado con los dueños de proceso "/>
    <s v="# de indicadores presupuestales calculados/ # de indcadores presupuestales planteados"/>
    <s v="Luz Mireya Gómez - Libardo Murillo"/>
    <x v="0"/>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48"/>
    <s v="Realizar el reporte de avance de trámites en el SUIT 1er trimestre "/>
    <n v="1.4999999999999999E-2"/>
    <s v="Reporte actualizado de tramites ante el SUIT "/>
    <s v="#de actualizaciónes realizadas / #de actualizaciones programadas "/>
    <s v="Luz Mireya Gómez - Libardo Murillo"/>
    <x v="4"/>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n v="0"/>
    <m/>
  </r>
  <r>
    <x v="2"/>
    <x v="0"/>
    <s v="Seguimiento"/>
    <n v="0.3"/>
    <x v="49"/>
    <s v="Realizar el reporte de avance de trámites en el SUIT 2er trimestre "/>
    <n v="1.4999999999999999E-2"/>
    <s v="Reporte actualizado de tramites ante el SUIT "/>
    <s v="#de actualizaciónes realizadas / #de actualizaciones programadas "/>
    <s v="Luz Mireya Gómez - Libardo Murillo"/>
    <x v="6"/>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50"/>
    <s v="Realizar el reporte de avance de trámites en el SUIT 3er trimestre "/>
    <n v="1.4999999999999999E-2"/>
    <s v="Reporte actualizado de tramites ante el SUIT "/>
    <s v="#de actualizaciónes realizadas / #de actualizaciones programadas "/>
    <s v="Luz Mireya Gómez - Libardo Murillo"/>
    <x v="8"/>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51"/>
    <s v="Realizar el reporte de avance de trámites en el SUIT 4er trimestre 2020"/>
    <n v="1.4999999999999999E-2"/>
    <s v="Reporte actualizado de tramites ante el SUIT "/>
    <s v="#de actualizaciónes realizadas / #de actualizaciones programadas "/>
    <s v="Luz Mireya Gómez - Libardo Murillo"/>
    <x v="1"/>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n v="1.4999999999999999E-2"/>
    <s v="Enero"/>
  </r>
  <r>
    <x v="2"/>
    <x v="0"/>
    <s v="Seguimiento"/>
    <n v="0.3"/>
    <x v="52"/>
    <s v="Realizar el informe de seguimiento al Plan Anual de Adquisiciones - PAA cuando se requiera en el SECOP II"/>
    <n v="0.01"/>
    <s v="Actualización del PAA subido al SECOP II"/>
    <s v="Aumento en el porcentaje de avance del PAA en el SECOPII : _x000a_actualizaciones realizadas / actualizaciones planeadas "/>
    <s v="Luz Mireya Gómez - Libardo Murillo"/>
    <x v="0"/>
    <s v="N/A"/>
    <s v="N/A"/>
    <s v="D2 Direccionamiento Estratégico y Planeación"/>
    <s v="POLÍTICA 4 Gestión Presupuestal y Eficiencia del Gasto Público"/>
    <s v="2. Incorporar las mejores prácticas organizacionales y tecnológicas que garanticen calidad e integridad de la gestión pública."/>
    <s v="1. Direccionamiento Estratégico"/>
    <s v="2. Plan anual de adquisiciones"/>
    <n v="0.25"/>
    <s v="Marzo"/>
  </r>
  <r>
    <x v="2"/>
    <x v="0"/>
    <s v="Seguimiento"/>
    <n v="0.3"/>
    <x v="53"/>
    <s v="Realizar el seguimiento al Plan Estratégico Institucional - PEI I Trim"/>
    <n v="0.01"/>
    <s v="Actualización de la matriz del PEI"/>
    <s v="Aumento en el porcentaje de avance del PEI : _x000a_Actividades realizadas / Actividades planeadas "/>
    <s v="Libardo Murillo - Luz Mireya Gómez"/>
    <x v="5"/>
    <s v="N/A"/>
    <s v="N/A"/>
    <s v="D2 Direccionamiento Estratégico y Planeación"/>
    <s v="POLÍTICA 3 Planeación Institucional"/>
    <s v="2. Incorporar las mejores prácticas organizacionales y tecnológicas que garanticen calidad e integridad de la gestión pública."/>
    <s v="1. Direccionamiento Estratégico"/>
    <s v="N/A"/>
    <m/>
    <s v="Enero"/>
  </r>
  <r>
    <x v="2"/>
    <x v="0"/>
    <s v="Seguimiento"/>
    <n v="0.3"/>
    <x v="54"/>
    <s v="Realizar el seguimiento al Plan Estratégico Institucional - PEI II Trim"/>
    <n v="0.01"/>
    <s v="Actualización de la matriz del PEI"/>
    <s v="Aumento en el porcentaje de avance del PEI : _x000a_Actividades realizadas / Actividades planeadas "/>
    <s v="Libardo Murillo - Luz Mireya Gómez"/>
    <x v="8"/>
    <s v="N/A"/>
    <s v="N/A"/>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0"/>
    <s v="Seguimiento"/>
    <n v="0.3"/>
    <x v="55"/>
    <s v="Consolidar el informe de gestión"/>
    <n v="1.4999999999999999E-2"/>
    <s v="Informe de gestión consolido "/>
    <s v="Aumento en el porcentaje de avance del informe de gestión:  _x000a_logros y retos informados/ logros y retos planteados"/>
    <s v="Libardo Murillo - Luz Mireya Gómez"/>
    <x v="0"/>
    <s v="N/A"/>
    <s v="N/A"/>
    <s v="D5 Información y Comunicación"/>
    <s v="POLÍTICA 13 Seguimiento y Evaluación del Desempeño Institucional"/>
    <s v="2. Incorporar las mejores prácticas organizacionales y tecnológicas que garanticen calidad e integridad de la gestión pública."/>
    <s v="1. Direccionamiento Estratégico"/>
    <s v="N/A"/>
    <n v="0.2"/>
    <s v="Marzo"/>
  </r>
  <r>
    <x v="2"/>
    <x v="0"/>
    <s v="Seguimiento"/>
    <n v="0.3"/>
    <x v="56"/>
    <s v="Consolidar el informe de rendición de cuentas"/>
    <n v="1.4999999999999999E-2"/>
    <s v="Informe de rendición de cuentas consolido "/>
    <s v="Aumento en el porcentaje de avance del informe de rendición de cuentas:  _x000a_logros y retos informados/ logros y retos planteados"/>
    <s v="Libardo Murillo - Luz Mireya Gómez"/>
    <x v="0"/>
    <s v="N/A"/>
    <s v="N/A"/>
    <s v="D5 Información y Comunicación"/>
    <s v="POLÍTICA 12 Participación Ciudadana en la Gestión Pública"/>
    <s v="2. Incorporar las mejores prácticas organizacionales y tecnológicas que garanticen calidad e integridad de la gestión pública."/>
    <s v="1. Direccionamiento Estratégico"/>
    <s v="N/A"/>
    <m/>
    <m/>
  </r>
  <r>
    <x v="2"/>
    <x v="0"/>
    <s v="Seguimiento"/>
    <n v="0.3"/>
    <x v="57"/>
    <s v="Consolidar las memorias al congreso"/>
    <n v="0.01"/>
    <s v="Informe de memorias al congreso consolido "/>
    <s v="Aumento en el porcentaje de avance de las memorias al congreso:   _x000a_logros y retos informados/ logros y retos planteados"/>
    <s v="Libardo Murillo - Luz Mireya Gómez"/>
    <x v="10"/>
    <s v="N/A"/>
    <s v="N/A"/>
    <s v="D5 Información y Comunicación"/>
    <s v="POLÍTICA 13 Seguimiento y Evaluación del Desempeño Institucional"/>
    <s v="2. Incorporar las mejores prácticas organizacionales y tecnológicas que garanticen calidad e integridad de la gestión pública."/>
    <s v="1. Direccionamiento Estratégico"/>
    <s v="N/A"/>
    <m/>
    <m/>
  </r>
  <r>
    <x v="2"/>
    <x v="0"/>
    <s v="Seguimiento"/>
    <n v="0.3"/>
    <x v="58"/>
    <s v="Cooperación internacional"/>
    <n v="5.0000000000000001E-3"/>
    <s v="Matriz de seguimiento a las iniciativas de cooperacion internacional "/>
    <s v="Tiempo de respuesta frente a las iniciativas hasta su resultado_x000a_ (# dias)"/>
    <s v="Libardo Murillo - Luz Mireya Gómez"/>
    <x v="0"/>
    <s v="N/A"/>
    <s v="N/A"/>
    <s v="D6 Gestión del Conocimiento"/>
    <s v="POLÍTICA 15 Gestión del Conocimiento"/>
    <s v="2. Incorporar las mejores prácticas organizacionales y tecnológicas que garanticen calidad e integridad de la gestión pública."/>
    <s v="1. Direccionamiento Estratégico"/>
    <s v="N/A"/>
    <n v="0.2"/>
    <s v="Marzo"/>
  </r>
  <r>
    <x v="2"/>
    <x v="0"/>
    <s v="Seguimiento"/>
    <n v="0.3"/>
    <x v="59"/>
    <s v="Orientar y gestionar el presupuesto 2022 ante la Dirección General y en Consejo Directivo"/>
    <n v="0.01"/>
    <s v="Presentación del presupuesto 2022"/>
    <s v="Conformidad del presupuesto con lo planteado por la Dirección "/>
    <s v="Libardo Murillo - Luz Mireya Gómez"/>
    <x v="3"/>
    <s v="N/A"/>
    <s v="N/A"/>
    <s v="D2 Direccionamiento Estratégico y Planeación"/>
    <s v="POLÍTICA 4 Gestión Presupuestal y Eficiencia del Gasto Público"/>
    <s v="2. Incorporar las mejores prácticas organizacionales y tecnológicas que garanticen calidad e integridad de la gestión pública."/>
    <s v="1. Direccionamiento Estratégico"/>
    <s v="N/A"/>
    <n v="0.01"/>
    <s v="Marzo"/>
  </r>
  <r>
    <x v="2"/>
    <x v="1"/>
    <s v="Implementar del SGC bajo la norma ISO 9001-2015"/>
    <n v="0.25"/>
    <x v="4"/>
    <s v="Actualizar el aplicativo SIGUEME en la versión del software que incluye MIPG"/>
    <n v="0.02"/>
    <s v="Aplicativo Sigueme actualizado"/>
    <s v="% implementacion en al Norma ISO 9001:2015"/>
    <s v="Libardo Murillo - Laura Gómez"/>
    <x v="2"/>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n v="0.01"/>
    <s v="Marzo"/>
  </r>
  <r>
    <x v="2"/>
    <x v="1"/>
    <s v="Implementar del SGC bajo la norma ISO 9001-2015"/>
    <n v="0.25"/>
    <x v="5"/>
    <s v="Validar la información actual del sistema SIGUEME."/>
    <n v="4.4999999999999998E-2"/>
    <s v="Backup documentacion Sigueme"/>
    <s v="% implementacion en al Norma ISO 9001:2015"/>
    <s v="Libardo Murillo - Laura Gómez"/>
    <x v="3"/>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n v="4.4999999999999998E-2"/>
    <s v="Marzo"/>
  </r>
  <r>
    <x v="2"/>
    <x v="1"/>
    <s v="Implementar del SGC bajo la norma ISO 9001-2015"/>
    <n v="0.25"/>
    <x v="6"/>
    <s v="Implementar las funcionalidades del sistema"/>
    <n v="2.5000000000000001E-2"/>
    <s v="Aplicativo Sigueme y sus modulos "/>
    <s v="% implementacion en al Norma ISO 9001:2015"/>
    <s v="Libardo Murillo - Laura Gómez"/>
    <x v="9"/>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x v="1"/>
    <s v="Implementar del SGC bajo la norma ISO 9001-2015"/>
    <n v="0.25"/>
    <x v="14"/>
    <s v="Realizar capacitación sobre el manejo de la nueva versión del aplicativo SIGUEME a los funcionarios."/>
    <n v="2.5000000000000001E-2"/>
    <s v="Jornadas de capacitacion, listas de asistencia"/>
    <s v="% implementacion en al Norma ISO 9001:2015"/>
    <s v="Libardo Murillo - Laura Gómez"/>
    <x v="5"/>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x v="1"/>
    <s v="Implementar del SGC bajo la norma ISO 9001-2015"/>
    <n v="0.25"/>
    <x v="15"/>
    <s v="Actualizar y cargar la información en el aplicativo SIGUEME."/>
    <n v="4.4999999999999998E-2"/>
    <s v="Actualizacion nuevas versiones de la documentacion del SGC"/>
    <s v="% implementacion en al Norma ISO 9001:2015"/>
    <s v="Libardo Murillo - Laura Gómez"/>
    <x v="5"/>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x v="1"/>
    <s v="Implementar del SGC bajo la norma ISO 9001-2015"/>
    <n v="0.25"/>
    <x v="16"/>
    <s v="Pre auditoría (Auditoría interna)"/>
    <n v="4.4999999999999998E-2"/>
    <s v="Informe auditoria interna"/>
    <s v="% implementacion en al Norma ISO 9001:2015"/>
    <s v="Libardo Murillo - Laura Gómez"/>
    <x v="10"/>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x v="1"/>
    <s v="Implementar del SGC bajo la norma ISO 9001-2015"/>
    <n v="0.25"/>
    <x v="17"/>
    <s v="Auditoría de certificación"/>
    <n v="4.4999999999999998E-2"/>
    <s v="Certificacion en la norma ISO9001:2015"/>
    <s v="% implementacion en al Norma ISO 9001:2015"/>
    <s v="Libardo Murillo - Laura Gómez"/>
    <x v="8"/>
    <s v="N/A"/>
    <s v="5 - Generación de valor público a traves del emprendimiento y la innovación para la UPME ubicada en Bogotá - 2019011000090"/>
    <s v="D3 Gestión para Resultados con Valores"/>
    <s v="POLÍTICA 5 Fortalecimiento Organizacional y Simplificación de Procesos"/>
    <s v="2. Incorporar las mejores prácticas organizacionales y tecnológicas que garanticen calidad e integridad de la gestión pública."/>
    <s v="21. Mejoramiento continuo"/>
    <s v="N/A"/>
    <m/>
    <m/>
  </r>
  <r>
    <x v="2"/>
    <x v="2"/>
    <s v="Implementar, mantener y mejorar el Sistema de Gestión - MIPG"/>
    <n v="0.25"/>
    <x v="7"/>
    <s v="Cargue de información al módulo MIPG en el SIGUEME"/>
    <n v="0.01"/>
    <s v="Sistema SIGUEME con la documentación cargada, la cual se podrá observar en el módulo de documentos"/>
    <s v="% de avance en la implementación del MIPG (2.5% anual)"/>
    <s v="Libardo Murillo - Carlos Felipe Rojas"/>
    <x v="5"/>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8"/>
    <s v="Realizar seguimiento al &quot;Plan de trabajo para cierre de brechas de MIPG&quot; I Trim"/>
    <n v="1.4999999999999999E-2"/>
    <s v="Archivo excel con el avance del I Trim registrado"/>
    <s v="% de avance en la implementación del MIPG (2.5% anual)"/>
    <s v="Libardo Murillo - Carlos Felipe Rojas"/>
    <x v="4"/>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9"/>
    <s v="Realizar seguimiento al &quot;Plan de trabajo para cierre de brechas de MIPG&quot; II Trim"/>
    <n v="1.4999999999999999E-2"/>
    <s v="Archivo excel con el avance del II Trim registrado"/>
    <s v="% de avance en la implementación del MIPG (2.5% anual)"/>
    <s v="Libardo Murillo - Carlos Felipe Rojas"/>
    <x v="6"/>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0"/>
    <s v="Realizar seguimiento al &quot;Plan de trabajo para cierre de brechas de MIPG&quot; III Trim"/>
    <n v="1.4999999999999999E-2"/>
    <s v="Archivo excel con el avance del III Trim registrado"/>
    <s v="% de avance en la implementación del MIPG (2.5% anual)"/>
    <s v="Libardo Murillo - Carlos Felipe Rojas"/>
    <x v="8"/>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1"/>
    <s v="Realizar seguimiento al &quot;Plan de trabajo para cierre de brechas de MIPG&quot; IV Trim"/>
    <n v="1.4999999999999999E-2"/>
    <s v="Archivo excel con el avance del IV Trim registrado"/>
    <s v="% de avance en la implementación del MIPG (2.5% anual)"/>
    <s v="Libardo Murillo - Carlos Felipe Rojas"/>
    <x v="12"/>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2"/>
    <s v="Actualizar los autodiagnósticos de MIPG"/>
    <n v="0.05"/>
    <s v="Archivos excel con los autodiagnósticos actualizados"/>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3"/>
    <s v="Formular plan de trabajo cierre de brechas de MIPG 2022"/>
    <n v="0.04"/>
    <s v="Archivo excel con el plan de trabajo cierre de brechas mi MIPG 2022"/>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4"/>
    <s v="Formular el PAAC vigencia 2022"/>
    <n v="0.05"/>
    <s v="Archivo excel con la formulación del PAAC vigencia 2022"/>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5"/>
    <s v="Ejecutar, hacer seguimiento y reporte de las actividades establecidas en el plan de trabajo de MIPG para el cierre de brechas"/>
    <n v="2.5000000000000001E-2"/>
    <s v="Archivo en excel consolidado del reporte del avance en implementación del MIPG de todas las áreas"/>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2"/>
    <s v="Implementar, mantener y mejorar el Sistema de Gestión - MIPG"/>
    <n v="0.25"/>
    <x v="66"/>
    <s v="Realizar la evaluación del MIPG en el aplicativo FURAG"/>
    <n v="1.4999999999999999E-2"/>
    <s v="Certificado de cumplimiento emitido por el aplicativo "/>
    <s v="% de avance en la implementación del MIPG (2.5% anual)"/>
    <s v="Libardo Murillo - Carlos Felipe Rojas"/>
    <x v="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N/A"/>
    <m/>
    <m/>
  </r>
  <r>
    <x v="2"/>
    <x v="3"/>
    <s v="Gestión de Proyectos"/>
    <n v="0.2"/>
    <x v="10"/>
    <s v="Actualizar los proyectos de inversión 2022"/>
    <n v="0.03"/>
    <s v="Proyectos de inversión 2022 registrados y actualizados en el SUIFP"/>
    <s v="Avance en el registro de proyectos de inversión: _x000a_# de proyectos registrados / # proyectos totales"/>
    <s v="Libardo Murillo - Luz Mireya Gómez"/>
    <x v="3"/>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n v="0.03"/>
    <s v="Marzo"/>
  </r>
  <r>
    <x v="2"/>
    <x v="3"/>
    <s v="Gestión de Proyectos"/>
    <n v="0.2"/>
    <x v="11"/>
    <s v="Formular nuevos proyectos MGA (Metodologia General Ajustada)"/>
    <n v="0.04"/>
    <s v="Proyecto registrado MGA "/>
    <s v="Avance en el registro de proyecto MGA: _x000a_# de proyectos registrados / # proyectos totales"/>
    <s v="Libardo Murillo - Luz Mireya Gómez"/>
    <x v="5"/>
    <s v="N/A"/>
    <s v="N/A"/>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2"/>
    <x v="3"/>
    <s v="Gestión de Proyectos"/>
    <n v="0.2"/>
    <x v="12"/>
    <s v="Mantener actualizada la información del sistema SUIFP - MGMP (Marco del Gasto de gasto de mediano Plazo)"/>
    <n v="3.5000000000000003E-2"/>
    <s v="Proyección de presupuesto socializada MGMP"/>
    <s v="#de actualizaciónes realizadas / #de actualizaciones programadas "/>
    <s v="Libardo Murillo - Luz Mireya Gómez"/>
    <x v="3"/>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n v="3.5000000000000003E-2"/>
    <s v="Marzo"/>
  </r>
  <r>
    <x v="2"/>
    <x v="3"/>
    <s v="Gestión de Proyectos"/>
    <n v="0.2"/>
    <x v="13"/>
    <s v="Mantener actualizada la información del sistema SUIFP - Actualización"/>
    <n v="3.5000000000000003E-2"/>
    <s v="Proyectos actualizados "/>
    <s v="#de actualizaciónes realizadas / #de actualizaciones programadas "/>
    <s v="Libardo Murillo - Luz Mireya Gómez"/>
    <x v="5"/>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2"/>
    <x v="3"/>
    <s v="Gestión de Proyectos"/>
    <n v="0.2"/>
    <x v="67"/>
    <s v="Mantener actualizada la información del sistema SUIFP - Decreto de liquidación"/>
    <n v="3.5000000000000003E-2"/>
    <s v="Proyectos definitivos registrados y actualizados con documentación requerida "/>
    <s v="#de actualizaciónes realizadas / #de actualizaciones programadas "/>
    <s v="Libardo Murillo - Luz Mireya Gómez"/>
    <x v="10"/>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2"/>
    <x v="3"/>
    <s v="Gestión de Proyectos"/>
    <n v="0.2"/>
    <x v="68"/>
    <s v="Realizar capacitaciones para formulación y actualización de proyectos"/>
    <n v="2.5000000000000001E-2"/>
    <s v="Capacitaciones realizadas a los gerentes de proyecto y enlaces "/>
    <s v="Grado de satisfacción frene a la capacitación "/>
    <s v="Libardo Murillo - Luz Mireya Gómez"/>
    <x v="5"/>
    <s v="N/A"/>
    <s v="5 - Generación de valor público a traves del emprendimiento y la innovación para la UPME ubicada en Bogotá - 2019011000090"/>
    <s v="D2 Direccionamiento Estratégico y Planeación"/>
    <s v="POLÍTICA 3 Planeación Institucional"/>
    <s v="2. Incorporar las mejores prácticas organizacionales y tecnológicas que garanticen calidad e integridad de la gestión pública."/>
    <s v="1. Direccionamiento Estratégico"/>
    <s v="2. Plan anual de adquisiciones"/>
    <m/>
    <m/>
  </r>
  <r>
    <x v="3"/>
    <x v="0"/>
    <s v="Modernización Institucional"/>
    <n v="0.1"/>
    <x v="69"/>
    <s v="Revisar y analizar los documentos del proceso de Modernización Institucional"/>
    <n v="0.1"/>
    <s v="Componente financiero revisado"/>
    <s v="Componente financiero revisado"/>
    <s v="Coordinador del GIT Financiero"/>
    <x v="10"/>
    <s v="N/A"/>
    <s v="N/A"/>
    <s v="D2 Direccionamiento Estratégico y Planeación"/>
    <s v="POLÍTICA 5 Fortalecimiento Organizacional y Simplificación de Procesos"/>
    <s v="2. Incorporar las mejores prácticas organizacionales y tecnológicas que garanticen calidad e integridad de la gestión pública."/>
    <s v="12. Gestión Financiera"/>
    <s v="N/A"/>
    <n v="0.05"/>
    <s v="Marzo"/>
  </r>
  <r>
    <x v="3"/>
    <x v="1"/>
    <s v="Cumplimiento de Planes Institucionales"/>
    <n v="0.1"/>
    <x v="70"/>
    <s v="Cumplir con las actividades derivadas de los diferentes planes institucionales donde participe el proceso de gestión financiera"/>
    <n v="0.1"/>
    <s v="Actividades de Gestión Financiera en Planes Cumplidas"/>
    <s v="Actividades de Gestión Financiera en Planes Cumplidas"/>
    <s v="Coordinador del GIT Financiero"/>
    <x v="0"/>
    <s v="N/A"/>
    <s v="N/A"/>
    <s v="D2 Direccionamiento Estratégico y Planeación"/>
    <s v="POLÍTICA 3 Planeación Institucional"/>
    <s v="2. Incorporar las mejores prácticas organizacionales y tecnológicas que garanticen calidad e integridad de la gestión pública."/>
    <s v="12. Gestión Financiera"/>
    <s v="N/A"/>
    <s v="2.5%"/>
    <s v="Marzo"/>
  </r>
  <r>
    <x v="3"/>
    <x v="2"/>
    <s v="Coordinación con GIT planeación, para la planeación, ejecución y seguimiento de presupuesto (Gestión presupuestal):"/>
    <n v="0.3"/>
    <x v="71"/>
    <s v="Anteproyecto Presupuesto 2022: Programación presupuestal a través de mesas de trabajo con el GIT de planeación y Áreas involucradas."/>
    <n v="0.09"/>
    <s v="Anteproyecto de Presupuesto 2022"/>
    <s v="Anteproyecto de Presupuesto_x000a_  Validado y Recibido en MinHacienda"/>
    <s v="Libardo Murillo - Holman Corredor y Coordinador del GIT Financiero"/>
    <x v="3"/>
    <s v="N/A"/>
    <s v="N/A"/>
    <s v="D2 Direccionamiento Estratégico y Planeación"/>
    <s v="POLÍTICA 4 Gestión Presupuestal y Eficiencia del Gasto Público"/>
    <s v="2. Incorporar las mejores prácticas organizacionales y tecnológicas que garanticen calidad e integridad de la gestión pública."/>
    <s v="12. Gestión Financiera"/>
    <s v="2. Plan anual de adquisiciones"/>
    <n v="0.09"/>
    <s v="Marzo"/>
  </r>
  <r>
    <x v="3"/>
    <x v="2"/>
    <s v="Coordinación con GIT planeación, para la planeación, ejecución y seguimiento de presupuesto (Gestión presupuestal):"/>
    <n v="0.3"/>
    <x v="72"/>
    <s v="Seguimiento coordinado con Planeación a la Ejecución del Presupuesto"/>
    <n v="0.21"/>
    <s v="Reportes e Informes de Seguimiento periódicos"/>
    <s v="#de reportes y seguimientos realizados / #de reportes y seguimientos programados"/>
    <s v="Libardo Murillo - Holman Corredor"/>
    <x v="0"/>
    <s v="N/A"/>
    <s v="N/A"/>
    <s v="D4 Evaluación de Resultados"/>
    <s v="POLÍTICA 4 Gestión Presupuestal y Eficiencia del Gasto Público"/>
    <s v="2. Incorporar las mejores prácticas organizacionales y tecnológicas que garanticen calidad e integridad de la gestión pública."/>
    <s v="1. Direccionamiento Estratégico"/>
    <s v="2. Plan anual de adquisiciones"/>
    <s v="5.25%"/>
    <s v="Marzo"/>
  </r>
  <r>
    <x v="3"/>
    <x v="3"/>
    <s v="Actualización y aplicación de las Políticas Contables de la Upme."/>
    <n v="0.1"/>
    <x v="73"/>
    <s v="Modificación al Manual de Políticas Contables"/>
    <n v="0.1"/>
    <s v="Manual de Políticas Contables Actualizado y publicado"/>
    <s v="Manual de Políticas Contables Actualizado y publicado"/>
    <s v="Contabilidad: Sandra Alvarez García"/>
    <x v="5"/>
    <s v="N/A"/>
    <s v="N/A"/>
    <s v="D2 Direccionamiento Estratégico y Planeación"/>
    <s v="POLÍTICA 3 Planeación Institucional"/>
    <s v="2. Incorporar las mejores prácticas organizacionales y tecnológicas que garanticen calidad e integridad de la gestión pública."/>
    <s v="12. Gestión Financiera"/>
    <s v="N/A"/>
    <n v="0.05"/>
    <s v="Marzo"/>
  </r>
  <r>
    <x v="3"/>
    <x v="4"/>
    <s v="Gestión Transversal Coordinación del GITGF"/>
    <n v="0.4"/>
    <x v="74"/>
    <s v="Elaboración y/o Actualización de los procedimientos de Gestión Financiera."/>
    <n v="6.6666666666666666E-2"/>
    <s v="Procedimientos Actualizados"/>
    <s v="Total de procedimientos elaborados y actualizados / Procedimientos a implementar del GITGF"/>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3.3000000000000002E-2"/>
    <s v="Marzo"/>
  </r>
  <r>
    <x v="3"/>
    <x v="4"/>
    <s v="Gestión Transversal Coordinación del GITGF"/>
    <n v="0.4"/>
    <x v="75"/>
    <s v="Gestión de Riesgos: Seguimiento a los controles e indicadores"/>
    <n v="6.6666666666666666E-2"/>
    <s v="Matriz de Riesgos GITGF"/>
    <s v="Total de riesgos valorados / Riesgos del Proces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0.01"/>
    <s v="Marzo"/>
  </r>
  <r>
    <x v="3"/>
    <x v="4"/>
    <s v="Gestión Transversal Coordinación del GITGF"/>
    <n v="0.4"/>
    <x v="76"/>
    <s v="Evaluación y Seguimiento: Consolidación de Indicadores de Gestión y seguimiento mediante el Plan de Trabajo del GITGF"/>
    <n v="6.6666666666666666E-2"/>
    <s v="Matriz de Indicadores"/>
    <s v="Indicadores evaluados / Indicadores del Proces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0.01"/>
    <s v="Marzo"/>
  </r>
  <r>
    <x v="3"/>
    <x v="4"/>
    <s v="Gestión Transversal Coordinación del GITGF"/>
    <n v="0.4"/>
    <x v="77"/>
    <s v="Planes de Mejoramiento: Cumplimiento de acciones de mejora y reportes de avances"/>
    <n v="6.6666666666666666E-2"/>
    <s v="Plan de Mejoramiento Consolidado"/>
    <s v="Acciones Cumplidas / Acciones del Plan de Mejoramient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1.7000000000000001E-2"/>
    <s v="Marzo"/>
  </r>
  <r>
    <x v="3"/>
    <x v="4"/>
    <s v="Gestión Transversal Coordinación del GITGF"/>
    <n v="0.4"/>
    <x v="78"/>
    <s v="Plan de Trabajo: Seguimiento al cumplimiento de metas de presupuesto, contabilidad y tesorería."/>
    <n v="6.6666666666666666E-2"/>
    <s v="Plan de Trabajo Anual"/>
    <s v="Metas Cumplidas / Metas del Plan de Trabajo"/>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1.7000000000000001E-2"/>
    <s v="Marzo"/>
  </r>
  <r>
    <x v="3"/>
    <x v="4"/>
    <s v="Gestión Transversal Coordinación del GITGF"/>
    <n v="0.4"/>
    <x v="79"/>
    <s v="Evaluación de Desempeño equipo de trabajo (provisionales)"/>
    <n v="6.6666666666666666E-2"/>
    <s v="Evaluación de Desempeño"/>
    <s v="Compromisos cumplidos / Compromisos programados"/>
    <s v="Grupo Interno de Trabajo de Gestión Financiera y Albeiro Guzmán F. Coordinador GITGF"/>
    <x v="0"/>
    <s v="N/A"/>
    <s v="N/A"/>
    <s v="D4 Evaluación de Resultados"/>
    <s v="POLÍTICA 13 Seguimiento y Evaluación del Desempeño Institucional"/>
    <s v="2. Incorporar las mejores prácticas organizacionales y tecnológicas que garanticen calidad e integridad de la gestión pública."/>
    <s v="12. Gestión Financiera"/>
    <s v="N/A"/>
    <n v="3.3000000000000002E-2"/>
    <s v="Marzo"/>
  </r>
  <r>
    <x v="4"/>
    <x v="0"/>
    <s v="Apoyar el proceso de modernización de la Entidad"/>
    <n v="0.1"/>
    <x v="0"/>
    <s v="Revisar los documentos asociados al proceso de modernización de la Entidad, en las competencias del GIT Gestión Jurídica"/>
    <n v="0.1"/>
    <s v="Documentos revisados"/>
    <s v="Documentos solicitados/documentos revisados"/>
    <s v="Coordinadora del GIT Gestión Contractual."/>
    <x v="10"/>
    <s v="N/A"/>
    <s v="N/A"/>
    <s v="D2 Direccionamiento Estratégico y Planeación"/>
    <s v="POLÍTICA 5 Fortalecimiento Organizacional y Simplificación de Procesos"/>
    <s v="2. Incorporar las mejores prácticas organizacionales y tecnológicas que garanticen calidad e integridad de la gestión pública."/>
    <s v="1. Direccionamiento Estratégico"/>
    <s v="N/A"/>
    <s v="37.5%"/>
    <s v="Marzo"/>
  </r>
  <r>
    <x v="4"/>
    <x v="1"/>
    <s v="Implementar el proceso de evaluación de provisionales y seguimiento a los indicadores de gestión"/>
    <n v="0.1"/>
    <x v="5"/>
    <s v="Concertar objetivos, realizar seguimiento a la evaluación, y cumplir los indicadores de gestión"/>
    <n v="0.1"/>
    <s v="Matriz de Indicadores diligenciadas._x000a_ Evaluaciones realizadas"/>
    <s v="Indicadores evaluados / Indicadores del Proceso"/>
    <s v="Coordinadora del GIT Gestión Contractual_x000a_ Profesionales universitarios_x000a_ Profesionales especailizados_x000a_ Tecnico Admnistrativo"/>
    <x v="0"/>
    <s v="N/A"/>
    <s v="N/A"/>
    <s v="D4 Evaluación de Resultados"/>
    <s v="POLÍTICA 13 Seguimiento y Evaluación del Desempeño Institucional"/>
    <s v="2. Incorporar las mejores prácticas organizacionales y tecnológicas que garanticen calidad e integridad de la gestión pública."/>
    <s v="19. Evaluación y Control"/>
    <s v="N/A"/>
    <n v="0.25"/>
    <s v="Marzo"/>
  </r>
  <r>
    <x v="4"/>
    <x v="2"/>
    <s v="Realizar seguimiento al cumplimiento de los planes a cargo del GIT Gestión Jurídica"/>
    <n v="0.2"/>
    <x v="9"/>
    <s v="Realizar seguimiento y control a las acciones propuestas en cada uno de los planes a cargo del GIT Gestión Jurídica (Plan de Mejoramiento Entidad, Plan de Mejoramiento Interno, FURAG, Política de Prevención de Daño Antijurídico)"/>
    <n v="0.2"/>
    <s v="Planes cumplidos"/>
    <s v="actividades propuestas / actividades cumplidas"/>
    <s v="Coordinadora del GIT Gestión Contractual_x000a_ Profesionales universitarios_x000a_ Profesionales especailizados_x000a_ Tecnico Admnistrativo"/>
    <x v="0"/>
    <s v="N/A"/>
    <s v="N/A"/>
    <s v="D4 Evaluación de Resultados"/>
    <s v="POLÍTICA 3 Planeación Institucional"/>
    <s v="2. Incorporar las mejores prácticas organizacionales y tecnológicas que garanticen calidad e integridad de la gestión pública."/>
    <s v="19. Evaluación y Control"/>
    <s v="N/A"/>
    <n v="0.25"/>
    <s v="Marzo"/>
  </r>
  <r>
    <x v="4"/>
    <x v="3"/>
    <s v="Fortalecimiento del acompañamiento jurídico a las áreas misionales"/>
    <n v="0.2"/>
    <x v="80"/>
    <s v="Realizar el comité de asuntos jurídicos con el fin de generar doctrina jurídica institucional"/>
    <n v="0.05"/>
    <s v="Sesiones del comité de asuntos jurídicos"/>
    <s v="#de sesiones del comité de asuntos jurídicios realizados / 4"/>
    <s v="Coordinadora del GIT Gestión Contractual._x000a_ Profesionales especializados con funciones jurídicas"/>
    <x v="3"/>
    <s v="N/A"/>
    <s v="N/A"/>
    <s v="D4 Evaluación de Resultados"/>
    <s v="POLÍTICA 17 Mejora Normativa"/>
    <s v="2. Incorporar las mejores prácticas organizacionales y tecnológicas que garanticen calidad e integridad de la gestión pública."/>
    <s v="16. Gestion contractual"/>
    <s v="N/A"/>
    <n v="0.05"/>
    <s v="Marzo"/>
  </r>
  <r>
    <x v="4"/>
    <x v="3"/>
    <s v="Fortalecimiento del acompañamiento jurídico a las áreas misionales"/>
    <n v="0.2"/>
    <x v="81"/>
    <s v="Realizar el comité de asuntos jurídicos con el fin de generar doctrina jurídica institucional"/>
    <n v="0.05"/>
    <s v="Sesiones del comité de asuntos jurídicos"/>
    <s v="#de sesiones del comité de asuntos jurídicios realizados / 6"/>
    <s v="Coordinadora del GIT Gestión Contractual._x000a_ Profesionales especializados con funciones jurídicas"/>
    <x v="5"/>
    <s v="N/A"/>
    <s v="N/A"/>
    <s v="D4 Evaluación de Resultados"/>
    <s v="POLÍTICA 17 Mejora Normativa"/>
    <s v="2. Incorporar las mejores prácticas organizacionales y tecnológicas que garanticen calidad e integridad de la gestión pública."/>
    <s v="16. Gestion contractual"/>
    <s v="N/A"/>
    <m/>
    <m/>
  </r>
  <r>
    <x v="4"/>
    <x v="3"/>
    <s v="Fortalecimiento del acompañamiento jurídico a las áreas misionales"/>
    <n v="0.2"/>
    <x v="82"/>
    <s v="Realizar el comité de asuntos jurídicos con el fin de generar doctrina jurídica institucional"/>
    <n v="0.05"/>
    <s v="Sesiones del comité de asuntos jurídicos"/>
    <s v="#de sesiones del comité de asuntos jurídicios realizados / 6"/>
    <s v="Coordinadora del GIT Gestión Contractual._x000a_ Profesionales especializados con funciones jurídicas"/>
    <x v="7"/>
    <s v="N/A"/>
    <s v="N/A"/>
    <s v="D4 Evaluación de Resultados"/>
    <s v="POLÍTICA 17 Mejora Normativa"/>
    <s v="2. Incorporar las mejores prácticas organizacionales y tecnológicas que garanticen calidad e integridad de la gestión pública."/>
    <s v="16. Gestion contractual"/>
    <s v="N/A"/>
    <m/>
    <m/>
  </r>
  <r>
    <x v="4"/>
    <x v="3"/>
    <s v="Fortalecimiento del acompañamiento jurídico a las áreas misionales"/>
    <n v="0.2"/>
    <x v="83"/>
    <s v="Realizar el comité de asuntos jurídicos con el fin de generar doctrina jurídica institucional"/>
    <n v="0.05"/>
    <s v="Sesiones del comité de asuntos jurídicos"/>
    <s v="#de sesiones del comité de asuntos jurídicios realizados / 6"/>
    <s v="Coordinadora del GIT Gestión Contractual._x000a_ Profesionales especializados con funciones jurídicas"/>
    <x v="7"/>
    <s v="N/A"/>
    <s v="N/A"/>
    <s v="D4 Evaluación de Resultados"/>
    <s v="POLÍTICA 17 Mejora Normativa"/>
    <s v="2. Incorporar las mejores prácticas organizacionales y tecnológicas que garanticen calidad e integridad de la gestión pública."/>
    <s v="16. Gestion contractual"/>
    <s v="N/A"/>
    <m/>
    <m/>
  </r>
  <r>
    <x v="4"/>
    <x v="4"/>
    <s v="Efectuar seguimiento a la gestión contractual"/>
    <n v="0.2"/>
    <x v="84"/>
    <s v="Realizar mesas de articulación contractual, con el seguimiento a la ejecución"/>
    <n v="0.1"/>
    <s v="Sesiones de mesas de articulación contractual"/>
    <s v="#de mesas de articulación / 11"/>
    <s v="Coordinadora del GIT Gestión Contractual_x000a_ Profesional universitario con funciones de apoyo contractual_x000a_ Profesional universitario con funciones contractuales._x000a_ Tecnico Administrativo"/>
    <x v="0"/>
    <s v="N/A"/>
    <s v="N/A"/>
    <s v="D4 Evaluación de Resultados"/>
    <s v="POLÍTICA 8 Defensa Jurídica"/>
    <s v="2. Incorporar las mejores prácticas organizacionales y tecnológicas que garanticen calidad e integridad de la gestión pública."/>
    <s v="16. Gestion contractual"/>
    <s v="N/A"/>
    <n v="0.25"/>
    <s v="Marzo"/>
  </r>
  <r>
    <x v="4"/>
    <x v="4"/>
    <s v="Efectuar seguimiento a la gestión contractual"/>
    <n v="0.2"/>
    <x v="85"/>
    <s v="Implementar del SECOP II"/>
    <n v="0.1"/>
    <s v="Contratos fimados electronicamente"/>
    <s v="# de contratos a firmar / # de contratos firmados"/>
    <s v="Coordinadora del GIT Gestión Contractual_x000a_ Profesional universitario con funciones de apoyo contractual_x000a_ Profesional universitario con funciones contractuales._x000a_ Tecnico Administrativo"/>
    <x v="0"/>
    <s v="N/A"/>
    <s v="N/A"/>
    <s v="D4 Evaluación de Resultados"/>
    <s v="POLÍTICA 3 Planeación Institucional"/>
    <s v="2. Incorporar las mejores prácticas organizacionales y tecnológicas que garanticen calidad e integridad de la gestión pública."/>
    <s v="16. Gestion contractual"/>
    <s v="2. Plan anual de adquisiciones"/>
    <n v="0.25"/>
    <s v="Marzo"/>
  </r>
  <r>
    <x v="4"/>
    <x v="4"/>
    <s v="Efectuar seguimiento a la gestión contractual"/>
    <n v="0.2"/>
    <x v="86"/>
    <s v="Revisar el Manual de Contratación - Res. 184 de 2020"/>
    <n v="0.1"/>
    <s v="Documento de analisis, y propuesta de mejora, si hay lugar"/>
    <n v="1"/>
    <s v="Coordinadora del GIT Gestión Contractual"/>
    <x v="6"/>
    <s v="N/A"/>
    <s v="N/A"/>
    <s v="D4 Evaluación de Resultados"/>
    <s v="POLÍTICA 3 Planeación Institucional"/>
    <s v="2. Incorporar las mejores prácticas organizacionales y tecnológicas que garanticen calidad e integridad de la gestión pública."/>
    <s v="15. Gestión Jurídica"/>
    <s v="2. Plan anual de adquisiciones"/>
    <n v="0.5"/>
    <s v="Marzo"/>
  </r>
  <r>
    <x v="4"/>
    <x v="5"/>
    <s v="Gestionar la defensa judicial en el marco del incremento de la litiogisidad de la Entidad"/>
    <n v="0.2"/>
    <x v="87"/>
    <s v="Realizar seguimiento a la defensa judicial, a través del comité de conciliación, una (1) vez al mes. Informes"/>
    <n v="0.2"/>
    <s v="Sesiones del comité de conciliación"/>
    <s v="#de comités de conciliación / 11"/>
    <s v="Secretaria técnica del comité de conciliación_x000a_ Profesional especializada con funciones misionales"/>
    <x v="0"/>
    <s v="N/A"/>
    <s v="N/A"/>
    <s v="D4 Evaluación de Resultados"/>
    <s v="POLÍTICA 8 Defensa Jurídica"/>
    <s v="2. Incorporar las mejores prácticas organizacionales y tecnológicas que garanticen calidad e integridad de la gestión pública."/>
    <s v="15. Gestión Jurídica"/>
    <s v="2. Plan anual de adquisiciones"/>
    <n v="0.25"/>
    <s v="Marzo"/>
  </r>
  <r>
    <x v="5"/>
    <x v="0"/>
    <s v="Proyección de demanda"/>
    <n v="0.2"/>
    <x v="0"/>
    <s v="Proyección de demanda de energía eléctrica"/>
    <n v="6.6666666666666666E-2"/>
    <s v="Documento publicado en la web"/>
    <s v="Cumplimiento en la fecha programada"/>
    <s v="William Martinez - Romel Rodriguez - Lina Escobar"/>
    <x v="5"/>
    <s v="N/A"/>
    <m/>
    <s v="D5 Información y Comunicación"/>
    <s v="POLÍTICA 6 Gobierno Digital"/>
    <s v="1. Generar valor económico y social a partir de la aplicación del conocimiento integral de los recursos minero energéticos."/>
    <s v="3. Demanda y Prospectiva Energética"/>
    <s v="N/A"/>
    <n v="0.3"/>
    <s v="Marzo"/>
  </r>
  <r>
    <x v="5"/>
    <x v="0"/>
    <s v="Proyección de demanda"/>
    <n v="0.2"/>
    <x v="1"/>
    <s v="Proyección de demanda de gas natural"/>
    <n v="6.6666666666666666E-2"/>
    <s v="Documento publicado en la web"/>
    <s v="Cumplimiento en la fecha programada"/>
    <s v="Leonardo Camacho - Romel Rodriguez - Lina Escobar"/>
    <x v="5"/>
    <s v="N/A"/>
    <m/>
    <s v="D5 Información y Comunicación"/>
    <s v="POLÍTICA 6 Gobierno Digital"/>
    <s v="1. Generar valor económico y social a partir de la aplicación del conocimiento integral de los recursos minero energéticos."/>
    <s v="3. Demanda y Prospectiva Energética"/>
    <s v="N/A"/>
    <n v="0.3"/>
    <s v="Marzo"/>
  </r>
  <r>
    <x v="5"/>
    <x v="0"/>
    <s v="Proyección de demanda"/>
    <n v="0.2"/>
    <x v="2"/>
    <s v="Proyección de demanda de combustibles líquidos"/>
    <n v="6.6666666666666666E-2"/>
    <s v="Documento publicado en la web"/>
    <s v="Cumplimiento en la fecha programada"/>
    <s v="Julieth García - Lina Escobar"/>
    <x v="0"/>
    <s v="N/A"/>
    <m/>
    <s v="D5 Información y Comunicación"/>
    <s v="POLÍTICA 6 Gobierno Digital"/>
    <s v="1. Generar valor económico y social a partir de la aplicación del conocimiento integral de los recursos minero energéticos."/>
    <s v="3. Demanda y Prospectiva Energética"/>
    <s v="N/A"/>
    <n v="0"/>
    <m/>
  </r>
  <r>
    <x v="5"/>
    <x v="1"/>
    <s v="Actualización del PAI-PROURE"/>
    <n v="0.2"/>
    <x v="4"/>
    <s v="Proyecto a consulta de actualización del PROURE"/>
    <n v="0.1"/>
    <s v="Documento publicado en la web"/>
    <s v="Cumplimiento en la fecha programada"/>
    <s v="Olga Gonzalez - Lina Escobar"/>
    <x v="5"/>
    <s v="Conpes de reactivación económica"/>
    <s v="3 - Asesoría para la seguridad energética y el seguimiento del PEN a nivel Nacional - 2019011000088"/>
    <s v="D6 Gestión del Conocimiento"/>
    <s v="POLÍTICA 15 Gestión del Conocimiento"/>
    <s v="3. Orientar el aprovechamiento y uso eficiente y responsable de los recursos minero - energéticos."/>
    <s v="3. Demanda y Prospectiva Energética"/>
    <s v="N/A"/>
    <n v="0.15"/>
    <s v="Marzo"/>
  </r>
  <r>
    <x v="5"/>
    <x v="1"/>
    <s v="Actualización del PAI-PROURE"/>
    <n v="0.2"/>
    <x v="5"/>
    <s v="Proyecto definitivo de actualización del PROURE"/>
    <n v="0.1"/>
    <s v="Documento publicado en la web"/>
    <s v="Cumplimiento en la fecha programada"/>
    <s v="Olga Gonzalez - Lina Escobar"/>
    <x v="7"/>
    <s v="Conpes de reactivación económica"/>
    <s v="3 - Asesoría para la seguridad energética y el seguimiento del PEN a nivel Nacional - 2019011000088"/>
    <s v="D6 Gestión del Conocimiento"/>
    <s v="POLÍTICA 15 Gestión del Conocimiento"/>
    <s v="3. Orientar el aprovechamiento y uso eficiente y responsable de los recursos minero - energéticos."/>
    <s v="3. Demanda y Prospectiva Energética"/>
    <s v="N/A"/>
    <n v="0"/>
    <m/>
  </r>
  <r>
    <x v="5"/>
    <x v="2"/>
    <s v="Publicación BECO"/>
    <n v="0.2"/>
    <x v="7"/>
    <s v="Publicación a comentarios del BECO"/>
    <n v="0.1"/>
    <s v="Datos publicados en la web"/>
    <s v="Cumplimiento en la fecha programada"/>
    <s v="Juan Franciso Martinez "/>
    <x v="6"/>
    <s v="N/A"/>
    <m/>
    <s v="D5 Información y Comunicación"/>
    <s v="POLÍTICA 18 Gestión de la Información Estadística"/>
    <s v="1. Generar valor económico y social a partir de la aplicación del conocimiento integral de los recursos minero energéticos."/>
    <s v="3. Demanda y Prospectiva Energética"/>
    <s v="N/A"/>
    <n v="0.6"/>
    <s v="Abril"/>
  </r>
  <r>
    <x v="5"/>
    <x v="2"/>
    <s v="Publicación BECO"/>
    <n v="0.2"/>
    <x v="8"/>
    <s v="Publicación definitiva del BECO"/>
    <n v="0.1"/>
    <s v="Datos publicados en la web"/>
    <s v="Cumplimiento en la fecha programada"/>
    <s v="Juan Franciso Martinez"/>
    <x v="7"/>
    <s v="N/A"/>
    <m/>
    <s v="D5 Información y Comunicación"/>
    <s v="POLÍTICA 18 Gestión de la Información Estadística"/>
    <s v="1. Generar valor económico y social a partir de la aplicación del conocimiento integral de los recursos minero energéticos."/>
    <s v="3. Demanda y Prospectiva Energética"/>
    <s v="N/A"/>
    <n v="0"/>
    <m/>
  </r>
  <r>
    <x v="5"/>
    <x v="3"/>
    <s v="Observatorio de energía"/>
    <n v="0.2"/>
    <x v="10"/>
    <s v="Puesta a punto de la visualización en pag web"/>
    <n v="0.05"/>
    <s v="Nuevo diseño implementado en la página web"/>
    <s v="% de avance en la puesta a punto"/>
    <s v="Juan Franciso Martinez"/>
    <x v="3"/>
    <s v="N/A"/>
    <m/>
    <s v="D5 Información y Comunicación"/>
    <s v="POLÍTICA 18 Gestión de la Información Estadística"/>
    <s v="1. Generar valor económico y social a partir de la aplicación del conocimiento integral de los recursos minero energéticos."/>
    <s v="3. Demanda y Prospectiva Energética"/>
    <s v="N/A"/>
    <n v="0.05"/>
    <s v="Marzo"/>
  </r>
  <r>
    <x v="5"/>
    <x v="3"/>
    <s v="Observatorio de energía"/>
    <n v="0.2"/>
    <x v="11"/>
    <s v="Publicación de informes de inflación"/>
    <n v="0.05"/>
    <s v="Documentos publicados en la web"/>
    <s v="# de publicaciones realizadas/# publicaciones programadas"/>
    <s v="Romel Rodriguez"/>
    <x v="0"/>
    <s v="N/A"/>
    <m/>
    <s v="D5 Información y Comunicación"/>
    <s v="POLÍTICA 18 Gestión de la Información Estadística"/>
    <s v="1. Generar valor económico y social a partir de la aplicación del conocimiento integral de los recursos minero energéticos."/>
    <s v="3. Demanda y Prospectiva Energética"/>
    <s v="N/A"/>
    <n v="8.3333333333333329E-2"/>
    <s v="Febrero"/>
  </r>
  <r>
    <x v="5"/>
    <x v="3"/>
    <s v="Observatorio de energía"/>
    <n v="0.2"/>
    <x v="12"/>
    <s v="Publicación de estadísticas"/>
    <n v="0.05"/>
    <s v="Datos publicados en la web"/>
    <s v="# de publicaciones realizadas/# publicaciones programadas"/>
    <s v="Maria Paula Rojas"/>
    <x v="0"/>
    <s v="N/A"/>
    <m/>
    <s v="D5 Información y Comunicación"/>
    <s v="POLÍTICA 18 Gestión de la Información Estadística"/>
    <s v="1. Generar valor económico y social a partir de la aplicación del conocimiento integral de los recursos minero energéticos."/>
    <s v="3. Demanda y Prospectiva Energética"/>
    <s v="N/A"/>
    <n v="0"/>
    <m/>
  </r>
  <r>
    <x v="5"/>
    <x v="3"/>
    <s v="Observatorio de energía"/>
    <n v="0.2"/>
    <x v="13"/>
    <s v="Publicación costos de racionamiento"/>
    <n v="0.05"/>
    <s v="DAtos publicados en la web"/>
    <s v="# de publicaciones realizadas/# publicaciones programadas"/>
    <s v="William Martienez"/>
    <x v="0"/>
    <s v="N/A"/>
    <m/>
    <s v="D5 Información y Comunicación"/>
    <s v="POLÍTICA 18 Gestión de la Información Estadística"/>
    <s v="1. Generar valor económico y social a partir de la aplicación del conocimiento integral de los recursos minero energéticos."/>
    <s v="3. Demanda y Prospectiva Energética"/>
    <s v="N/A"/>
    <n v="0.33333333333333331"/>
    <s v="Abril"/>
  </r>
  <r>
    <x v="5"/>
    <x v="4"/>
    <s v="Mejoras incentivos tributarios"/>
    <n v="0.2"/>
    <x v="88"/>
    <s v="Talleres trimestrales de socialización"/>
    <n v="6.6666666666666666E-2"/>
    <s v="Talleres virtuales por redes sociales"/>
    <s v="# de talleres realizados/# talleres programados"/>
    <s v="Omar Baez"/>
    <x v="0"/>
    <s v="N/A"/>
    <m/>
    <s v="D5 Información y Comunicación"/>
    <s v="POLÍTICA 9 Transparencia, Acceso a la Información y lucha contra la Corrupción"/>
    <s v="2. Incorporar las mejores prácticas organizacionales y tecnológicas que garanticen calidad e integridad de la gestión pública."/>
    <s v="8. Gestion conceptos tecnicos"/>
    <s v="N/A"/>
    <n v="0.25"/>
    <s v="Marzo"/>
  </r>
  <r>
    <x v="5"/>
    <x v="4"/>
    <s v="Mejoras incentivos tributarios"/>
    <n v="0.2"/>
    <x v="89"/>
    <s v="Mejoras en automatización en el proceso de certificación"/>
    <n v="6.6666666666666666E-2"/>
    <s v="Tablero de control"/>
    <s v="% de avance del tablero"/>
    <s v="Omar Baez - Lina Escobar"/>
    <x v="6"/>
    <s v="N/A"/>
    <m/>
    <s v="D3 Gestión para Resultados con Valores"/>
    <s v="POLÍTICA 13 Seguimiento y Evaluación del Desempeño Institucional"/>
    <s v="2. Incorporar las mejores prácticas organizacionales y tecnológicas que garanticen calidad e integridad de la gestión pública."/>
    <s v="8. Gestion conceptos tecnicos"/>
    <s v="N/A"/>
    <n v="0.5"/>
    <s v="Marzo"/>
  </r>
  <r>
    <x v="5"/>
    <x v="4"/>
    <s v="Mejoras incentivos tributarios"/>
    <n v="0.2"/>
    <x v="90"/>
    <s v="Procesos del FENOGE"/>
    <n v="6.6666666666666666E-2"/>
    <s v="Capacitación al personal de la oficina de fondos"/>
    <s v="% de avance en la capacitación"/>
    <s v="Omar Baez - Lina Escobar"/>
    <x v="6"/>
    <s v="N/A"/>
    <m/>
    <s v="D6 Gestión del Conocimiento"/>
    <s v="POLÍTICA 15 Gestión del Conocimiento"/>
    <s v="2. Incorporar las mejores prácticas organizacionales y tecnológicas que garanticen calidad e integridad de la gestión pública."/>
    <s v="8. Gestion conceptos tecnicos"/>
    <s v="N/A"/>
    <n v="0.5"/>
    <s v="Marzo"/>
  </r>
  <r>
    <x v="6"/>
    <x v="0"/>
    <s v="Formular el Plan Nacional de Desarrollo Minero con Enfoque territorial"/>
    <n v="0.6"/>
    <x v="0"/>
    <s v="Definición del marco conceptual y la Unidad de Análisis  para el PND Cesar y Guajira "/>
    <n v="0.09"/>
    <s v="Documento que consolide el marco conceptual del PND con enfoque territorial y establezca  la unidad de análisis  para abordar la región del Cesar y la Gujira"/>
    <s v="Documentos realizados"/>
    <s v="JUAN CARLOS LOAIZA"/>
    <x v="2"/>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n v="0.09"/>
    <s v="Marzo"/>
  </r>
  <r>
    <x v="6"/>
    <x v="0"/>
    <s v="Formular el Plan Nacional de Desarrollo Minero con Enfoque territorial"/>
    <n v="0.6"/>
    <x v="1"/>
    <s v="Caracterización integral  del territorio definido dentro de la unidad de análisis"/>
    <n v="0.27"/>
    <s v="Documento con la caracterización integral de la unidad de análisis establecida "/>
    <s v="Documentos realizados"/>
    <s v="JUAN CARLOS LOAIZA"/>
    <x v="10"/>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0"/>
    <s v="Formular el Plan Nacional de Desarrollo Minero con Enfoque territorial"/>
    <n v="0.6"/>
    <x v="2"/>
    <s v="Análisis prospectivo del territorio"/>
    <n v="0.12"/>
    <s v="Documento con el análisis prospectivo realizado"/>
    <s v="Documentos realizados"/>
    <s v="JUAN CARLOS LOAIZA"/>
    <x v="11"/>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0"/>
    <s v="Formular el Plan Nacional de Desarrollo Minero con Enfoque territorial"/>
    <n v="0.6"/>
    <x v="3"/>
    <s v="Formulación de estrategias de gestión del territorio"/>
    <n v="0.12"/>
    <s v="Documento con la formulación de estratégias de gestión del territorio"/>
    <s v="Documentos realizados"/>
    <s v="JUAN CARLOS LOAIZA"/>
    <x v="0"/>
    <s v="PND"/>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1"/>
    <s v="Fijar los precios de los diferentes minerales para la liquidación de las regalías"/>
    <n v="0.1"/>
    <x v="4"/>
    <s v="Fijar los precios de los diferentes minerales para la liquidación de las regalías"/>
    <n v="2.5000000000000001E-2"/>
    <s v="Resoluciones de precios de Carbón, Minerales Metálicos, Minerales no metálicos y Niquel"/>
    <s v="Oportunidad en la fijación de precios para liquidación de regalías de los minerales"/>
    <s v="JORGE FORERO/ ALEJANDRO GALVEZ"/>
    <x v="3"/>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n v="2.5000000000000001E-2"/>
    <s v="Marzo"/>
  </r>
  <r>
    <x v="6"/>
    <x v="1"/>
    <s v="Fijar los precios de los diferentes minerales para la liquidación de las regalías"/>
    <n v="0.1"/>
    <x v="5"/>
    <s v="Fijar los precios de los diferentes minerales para la liquidación de las regalías"/>
    <n v="2.5000000000000001E-2"/>
    <s v="Resoluciones precios de Carbón, Minerales Metálicos y Niq"/>
    <s v="Oportunidad en la fijación de precios para liquidación de regalías de los minerales"/>
    <s v="JORGE FORERO/ ALEJANDRO GALVEZ"/>
    <x v="5"/>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x v="1"/>
    <s v="Fijar los precios de los diferentes minerales para la liquidación de las regalías"/>
    <n v="0.1"/>
    <x v="6"/>
    <s v="Fijar los precios de los diferentes minerales para la liquidación de las regalías"/>
    <n v="2.5000000000000001E-2"/>
    <s v="Elaboración propuesta actos administrativos &quot;Resoluciones de precios Trimestre III &quot;"/>
    <s v="Oportunidad en la fijación de precios para liquidación de regalías de los minerales"/>
    <s v="JORGE FORERO/ ALEJANDRO GALVEZ"/>
    <x v="7"/>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x v="1"/>
    <s v="Fijar los precios de los diferentes minerales para la liquidación de las regalías"/>
    <n v="0.1"/>
    <x v="14"/>
    <s v="Fijar los precios de los diferentes minerales para la liquidación de las regalías"/>
    <n v="2.5000000000000001E-2"/>
    <s v="Elaboración propuesta actos administrativos &quot;Resoluciones de precios Trimestre IV&quot;"/>
    <s v="Oportunidad en la fijación de precios para liquidación de regalías de los minerales"/>
    <s v="JORGE FORERO/ ALEJANDRO GALVEZ"/>
    <x v="0"/>
    <s v="DECRETO 1258/2013"/>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x v="2"/>
    <s v="Elaborar estudios como insumo para la planeación, para análisis del comportamiento e incidencia, así como los requerimientos del sector minero"/>
    <n v="0.2"/>
    <x v="7"/>
    <s v="Ampliación de la capacidad análitica del rubro de minas y canteras en las cuentas nacionales, a través del desarrollo de la cuenta satélite minera - DANE"/>
    <n v="0.03"/>
    <s v="Cuenta satélite para 32 Minerales"/>
    <s v="Documentos realizados"/>
    <s v="CAMILO GOMEZ"/>
    <x v="10"/>
    <s v="PND  - PE 2018-2022 SUBSECTOR MINERÍA"/>
    <s v="7 - Asesoría para promover el desarrollo sostenible y la competitividad del sector minero Nacional - 2019011000300"/>
    <s v="D2 Direccionamiento Estratégico y Planeación"/>
    <s v="POLÍTICA 3 Planeación Institucional"/>
    <s v="3. Orientar el aprovechamiento y uso eficiente y responsable de los recursos minero - energéticos."/>
    <s v="6. Planeación Estratégica e Integral de Minerales"/>
    <s v="N/A"/>
    <m/>
    <m/>
  </r>
  <r>
    <x v="6"/>
    <x v="2"/>
    <s v="Elaborar estudios como insumo para la planeación, para análisis del comportamiento e incidencia, así como los requerimientos del sector minero"/>
    <n v="0.2"/>
    <x v="8"/>
    <s v="Complementación  diseño y prueba instrumento recolección versión Web"/>
    <n v="0.02"/>
    <s v="Documento con diseño  y resultado de prueba Web"/>
    <s v="Documentos realizados"/>
    <s v="CAMILO GOMEZ"/>
    <x v="4"/>
    <s v="PND  - PE 2018-2022 SUBSECTOR MINERÍA"/>
    <s v="7 - Asesoría para promover el desarrollo sostenible y la competitividad del sector minero Nacional - 2019011000300"/>
    <s v="D2 Direccionamiento Estratégico y Planeación"/>
    <s v="POLÍTICA 3 Planeación Institucional"/>
    <s v="3. Orientar el aprovechamiento y uso eficiente y responsable de los recursos minero - energéticos."/>
    <s v="6. Planeación Estratégica e Integral de Minerales"/>
    <s v="N/A"/>
    <m/>
    <m/>
  </r>
  <r>
    <x v="6"/>
    <x v="2"/>
    <s v="Elaborar estudios como insumo para la planeación, para análisis del comportamiento e incidencia, así como los requerimientos del sector minero"/>
    <n v="0.2"/>
    <x v="9"/>
    <s v="Actualización del Modelo de Mercado Nacional de Minerales"/>
    <n v="0.03"/>
    <s v="Modelo que permita generar los pronosticos en terminos de volumen de los minerales considerados  y los escenarios "/>
    <s v="Pronosticos de mercado nacional actualizados en el SIMCO"/>
    <s v="JORGE FORERO "/>
    <x v="0"/>
    <s v="DECRETO 1258/2013"/>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2"/>
    <s v="Elaborar estudios como insumo para la planeación, para análisis del comportamiento e incidencia, así como los requerimientos del sector minero"/>
    <n v="0.2"/>
    <x v="60"/>
    <s v="Desarrollo e implementación de los mecanismos para la formalización, legalización y acceso a la financiación en el sector minero."/>
    <n v="0.05"/>
    <s v="Elaborar insumos técnicos relacionados con la gestión de riesgos del sector minero como aporte al diseño de mecanismos para la formalización, legalización y acceso a la financiación en el sector minero"/>
    <s v="Documentos realizados"/>
    <s v="ALEJANDRO GALVEZ"/>
    <x v="8"/>
    <s v="DECRETO 1258/2014"/>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2"/>
    <s v="Elaborar estudios como insumo para la planeación, para análisis del comportamiento e incidencia, así como los requerimientos del sector minero"/>
    <n v="0.2"/>
    <x v="61"/>
    <s v="Elaborar estudio de fortalecimiento de la cadena de valor del sector minero con enfoque territorial Guajira y Cesar"/>
    <n v="0.03"/>
    <s v="Documento cadena de valor en la zona norte del país"/>
    <s v="Documentos realizados"/>
    <s v="SORAYA VARGAS"/>
    <x v="7"/>
    <s v="PND  - PE 2018-2022 SUBSECTOR MINERÍA"/>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2"/>
    <s v="Hoja de Ruta de cobre "/>
    <n v="0.2"/>
    <x v="62"/>
    <s v="Actulización informe mineral de cobre en Colombia"/>
    <n v="0.02"/>
    <s v="Documento con actualización del informe 2020"/>
    <s v="Documentos realizados"/>
    <s v="RUBEN CHANCÍ"/>
    <x v="4"/>
    <s v="PND  - PE 2018-2022 SUBSECTOR MINERÍA"/>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2"/>
    <s v="Actualización analisis de costos de transporte multimodal de carbón de exportación del interior del país. "/>
    <n v="0.2"/>
    <x v="63"/>
    <s v="Actualización análisis multimodal 2020"/>
    <n v="0.02"/>
    <s v="Documento con actualización de datos de entrada del modelo: costos de transporte, costos de extracción y reservas entre otros; con datos sobre costos en los nodos de transferencia entre un modo de transporte y otro; con análisis comparativos y complementa"/>
    <s v="Documentos realizados"/>
    <s v="FREDY ROJAS"/>
    <x v="0"/>
    <s v="PND  - PE 2018-2022 SUBSECTOR MINERÍA"/>
    <s v="7 - Asesoría para promover el desarrollo sostenible y la competitividad del sector minero Nacional - 2019011000300"/>
    <s v="D2 Direccionamiento Estratégico y Planeación"/>
    <s v="POLÍTICA 3 Planeación Institucional"/>
    <s v="4. Desarrollar las acciones necesarias que permitan materializar los planes, programas y proyectos en el sector minero energético."/>
    <s v="6. Planeación Estratégica e Integral de Minerales"/>
    <s v="N/A"/>
    <m/>
    <m/>
  </r>
  <r>
    <x v="6"/>
    <x v="3"/>
    <s v="Mejorar el flujo, calidad y el análisis de lal información que nutre el Sistema de Información Minero Colombinao - SIMCO"/>
    <n v="0.1"/>
    <x v="10"/>
    <s v="Adquirir suscripciones para el análisis del comportamiento de minerales"/>
    <n v="0.01"/>
    <s v="Suscripción online de la publicación Metal Bulletin"/>
    <s v="Renovación de la suscripción "/>
    <s v="ALEJANDRO GALVEZ"/>
    <x v="3"/>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n v="0.01"/>
    <s v="Marzo"/>
  </r>
  <r>
    <x v="6"/>
    <x v="3"/>
    <s v="Mejorar el flujo, calidad y el análisis de lal información que nutre el Sistema de Información Minero Colombinao - SIMCO"/>
    <n v="0.1"/>
    <x v="11"/>
    <s v="Adquirir suscripciones para el análisis del comportamiento de minerales"/>
    <n v="0.01"/>
    <s v="Adquirir la Suscripción Wood Mackenzie"/>
    <s v="Renovación de la suscripción "/>
    <s v="RUBEN CHANCÍ"/>
    <x v="7"/>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x v="3"/>
    <s v="Mejorar el flujo, calidad y el análisis de lal información que nutre el Sistema de Información Minero Colombinao - SIMCO"/>
    <n v="0.1"/>
    <x v="12"/>
    <s v="Adquirir suscripciones para el análisis del comportamiento de minerales"/>
    <n v="0.01"/>
    <s v="Realizar la renovación de la suscripción on line de argus media"/>
    <s v="Renovación de la suscripción "/>
    <s v="JORGE FORERO"/>
    <x v="3"/>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n v="0.01"/>
    <s v="Marzo"/>
  </r>
  <r>
    <x v="6"/>
    <x v="3"/>
    <s v="Mejorar el flujo, calidad y el análisis de lal información que nutre el Sistema de Información Minero Colombinao - SIMCO"/>
    <n v="0.1"/>
    <x v="13"/>
    <s v="Adquirir suscripciones para el análisis del comportamiento de minerales"/>
    <n v="0.01"/>
    <s v="Suscripción online de la publicación the baltic exchange"/>
    <s v="Renovación de la suscripción "/>
    <s v="JORGE FORERO"/>
    <x v="0"/>
    <s v="PND"/>
    <s v="7 - Asesoría para promover el desarrollo sostenible y la competitividad del sector minero Nacional - 2019011000300"/>
    <s v="D2 Direccionamiento Estratégico y Planeación"/>
    <s v="POLÍTICA 3 Planeación Institucional"/>
    <s v="1. Generar valor económico y social a partir de la aplicación del conocimiento integral de los recursos minero energéticos."/>
    <s v="6. Planeación Estratégica e Integral de Minerales"/>
    <s v="N/A"/>
    <m/>
    <m/>
  </r>
  <r>
    <x v="6"/>
    <x v="3"/>
    <s v="Mejorar el flujo, calidad y el análisis de lal información que nutre el Sistema de Información Minero Colombinao - SIMCO"/>
    <n v="0.1"/>
    <x v="67"/>
    <s v="Creación de nuevos reportes en Tableau"/>
    <n v="0.02"/>
    <s v="78 Reportes actualizado"/>
    <s v="Reportes Tableau disponibles en el SIMCO"/>
    <s v="CARLOS MEDINA"/>
    <x v="0"/>
    <s v="PND"/>
    <s v="7 - Asesoría para promover el desarrollo sostenible y la competitividad del sector minero Nacional - 2019011000300"/>
    <s v="D2 Direccionamiento Estratégico y Planeación"/>
    <s v="POLÍTICA 18 Gestión de la Información Estadística"/>
    <s v="1. Generar valor económico y social a partir de la aplicación del conocimiento integral de los recursos minero energéticos."/>
    <s v="6. Planeación Estratégica e Integral de Minerales"/>
    <s v="N/A"/>
    <m/>
    <m/>
  </r>
  <r>
    <x v="6"/>
    <x v="3"/>
    <s v="Mejorar el flujo, calidad y el análisis de lal información que nutre el Sistema de Información Minero Colombinao - SIMCO"/>
    <n v="0.1"/>
    <x v="68"/>
    <s v="Inventario Reportes Disponibles SIMCO"/>
    <n v="0.02"/>
    <s v="Invetario consolidado semestralmente"/>
    <s v="Reportes Tableau disponibles en el SIMCO"/>
    <s v="CARLOS MEDINA"/>
    <x v="0"/>
    <s v="PND"/>
    <s v="7 - Asesoría para promover el desarrollo sostenible y la competitividad del sector minero Nacional - 2019011000300"/>
    <s v="D2 Direccionamiento Estratégico y Planeación"/>
    <s v="POLÍTICA 18 Gestión de la Información Estadística"/>
    <s v="1. Generar valor económico y social a partir de la aplicación del conocimiento integral de los recursos minero energéticos."/>
    <s v="6. Planeación Estratégica e Integral de Minerales"/>
    <s v="N/A"/>
    <m/>
    <m/>
  </r>
  <r>
    <x v="6"/>
    <x v="3"/>
    <s v="Mejorar el flujo, calidad y el análisis de lal información que nutre el Sistema de Información Minero Colombinao - SIMCO"/>
    <n v="0.1"/>
    <x v="91"/>
    <s v="Actualización contenido SIMCO"/>
    <n v="0.02"/>
    <s v="4 Temas actualizados"/>
    <s v="Reportes Tableau disponibles en el SIMCO"/>
    <s v="CARLOS MEDINA"/>
    <x v="0"/>
    <s v="PND"/>
    <s v="7 - Asesoría para promover el desarrollo sostenible y la competitividad del sector minero Nacional - 2019011000300"/>
    <s v="D2 Direccionamiento Estratégico y Planeación"/>
    <s v="POLÍTICA 18 Gestión de la Información Estadística"/>
    <s v="1. Generar valor económico y social a partir de la aplicación del conocimiento integral de los recursos minero energéticos."/>
    <s v="6. Planeación Estratégica e Integral de Minerales"/>
    <s v="N/A"/>
    <m/>
    <m/>
  </r>
  <r>
    <x v="7"/>
    <x v="0"/>
    <s v="Formular, ejecutar, hacer seguimiento y evaluación a los planes relacionados con la gestión del Talento Humano de acuerdo con el MIPG"/>
    <n v="0.51"/>
    <x v="0"/>
    <s v="Formulación y aprobación del Plan Estratégico de Talento Humano"/>
    <n v="1.5454545454545455E-2"/>
    <s v="Documento con la formulación del Plan Estratégico del Talento Humano publicado en la página de la entidad"/>
    <s v="(N° de actividades ejecutadas / N° de actividades planificadas) *100"/>
    <s v="Coordinadora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n v="1.7299999999999999E-2"/>
    <s v="Enero"/>
  </r>
  <r>
    <x v="7"/>
    <x v="0"/>
    <s v="Formular, ejecutar, hacer seguimiento y evaluación a los planes relacionados con la gestión del Talento Humano de acuerdo con el MIPG"/>
    <n v="0.51"/>
    <x v="1"/>
    <s v="Ejecutar las actividades del cronograma del Plan Estratégico del Talento Humano programadas para el primer trimestre."/>
    <n v="1.5454545454545455E-2"/>
    <s v="Evidencia del cumplimiento trimestral de las actividades mediante la casilla &quot;Producto&quot; que se encuentra en el PETH."/>
    <s v="(N° de actividades ejecutadas / N° de actividades planificadas) *100"/>
    <s v="Coordinadora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n v="1.7299999999999999E-2"/>
    <s v="Marzo"/>
  </r>
  <r>
    <x v="7"/>
    <x v="0"/>
    <s v="Formular, ejecutar, hacer seguimiento y evaluación a los planes relacionados con la gestión del Talento Humano de acuerdo con el MIPG"/>
    <n v="0.51"/>
    <x v="2"/>
    <s v="Ejecutar las actividades del cronograma del Plan Estratégico del Talento Humano"/>
    <n v="1.5454545454545455E-2"/>
    <s v="Evidencia del cumplimiento trimestral de las actividades mediante la casilla &quot;Producto&quot; que se encuentra en el PETH."/>
    <s v="(N° de actividades ejecutadas / N° de actividades planificadas) *100"/>
    <s v="Coordinadora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x v="0"/>
    <s v="Formular, ejecutar, hacer seguimiento y evaluación a los planes relacionados con la gestión del Talento Humano de acuerdo con el MIPG"/>
    <n v="0.51"/>
    <x v="3"/>
    <s v="Ejecutar las actividades del cronograma del Plan Estratégico del Talento Humano"/>
    <n v="1.5454545454545455E-2"/>
    <s v="Evidencia del cumplimiento trimestral de las actividades mediante la casilla &quot;Producto&quot; que se encuentra en el PETH."/>
    <s v="(N° de actividades ejecutadas / N° de actividades planificadas) *100"/>
    <s v="Coordinadora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x v="0"/>
    <s v="Formular, ejecutar, hacer seguimiento y evaluación a los planes relacionados con la gestión del Talento Humano de acuerdo con el MIPG"/>
    <n v="0.51"/>
    <x v="42"/>
    <s v="Ejecutar las actividades del cronograma del Plan Estratégico del Talento Humano"/>
    <n v="1.5454545454545455E-2"/>
    <s v="Evidencia del cumplimiento trimestral de las actividades mediante la casilla &quot;Producto&quot; que se encuentra en el PETH."/>
    <s v="(N° de actividades ejecutadas / N° de actividades planificadas) *100"/>
    <s v="Coordinadora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x v="0"/>
    <s v="Formular, ejecutar, hacer seguimiento y evaluación a los planes relacionados con la gestión del Talento Humano de acuerdo con el MIPG"/>
    <n v="0.51"/>
    <x v="43"/>
    <s v="Formulación y aprobación del Plan de Bienestar Social e Incentivos"/>
    <n v="1.5454545454545455E-2"/>
    <s v="Documento con la formulación del Plan de Bienestar Social e Incentivos publicado en la página de la entidad"/>
    <s v="(N° de actividades ejecutadas / N° de actividades planificadas) *100"/>
    <s v="Coordinadora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n v="1.7299999999999999E-2"/>
    <s v="Enero"/>
  </r>
  <r>
    <x v="7"/>
    <x v="0"/>
    <s v="Formular, ejecutar, hacer seguimiento y evaluación a los planes relacionados con la gestión del Talento Humano de acuerdo con el MIPG"/>
    <n v="0.51"/>
    <x v="44"/>
    <s v="Ejecutar las actividades del cronograma del Plan de bienestar Social e Incentivos"/>
    <n v="1.5454545454545455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n v="1.7299999999999999E-2"/>
    <s v="Marzo"/>
  </r>
  <r>
    <x v="7"/>
    <x v="0"/>
    <s v="Formular, ejecutar, hacer seguimiento y evaluación a los planes relacionados con la gestión del Talento Humano de acuerdo con el MIPG"/>
    <n v="0.51"/>
    <x v="45"/>
    <s v="Ejecutar las actividades del cronograma del Plan de bienestar Social e Incentivos"/>
    <n v="1.5454545454545455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m/>
    <m/>
  </r>
  <r>
    <x v="7"/>
    <x v="0"/>
    <s v="Formular, ejecutar, hacer seguimiento y evaluación a los planes relacionados con la gestión del Talento Humano de acuerdo con el MIPG"/>
    <n v="0.51"/>
    <x v="46"/>
    <s v="Ejecutar las actividades del cronograma del Plan de bienestar Social e Incentivos"/>
    <n v="1.5454545454545455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m/>
    <m/>
  </r>
  <r>
    <x v="7"/>
    <x v="0"/>
    <s v="Formular, ejecutar, hacer seguimiento y evaluación a los planes relacionados con la gestión del Talento Humano de acuerdo con el MIPG"/>
    <n v="0.51"/>
    <x v="47"/>
    <s v="Ejecutar las actividades del cronograma del Plan de bienestar Social e Incentivos"/>
    <n v="1.5454545454545455E-2"/>
    <s v="Evidencia del cumplimiento trimestral de las actividades consignadas en el cronograma de ejecución del Plan de Bienestar Social e Incentivos 2021."/>
    <s v="(N° de actividades ejecutadas / N° de actividades planificadas) *100"/>
    <s v="Coordinadora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7. Plan de incentivos institucionales"/>
    <m/>
    <m/>
  </r>
  <r>
    <x v="7"/>
    <x v="0"/>
    <s v="Formular, ejecutar, hacer seguimiento y evaluación a los planes relacionados con la gestión del Talento Humano de acuerdo con el MIPG"/>
    <n v="0.51"/>
    <x v="48"/>
    <s v="Formulación y aprobación del Plan institucional de Capacitación"/>
    <n v="1.5454545454545455E-2"/>
    <s v="Documento con la formulación del Plan institucional de Capacitación publicado en la página de la entidad"/>
    <s v="(N° de actividades ejecutadas / N° de actividades planificadas) *100"/>
    <s v="Profesional Especializado 2028 grado 19 a cargo del proceso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6. Plan institucional de capacitación"/>
    <n v="1.7299999999999999E-2"/>
    <s v="Enero"/>
  </r>
  <r>
    <x v="7"/>
    <x v="0"/>
    <s v="Formular, ejecutar, hacer seguimiento y evaluación a los planes relacionados con la gestión del Talento Humano de acuerdo con el MIPG"/>
    <n v="0.51"/>
    <x v="49"/>
    <s v="Ejecutar las actividades del cronograma del Plan Institucional de Capacitación"/>
    <n v="1.5454545454545455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3"/>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n v="0"/>
    <s v="Marzo"/>
  </r>
  <r>
    <x v="7"/>
    <x v="0"/>
    <s v="Formular, ejecutar, hacer seguimiento y evaluación a los planes relacionados con la gestión del Talento Humano de acuerdo con el MIPG"/>
    <n v="0.51"/>
    <x v="50"/>
    <s v="Ejecutar las actividades del cronograma del Plan Institucional de Capacitación"/>
    <n v="1.5454545454545455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5"/>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m/>
    <m/>
  </r>
  <r>
    <x v="7"/>
    <x v="0"/>
    <s v="Formular, ejecutar, hacer seguimiento y evaluación a los planes relacionados con la gestión del Talento Humano de acuerdo con el MIPG"/>
    <n v="0.51"/>
    <x v="51"/>
    <s v="Ejecutar las actividades del cronograma del Plan Institucional de Capacitación"/>
    <n v="1.5454545454545455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7"/>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m/>
    <m/>
  </r>
  <r>
    <x v="7"/>
    <x v="0"/>
    <s v="Formular, ejecutar, hacer seguimiento y evaluación a los planes relacionados con la gestión del Talento Humano de acuerdo con el MIPG"/>
    <n v="0.51"/>
    <x v="52"/>
    <s v="Ejecutar las actividades del cronograma del Plan Institucional de Capacitación"/>
    <n v="1.5454545454545455E-2"/>
    <s v="Evidencia del cumplimiento trimestral de las actividades consignadas en el cronograma de ejecución del Plan Institucional de Capacitación 2021."/>
    <s v="(N° de actividades ejecutadas / N° de actividades planificadas) *100"/>
    <s v="Profesional Especializado 2028 grado 19 a cargo del proceso - GIT Talento humano y Atención al Ciudadano"/>
    <x v="0"/>
    <s v="N/A"/>
    <s v="N/A"/>
    <s v="D1 Talento Humano"/>
    <s v="POLÍTICA 15 Gestión del Conocimiento"/>
    <s v="2. Incorporar las mejores prácticas organizacionales y tecnológicas que garanticen calidad e integridad de la gestión pública."/>
    <s v="11. Gestión del Talento Humano"/>
    <s v="6. Plan institucional de capacitación"/>
    <m/>
    <m/>
  </r>
  <r>
    <x v="7"/>
    <x v="0"/>
    <s v="Formular, ejecutar, hacer seguimiento y evaluación a los planes relacionados con la gestión del Talento Humano de acuerdo con el MIPG"/>
    <n v="0.51"/>
    <x v="53"/>
    <s v="Formulación y aprobación del Plan institucional de Capacitación"/>
    <n v="1.5454545454545455E-2"/>
    <s v="Documento con la formulación del Plan de Seguridad y Salud en el Trabajo publicado en la página de la entidad"/>
    <s v="(N° de actividades ejecutadas / N° de actividades planificadas) *100"/>
    <s v="Profesional a cargo del tema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n v="1.7299999999999999E-2"/>
    <s v="Enero"/>
  </r>
  <r>
    <x v="7"/>
    <x v="0"/>
    <s v="Formular, ejecutar, hacer seguimiento y evaluación a los planes relacionados con la gestión del Talento Humano de acuerdo con el MIPG"/>
    <n v="0.51"/>
    <x v="54"/>
    <s v="Ejecutar las actividades del cronograma del Plan de Seguridad y Salud en el Trabajo - SG SST"/>
    <n v="1.5454545454545455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n v="1.5599999999999999E-2"/>
    <s v="Marzo"/>
  </r>
  <r>
    <x v="7"/>
    <x v="0"/>
    <s v="Formular, ejecutar, hacer seguimiento y evaluación a los planes relacionados con la gestión del Talento Humano de acuerdo con el MIPG"/>
    <n v="0.51"/>
    <x v="55"/>
    <s v="Ejecutar las actividades del cronograma del Plan de Seguridad y Salud en el Trabajo - SG SST"/>
    <n v="1.5454545454545455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m/>
    <m/>
  </r>
  <r>
    <x v="7"/>
    <x v="0"/>
    <s v="Formular, ejecutar, hacer seguimiento y evaluación a los planes relacionados con la gestión del Talento Humano de acuerdo con el MIPG"/>
    <n v="0.51"/>
    <x v="56"/>
    <s v="Ejecutar las actividades del cronograma del Plan de Seguridad y Salud en el Trabajo - SG SST"/>
    <n v="1.5454545454545455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m/>
    <m/>
  </r>
  <r>
    <x v="7"/>
    <x v="0"/>
    <s v="Formular, ejecutar, hacer seguimiento y evaluación a los planes relacionados con la gestión del Talento Humano de acuerdo con el MIPG"/>
    <n v="0.51"/>
    <x v="57"/>
    <s v="Ejecutar las actividades del cronograma del Plan de Seguridad y Salud en el Trabajo - SG SST"/>
    <n v="1.5454545454545455E-2"/>
    <s v="Evidencia del cumplimiento trimestral de las actividades consignadas en el cronograma de ejecución del Plan de Seguridad y Salud en el Trabajo SG SST"/>
    <s v="(N° de actividades ejecutadas / N° de actividades planificadas) *100"/>
    <s v="Profesional a cargo del tema -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8. Plan anual de trabajo de seguridad y salud en el trabajo"/>
    <m/>
    <m/>
  </r>
  <r>
    <x v="7"/>
    <x v="0"/>
    <s v="Formular, ejecutar, hacer seguimiento y evaluación a los planes relacionados con la gestión del Talento Humano de acuerdo con el MIPG"/>
    <n v="0.51"/>
    <x v="58"/>
    <s v="Formulación y aprobación del Plan de Previsión de Recursos Humanos"/>
    <n v="1.5454545454545455E-2"/>
    <s v="Documento con la formulación del Plan de Previsión de recursos humanos, publicado en la página de la entidad"/>
    <s v="(N° de actividades ejecutadas / N° de actividades planificadas) *100"/>
    <s v="Profesional a cargo del tema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n v="1.7299999999999999E-2"/>
    <s v="Enero"/>
  </r>
  <r>
    <x v="7"/>
    <x v="0"/>
    <s v="Formular, ejecutar, hacer seguimiento y evaluación a los planes relacionados con la gestión del Talento Humano de acuerdo con el MIPG"/>
    <n v="0.51"/>
    <x v="59"/>
    <s v="Elaboración de documentos, según solicitud de la CNSC para el concurso de Méritos"/>
    <n v="1.5454545454545455E-2"/>
    <s v="Documentos aprobados por la UPME/ radicados ante la CNSC"/>
    <s v="(N° de documentos elaborados y aprobados / N° de documentos requeridos) *100"/>
    <s v="Profesional Espec 2028-19 a cargo del tema Acuerdos de Gestión- GIT Talento Humano y Atención al Ciudadano"/>
    <x v="12"/>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1"/>
    <x v="92"/>
    <s v="Elaboración de documentos, según solicitud de la CNSC para el concurso de Méritos"/>
    <n v="1.5454545454545455E-2"/>
    <s v="Actualización OPEC"/>
    <s v="(N° de documentos elaborados y aprobados / N° de documentos requeridos) *100"/>
    <s v="Profesional Espec 2028-19 a cargo del tema Acuerdos de Gestión- GIT Talento Humano y Atención al Ciudadano"/>
    <x v="11"/>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1"/>
    <x v="93"/>
    <s v="Realizar el pago del valor faltante para la ejecución del concurso de méritos con la CNSC"/>
    <n v="1.5454545454545455E-2"/>
    <s v="Certificado de pago del valor faltante a la CNSC"/>
    <s v="(N° de pagos ejecutados / N° de pagos pendientes) *100"/>
    <s v="Profesional Espec 2028-19 a cargo del tema Acuerdos de Gestión-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n v="1.7299999999999999E-2"/>
    <s v="Febrero"/>
  </r>
  <r>
    <x v="7"/>
    <x v="0"/>
    <s v="Formular, ejecutar, hacer seguimiento y evaluación a los planes relacionados con la gestión del Talento Humano de acuerdo con el MIPG"/>
    <n v="0.51"/>
    <x v="94"/>
    <s v="Asegurar el pago mensual por concepto de nómina a la planta de personal"/>
    <n v="1.5454545454545455E-2"/>
    <s v="Nóminas mensuales, pagos mensuales de seguridad social (Planillas)"/>
    <s v="(N° de nóminas pagadas / N° de nóminas planificadas) *100"/>
    <s v="Profesional Espec 2028-19 a cargo del tema Nómin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n v="1.7299999999999999E-2"/>
    <s v="Marzo"/>
  </r>
  <r>
    <x v="7"/>
    <x v="0"/>
    <s v="Formular, ejecutar, hacer seguimiento y evaluación a los planes relacionados con la gestión del Talento Humano de acuerdo con el MIPG"/>
    <n v="0.51"/>
    <x v="95"/>
    <s v="Asegurar el pago mensual por concepto de nómina a la planta de personal"/>
    <n v="1.5454545454545455E-2"/>
    <s v="Nóminas mensuales, pagos mensuales de seguridad social (Planillas)"/>
    <s v="(N° de nóminas pagadas / N° de nóminas planificadas) *100"/>
    <s v="Profesional Espec 2028-19 a cargo del tema Nómina - GIT Talento Humano y Atención al Ciudadano"/>
    <x v="5"/>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1"/>
    <x v="96"/>
    <s v="Asegurar el pago mensual por concepto de nómina a la planta de personal"/>
    <n v="1.5454545454545455E-2"/>
    <s v="Nóminas mensuales, pagos mensuales de seguridad social (Planillas)"/>
    <s v="(N° de nóminas pagadas / N° de nóminas planificadas) *100"/>
    <s v="Profesional Espec 2028-19 a cargo del tema Nómina -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1"/>
    <x v="97"/>
    <s v="Asegurar el pago mensual por concepto de nómina a la planta de personal"/>
    <n v="1.5454545454545455E-2"/>
    <s v="Nóminas mensuales, pagos mensuales de seguridad social (Planillas)"/>
    <s v="(N° de nóminas pagadas / N° de nóminas planificadas) *100"/>
    <s v="Profesional Espec 2028-19 a cargo del tema Nómina - GIT Talento Humano y Atención al Ciudadano"/>
    <x v="0"/>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1"/>
    <x v="98"/>
    <s v="implementar y estabilizar las diferentes funcionalidades  del software Kactus en la entidad."/>
    <n v="1.5454545454545455E-2"/>
    <s v="Circular para la comunidad sobre los lineamintos para el uso del Smart People"/>
    <s v="(N° de comunicaciones difundidas / N° de comunicaciones requeridas) *100"/>
    <s v="Profesional Espec 2028-19 a cargo del tema Nómina - GIT Talento Humano y Atención al Ciudadano"/>
    <x v="2"/>
    <s v="N/A"/>
    <s v="N/A"/>
    <s v="D3 Gestión para Resultados con Valores"/>
    <s v="POLÍTICA 5 Fortalecimiento Organizacional y Simplificación de Procesos"/>
    <s v="2. Incorporar las mejores prácticas organizacionales y tecnológicas que garanticen calidad e integridad de la gestión pública."/>
    <s v="1. Direccionamiento Estratégico"/>
    <s v="4. Plan de previsión de recursos humanos"/>
    <n v="1.7299999999999999E-2"/>
    <s v="Marzo"/>
  </r>
  <r>
    <x v="7"/>
    <x v="0"/>
    <s v="Formular, ejecutar, hacer seguimiento y evaluación a los planes relacionados con la gestión del Talento Humano de acuerdo con el MIPG"/>
    <n v="0.51"/>
    <x v="99"/>
    <s v="Actualización procedimiento de Nómina"/>
    <n v="1.5454545454545455E-2"/>
    <s v="Procedimiento de nómina actualizado."/>
    <s v="(N° de procedimientos actualizados / N° de procedimientos requeridos) *100"/>
    <s v="Profesional Espec 2028-19 a cargo del tema Nómina - GIT Talento Humano y Atención al Ciudadano"/>
    <x v="4"/>
    <s v="N/A"/>
    <s v="N/A"/>
    <s v="D1 Talento Humano"/>
    <s v="POLÍTICA 1 Gestión Estratégica del Talento Humano"/>
    <s v="2. Incorporar las mejores prácticas organizacionales y tecnológicas que garanticen calidad e integridad de la gestión pública."/>
    <s v="11. Gestión del Talento Humano"/>
    <s v="4. Plan de previsión de recursos humanos"/>
    <m/>
    <m/>
  </r>
  <r>
    <x v="7"/>
    <x v="0"/>
    <s v="Formular, ejecutar, hacer seguimiento y evaluación a los planes relacionados con la gestión del Talento Humano de acuerdo con el MIPG"/>
    <n v="0.51"/>
    <x v="100"/>
    <s v="Formulación y aprobación del Plan Anual de Vacantes"/>
    <n v="1.5454545454545455E-2"/>
    <s v="Documento con la formulación del Plan de Anual de Vacantes, publicado en la página de la entidad"/>
    <s v="(N° de documentos elaborados y aprobados / N° de documentos requeridos) *100"/>
    <s v="Profesional Espec 2028-19 a cargo del tema Nómina - GIT Talento Humano y Atención al Ciudadano"/>
    <x v="1"/>
    <s v="N/A"/>
    <s v="N/A"/>
    <s v="D1 Talento Humano"/>
    <s v="POLÍTICA 1 Gestión Estratégica del Talento Humano"/>
    <s v="2. Incorporar las mejores prácticas organizacionales y tecnológicas que garanticen calidad e integridad de la gestión pública."/>
    <s v="11. Gestión del Talento Humano"/>
    <s v="3. Plan anual de vacantes"/>
    <n v="1.7299999999999999E-2"/>
    <s v="Enero"/>
  </r>
  <r>
    <x v="7"/>
    <x v="0"/>
    <s v="Formular, ejecutar, hacer seguimiento y evaluación a los planes relacionados con la gestión del Talento Humano de acuerdo con el MIPG"/>
    <n v="0.51"/>
    <x v="101"/>
    <s v="Identificar las vacantes definitivas y temporales para adelantar gestiones necesarias para su provisión."/>
    <n v="1.5454545454545455E-2"/>
    <s v="Acto administrativo con la provisión de los cargos vacantes"/>
    <s v="(N° de vacates cubiertas / N° de vacantes disponibles) *100"/>
    <s v="Profesional Espec 2028-19 a cargo del tema Nómina - GIT Talento Humano y Atención al Ciudadano"/>
    <x v="6"/>
    <s v="N/A"/>
    <s v="N/A"/>
    <s v="D1 Talento Humano"/>
    <s v="POLÍTICA 1 Gestión Estratégica del Talento Humano"/>
    <s v="2. Incorporar las mejores prácticas organizacionales y tecnológicas que garanticen calidad e integridad de la gestión pública."/>
    <s v="11. Gestión del Talento Humano"/>
    <s v="3. Plan anual de vacantes"/>
    <m/>
    <m/>
  </r>
  <r>
    <x v="7"/>
    <x v="0"/>
    <s v="Formular, ejecutar, hacer seguimiento y evaluación a los planes relacionados con la gestión del Talento Humano de acuerdo con el MIPG"/>
    <n v="0.51"/>
    <x v="102"/>
    <s v="Identificar las vacantes definitivas y temporales para adelantar gestiones necesarias para su provisión."/>
    <n v="1.5454545454545455E-2"/>
    <s v="Acto administrativo con la provisión de los cargos vacantes"/>
    <s v="(N° de vacates cubiertas / N° de vacantes disponibles) *100"/>
    <s v="Profesional Espec 2028-19 a cargo del tema Nómina - GIT Talento Humano y Atención al Ciudadano"/>
    <x v="12"/>
    <s v="N/A"/>
    <s v="N/A"/>
    <s v="D1 Talento Humano"/>
    <s v="POLÍTICA 1 Gestión Estratégica del Talento Humano"/>
    <s v="2. Incorporar las mejores prácticas organizacionales y tecnológicas que garanticen calidad e integridad de la gestión pública."/>
    <s v="11. Gestión del Talento Humano"/>
    <s v="3. Plan anual de vacantes"/>
    <m/>
    <m/>
  </r>
  <r>
    <x v="7"/>
    <x v="1"/>
    <s v="Liderar el proceso de modernización institucional"/>
    <n v="0.3"/>
    <x v="4"/>
    <s v="Actualizar el manual de funciones que está vigente actualmente."/>
    <n v="3.7499999999999999E-2"/>
    <s v="Manual de funciones actualizado."/>
    <s v="(N° de documentos elaborados y aprobados / N° de documentos requeridos) *100"/>
    <s v="Coordinadora GIT de Talento Humano y Atención al ciudadano"/>
    <x v="4"/>
    <s v="N/A"/>
    <s v="N/A"/>
    <s v="D3 Gestión para Resultados con Valores"/>
    <s v="POLÍTICA 5 Fortalecimiento Organizacional y Simplificación de Procesos"/>
    <s v="2. Incorporar las mejores prácticas organizacionales y tecnológicas que garanticen calidad e integridad de la gestión pública."/>
    <s v="1. Direccionamiento Estratégico"/>
    <s v="4. Plan de previsión de recursos humanos"/>
    <m/>
    <m/>
  </r>
  <r>
    <x v="7"/>
    <x v="1"/>
    <s v="Liderar el proceso de modernización institucional"/>
    <n v="0.3"/>
    <x v="5"/>
    <s v="Propuesta del nuevo manual de funciones para la entidad, producto del proceso de modernización que está surtiendo."/>
    <n v="3.7499999999999999E-2"/>
    <s v="Documento con la propuesta del nuevo manual de funciones, ajustado al proceso de modernización."/>
    <s v="(N° de documentos elaborados y aprobados / N° de documentos requeridos) *100"/>
    <s v="Coordinadora GIT de Talento Humano y Atención al ciudadano"/>
    <x v="5"/>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3"/>
    <x v="6"/>
    <s v="Realizar el análisis de costos y establecer una propuesta de financiación, para la nueva planta de la modernización."/>
    <n v="3.7499999999999999E-2"/>
    <s v="Documento con la propuesta de financiación para la nueva planta del proceso de  modernización."/>
    <s v="(N° de documentos elaborados y aprobados / N° de documentos requeridos) *100"/>
    <s v="Coordinadora GIT de Talento Humano y Atención al ciudadano"/>
    <x v="5"/>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3"/>
    <x v="14"/>
    <s v="Preparar en coordinación con las áreas competentes los documentos necesarios para el rediseño institucional, para la modificación de la estructura y planta de personal._x000a_"/>
    <n v="3.7499999999999999E-2"/>
    <s v="Proyecto de decretos necesarios para el rediseño institucional."/>
    <s v="(N° de actos administrativos elaborados y aprobados / N° de actos administrativos requeridos) *100"/>
    <s v="Coordinadora GIT de Talento Humano y Atención al ciudadano"/>
    <x v="7"/>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3"/>
    <x v="15"/>
    <s v="Tramitar la aprobación de la viabilidad política de la propuesta de modernización, ante el Ministerio de Energía."/>
    <n v="3.7499999999999999E-2"/>
    <s v="Radicación de la solicitud de aprobación de la propuesta de rediseño institucional ante el Ministerio de Energía."/>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3"/>
    <x v="16"/>
    <s v="Tramitar la viabilidad presupuestal de la propuesta de modernización, ante el Ministerio de Hacienda y Crédito público."/>
    <n v="3.7499999999999999E-2"/>
    <s v="Radicación de la solicitud de aprobación de la propuesta de rediseño institucional ante el Ministerio de Ghacienda y Crédito Público."/>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3"/>
    <x v="17"/>
    <s v="Tramitar la aprobación de la viabilidad técnica de la propuesta de modernización, ante el Departamento Administrativo de la Función Pública."/>
    <n v="3.7499999999999999E-2"/>
    <s v="Radicación de la solicitud de aprobación de la propuesta de rediseño institucional ante el Departamento Administrativo de la Función Pública."/>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1"/>
    <s v="Liderar el proceso de modernización institucional"/>
    <n v="0.3"/>
    <x v="18"/>
    <s v="Lograr la aprobación del proyecto de modernización ante la Presidencia de la República. "/>
    <n v="3.7499999999999999E-2"/>
    <s v="Radicación de la solicitud de aprobación de la propuesta de rediseño institucional ante la Presidencia de la República."/>
    <s v="(N° de documentos elaborados y aprobados / N° de documentos requeridos) *100"/>
    <s v="Coordinadora GIT de Talento Humano y Atención al ciudadano"/>
    <x v="0"/>
    <s v="N/A"/>
    <s v="N/A"/>
    <s v="D1 Talento Humano"/>
    <s v="POLÍTICA 5 Fortalecimiento Organizacional y Simplificación de Procesos"/>
    <s v="2. Incorporar las mejores prácticas organizacionales y tecnológicas que garanticen calidad e integridad de la gestión pública."/>
    <s v="1. Direccionamiento Estratégico"/>
    <s v="N/A"/>
    <m/>
    <m/>
  </r>
  <r>
    <x v="7"/>
    <x v="3"/>
    <s v="Elaboración y ejecución de la política de asistencia al ciudadano de la UPME"/>
    <n v="7.0000000000000007E-2"/>
    <x v="10"/>
    <s v="Proponer para la aprobación del Director la política de asistencia al ciudadano estableciiendo líneas estratégicas y de acción que recojan las actividades del  PAAC"/>
    <n v="2.3333333333333334E-2"/>
    <s v="Evidencia del cumplimiento trimestral de las actividades correspondientes a Talento humano, consignadas en el cronograma de ejecución del Plan Anticorrupción y de Atención al Ciudadano (PAAC)"/>
    <s v="(N° de actividades ejecutadas / N° de actividades planificadas) *100"/>
    <s v="Profesional a cargo del tema - GIT Talento Humano y Atención al Ciudadano"/>
    <x v="3"/>
    <s v="N/A"/>
    <s v="N/A"/>
    <s v="D3 Gestión para Resultados con Valores"/>
    <s v="POLÍTICA 10 Servicio al ciudadano"/>
    <s v="2. Incorporar las mejores prácticas organizacionales y tecnológicas que garanticen calidad e integridad de la gestión pública."/>
    <s v="13. Participacion y servicio al ciudadano"/>
    <s v="9. Plan anticorrupción y de atención al ciudadano"/>
    <n v="1.7500000000000002E-2"/>
    <s v="Marzo"/>
  </r>
  <r>
    <x v="7"/>
    <x v="3"/>
    <s v="Elaboración y ejecución de la política de asistencia al ciudadano de la UPME"/>
    <n v="7.0000000000000007E-2"/>
    <x v="11"/>
    <s v="Implementar las líneas de acción de la Política de asistencia al ciudadano adoptada por la Dirección"/>
    <n v="2.3333333333333334E-2"/>
    <s v="Evidencia del cumplimiento trimestral de las actividades correspondientes a Talento humano, consignadas en el cronograma de ejecución del Plan Anticorrupción y de Atención al Ciudadano (PAAC)"/>
    <s v="(N° de actividades ejecutadas / N° de actividades planificadas) *100"/>
    <s v="Profesional a cargo del tema - GIT Talento Humano y Atención al Ciudadano"/>
    <x v="5"/>
    <s v="N/A"/>
    <s v="N/A"/>
    <s v="D3 Gestión para Resultados con Valores"/>
    <s v="POLÍTICA 10 Servicio al ciudadano"/>
    <s v="2. Incorporar las mejores prácticas organizacionales y tecnológicas que garanticen calidad e integridad de la gestión pública."/>
    <s v="13. Participacion y servicio al ciudadano"/>
    <s v="9. Plan anticorrupción y de atención al ciudadano"/>
    <m/>
    <m/>
  </r>
  <r>
    <x v="7"/>
    <x v="3"/>
    <s v="Elaboración y ejecución de la política de asistencia al ciudadano de la UPME"/>
    <n v="7.0000000000000007E-2"/>
    <x v="12"/>
    <s v="Evaluar y ajustar la Política de asistencia al ciudadano de acuerdo con los resultados de la evaluación"/>
    <n v="2.3333333333333334E-2"/>
    <s v="Evidencia del cumplimiento trimestral de las actividades correspondientes a Talento humano, consignadas en el cronograma de ejecución del Plan Anticorrupción y de Atención al Ciudadano (PAAC)"/>
    <s v="(N° de actividades ejecutadas / N° de actividades planificadas) *100"/>
    <s v="Profesional a cargo del tema - GIT Talento Humano y Atención al Ciudadano"/>
    <x v="7"/>
    <s v="N/A"/>
    <s v="N/A"/>
    <s v="D3 Gestión para Resultados con Valores"/>
    <s v="POLÍTICA 10 Servicio al ciudadano"/>
    <s v="2. Incorporar las mejores prácticas organizacionales y tecnológicas que garanticen calidad e integridad de la gestión pública."/>
    <s v="13. Participacion y servicio al ciudadano"/>
    <s v="9. Plan anticorrupción y de atención al ciudadano"/>
    <m/>
    <m/>
  </r>
  <r>
    <x v="7"/>
    <x v="5"/>
    <s v="Implementación del programa de teletrabajo en la entidad en un 35%"/>
    <n v="0.03"/>
    <x v="103"/>
    <s v="Ejecutar las actividades consignadas en los planes de Talento Humano, relacionadas con la conformación del equipo de teletrabajo, adelanto de estudios, análisis y establecimiento de una propuesta de teletrabajo para la entidad."/>
    <n v="1.4999999999999999E-2"/>
    <s v="Evidencia del cumplimiento trimestral de las actividades relacionadas con la planeación e implementación del programa de Teletrabajo en la entidad."/>
    <s v="(N° de actividades ejecutadas / N° de actividades planificadas) *100"/>
    <s v="Profesional a cargo del tema - GIT Talento Humano y Atención al Ciudadano"/>
    <x v="6"/>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x v="5"/>
    <s v="Implementación del programa de teletrabajo en la entidad en un 35%"/>
    <n v="0.03"/>
    <x v="104"/>
    <s v="Ejecutar las actividades consignadas en los planes de Talento Humano, relacionadas con la conformación del equipo de teletrabajo, adelanto de estudios, análisis y establecimiento de una propuesta de teletrabajo para la entidad."/>
    <n v="1.4999999999999999E-2"/>
    <s v="Evidencia del cumplimiento trimestral de las actividades relacionadas con la planeación e implementación del programa de Teletrabajo en la entidad."/>
    <s v="(N° de actividades ejecutadas / N° de actividades planificadas) *100"/>
    <s v="Profesional a cargo del tema - GIT Talento Humano y Atención al Ciudadano"/>
    <x v="12"/>
    <s v="N/A"/>
    <s v="N/A"/>
    <s v="D1 Talento Humano"/>
    <s v="POLÍTICA 1 Gestión Estratégica del Talento Humano"/>
    <s v="2. Incorporar las mejores prácticas organizacionales y tecnológicas que garanticen calidad e integridad de la gestión pública."/>
    <s v="11. Gestión del Talento Humano"/>
    <s v="5. Plan estratégico de talento humano"/>
    <m/>
    <m/>
  </r>
  <r>
    <x v="7"/>
    <x v="6"/>
    <s v="Realizar seguimiento a los acuerdos de gestión vigencia 2021 - 2022"/>
    <n v="0.03"/>
    <x v="105"/>
    <s v="Seguimiento semestral a los Acuerdos de Gestión 2021-2022"/>
    <n v="1.4999999999999999E-2"/>
    <s v="Acuerdos de Gestión Firmados y archivados Historia Laboral"/>
    <s v="(N° de acuerdos firmados / N° de gerentes públicos) *100"/>
    <s v="Profesional Espec 2028-19 a cargo del tema Acuerdos de Gestión-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N/A"/>
    <n v="1.4999999999999999E-2"/>
    <s v="Marzo"/>
  </r>
  <r>
    <x v="7"/>
    <x v="6"/>
    <s v="Realizar seguimiento a los acuerdos de gestión vigencia 2021 - 2022"/>
    <n v="0.03"/>
    <x v="106"/>
    <s v="Seguimiento semestral a los Acuerdos de Gestión 2021-2023"/>
    <n v="1.4999999999999999E-2"/>
    <s v="Acuerdos de Gestión Firmados y archivados Historia Laboral"/>
    <s v="(N° de acuerdos firmados / N° de gerentes públicos) *100"/>
    <s v="Profesional Espec 2028-19 a cargo del tema Acuerdos de Gestión- GIT Talento Humano y Atención al Ciudadano"/>
    <x v="7"/>
    <s v="N/A"/>
    <s v="N/A"/>
    <s v="D1 Talento Humano"/>
    <s v="POLÍTICA 1 Gestión Estratégica del Talento Humano"/>
    <s v="2. Incorporar las mejores prácticas organizacionales y tecnológicas que garanticen calidad e integridad de la gestión pública."/>
    <s v="11. Gestión del Talento Humano"/>
    <s v="N/A"/>
    <m/>
    <m/>
  </r>
  <r>
    <x v="7"/>
    <x v="7"/>
    <s v="Realizar seguimiento y gestión para el cumplimiento de las diferentes etapas del proceso de evaluación de desempeño para los funcionarios de carrera administrativa"/>
    <n v="0.03"/>
    <x v="107"/>
    <s v="Realizar seguimiento a la concertación anual de compromisos para las evaluaciones de desempeño para el personal de carrera administrativa"/>
    <n v="1.4999999999999999E-2"/>
    <s v="Evaluaciones de desempeño diligenciadas en la plataforma establecida por la Comisión nacional del Servicio Civil - EDL"/>
    <s v="(N° de evaluaciones y concertación de compromisos cargados / N° de servidores públicos de carrera administrativa) *100"/>
    <s v="Profesional Espec 2028-19 a cargo del tem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N/A"/>
    <n v="1.4999999999999999E-2"/>
    <s v="Marzo"/>
  </r>
  <r>
    <x v="7"/>
    <x v="7"/>
    <s v="Realizar seguimiento y gestión para el cumplimiento de las diferentes etapas del proceso de evaluación de desempeño para los funcionarios de carrera administrativa"/>
    <n v="0.03"/>
    <x v="108"/>
    <s v="Realizar seguimiento a la concertación anual de compromisos para las evaluaciones de desempeño para el personal de carrera administrativa"/>
    <n v="1.4999999999999999E-2"/>
    <s v="Evaluaciones de desempeño diligenciadas en la plataforma establecida por la Comisión nacional del Servicio Civil - EDL"/>
    <s v="(N° de evaluaciones y concertación de compromisos cargados / N° de servidores públicos de carrera administrativa) *100"/>
    <s v="Profesional Espec 2028-19 a cargo del tema - GIT Talento Humano y Atención al Ciudadano"/>
    <x v="10"/>
    <s v="N/A"/>
    <s v="N/A"/>
    <s v="D1 Talento Humano"/>
    <s v="POLÍTICA 1 Gestión Estratégica del Talento Humano"/>
    <s v="2. Incorporar las mejores prácticas organizacionales y tecnológicas que garanticen calidad e integridad de la gestión pública."/>
    <s v="11. Gestión del Talento Humano"/>
    <s v="N/A"/>
    <m/>
    <m/>
  </r>
  <r>
    <x v="7"/>
    <x v="8"/>
    <s v="Realizar seguimiento y gestión para el cumplimiento de las diferentes etapas del proceso de evaluación de la Gestión Institucional para servidores en provisionalidad y de libre nombramiento y remoción, que no ostenten condición de gerentes públicos"/>
    <n v="0.03"/>
    <x v="109"/>
    <s v="Realizar seguimiento semestral de la evaluación de la gestión institucional para servidores en provisionalidad y de libre nombramiento y remoción, que no ostenten condición de gerentes públicos"/>
    <n v="1.4999999999999999E-2"/>
    <s v="Evaluaciones de desempeño diligenciadas en la plataforma establecida por la Comisión nacional del Servicio Civil - EDL"/>
    <s v="(N° de evaluaciones cargadas / N° de servidores públicos de provisionalidad o LNR que no ostenten cargos de gerentes públicos) *100"/>
    <s v="Profesional Espec 2028-19 a cargo del tema - GIT Talento Humano y Atención al Ciudadano"/>
    <x v="3"/>
    <s v="N/A"/>
    <s v="N/A"/>
    <s v="D1 Talento Humano"/>
    <s v="POLÍTICA 1 Gestión Estratégica del Talento Humano"/>
    <s v="2. Incorporar las mejores prácticas organizacionales y tecnológicas que garanticen calidad e integridad de la gestión pública."/>
    <s v="11. Gestión del Talento Humano"/>
    <s v="N/A"/>
    <n v="1.4999999999999999E-2"/>
    <s v="Marzo"/>
  </r>
  <r>
    <x v="7"/>
    <x v="8"/>
    <s v="Realizar seguimiento y gestión para el cumplimiento de las diferentes etapas del proceso de evaluación de la Gestión Institucional para servidores en provisionalidad y de libre nombramiento y remoción, que no ostenten condición de gerentes públicos"/>
    <n v="0.03"/>
    <x v="110"/>
    <s v="Realizar seguimiento semestral de la evaluación de la gestión institucional para servidores en provisionalidad y de libre nombramiento y remoción, que no ostenten condición de gerentes públicos"/>
    <n v="1.4999999999999999E-2"/>
    <s v="Evaluaciones de desempeño diligenciadas en la plataforma establecida por la Comisión nacional del Servicio Civil - EDL"/>
    <s v="(N° de evaluaciones cargadas / N° de servidores públicos de provisionalidad o LNR que no ostenten cargos de gerentes públicos) *100"/>
    <s v="Profesional Espec 2028-19 a cargo del tema - GIT Talento Humano y Atención al Ciudadano"/>
    <x v="10"/>
    <s v="N/A"/>
    <s v="N/A"/>
    <s v="D1 Talento Humano"/>
    <s v="POLÍTICA 1 Gestión Estratégica del Talento Humano"/>
    <s v="2. Incorporar las mejores prácticas organizacionales y tecnológicas que garanticen calidad e integridad de la gestión pública."/>
    <s v="11. Gestión del Talento Humano"/>
    <s v="N/A"/>
    <m/>
    <m/>
  </r>
  <r>
    <x v="8"/>
    <x v="0"/>
    <s v="Adelantar campañas de comunicación y acercamiento al ciudadano"/>
    <n v="0.1"/>
    <x v="0"/>
    <s v="Elaborar piezas gráficas y producción audiovisual de acuerdo con los requerimientos institucionales"/>
    <n v="0.04"/>
    <s v="Campañas"/>
    <s v="# campañas realizadas / # campañas planeadas"/>
    <s v="Angie Torres"/>
    <x v="0"/>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n v="0.09"/>
    <s v="Marzo"/>
  </r>
  <r>
    <x v="8"/>
    <x v="0"/>
    <s v="Adelantar campañas de comunicación y acercamiento al ciudadano"/>
    <n v="0.1"/>
    <x v="1"/>
    <s v="Adelantar los eventos institucionales y sectoriales requeridos en cumplimiento de la misionalidad"/>
    <n v="0.06"/>
    <s v="Eventos"/>
    <s v="# eventos realizados / # eventos planeados"/>
    <s v="Oliver Díaz Iglesias"/>
    <x v="0"/>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n v="0.1"/>
    <s v="Marzo"/>
  </r>
  <r>
    <x v="8"/>
    <x v="1"/>
    <s v="Generar diagnóstico de la percepción por parte de los usuarios finales de los servicios de planeación prestados por la entidad"/>
    <n v="0.04"/>
    <x v="4"/>
    <s v="Caracterizar usuarios"/>
    <n v="0.02"/>
    <s v="Informe de caracterización"/>
    <s v="1 documento"/>
    <s v="Oliver Díaz Iglesias"/>
    <x v="10"/>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n v="0.7"/>
    <s v="Marzo"/>
  </r>
  <r>
    <x v="8"/>
    <x v="1"/>
    <s v="Generar diagnóstico de la percepción por parte de los usuarios finales de los servicios de planeación prestados por la entidad"/>
    <n v="0.04"/>
    <x v="5"/>
    <s v="Aplicar encuestas"/>
    <n v="0.02"/>
    <s v="Informe de resultado de percepción"/>
    <s v="1 documento"/>
    <s v="Angie Torres"/>
    <x v="11"/>
    <s v="N/A"/>
    <s v="5 - Generación de valor público a traves del emprendimiento y la innovación para la UPME ubicada en Bogotá - 2019011000090"/>
    <s v="D5 Información y Comunicación"/>
    <s v="POLÍTICA 9 Transparencia, Acceso a la Información y lucha contra la Corrupción"/>
    <s v="2. Incorporar las mejores prácticas organizacionales y tecnológicas que garanticen calidad e integridad de la gestión pública."/>
    <s v="2. Comunicación Estratégica"/>
    <s v="N/A"/>
    <m/>
    <m/>
  </r>
  <r>
    <x v="8"/>
    <x v="2"/>
    <s v="Renovar el web site institucional con énfasis en la interacción con el ciudadano"/>
    <n v="0.1"/>
    <x v="7"/>
    <s v="Actualizar el Content Management System"/>
    <n v="0.05"/>
    <s v="Web site"/>
    <s v="Web site actualizado"/>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0. Divulgación Minero Energética"/>
    <s v="N/A"/>
    <m/>
    <m/>
  </r>
  <r>
    <x v="8"/>
    <x v="2"/>
    <s v="Renovar el web site institucional con énfasis en la interacción con el ciudadano"/>
    <n v="0.1"/>
    <x v="8"/>
    <s v="Adoptar los lineamientos de MINTIC y la comunidad internacional World Wide Web Consortium (W3C)"/>
    <n v="0.02"/>
    <s v="Evaluación de cumplimiento"/>
    <s v="Lineamientos cumplidos / lineamientos definidos"/>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0. Divulgación Minero Energética"/>
    <s v="N/A"/>
    <m/>
    <m/>
  </r>
  <r>
    <x v="8"/>
    <x v="2"/>
    <s v="Renovar el web site institucional con énfasis en la interacción con el ciudadano"/>
    <n v="0.1"/>
    <x v="9"/>
    <s v="Integrar portales"/>
    <n v="0.03"/>
    <s v="Portales integrados"/>
    <s v="# portales integrados / # portales programados"/>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0. Divulgación Minero Energética"/>
    <s v="N/A"/>
    <m/>
    <m/>
  </r>
  <r>
    <x v="8"/>
    <x v="3"/>
    <s v="Actualizar la arquitectura empresarial enfocada en el nuevo marco de referencia emitido por MinTIC"/>
    <n v="0.1"/>
    <x v="10"/>
    <s v="Actualizar los dominios de arquitectura definidos en el marco de referencia"/>
    <n v="0.1"/>
    <s v="Dominios actualizados"/>
    <s v="Dominios actualizados / dominios definidos en el marco de referencia"/>
    <s v="Sandra Patricia Zambra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x v="4"/>
    <s v="Generar reportes para la difusión y georreferenciación de información de acuerdo con los requerimientos institucionales"/>
    <n v="0.06"/>
    <x v="88"/>
    <s v="Generar Reportes de información"/>
    <n v="0.03"/>
    <s v="Reportes de información para difundir"/>
    <s v="# reportes generados / # reportes planeados"/>
    <s v="Miguel Barrera"/>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n v="0.15"/>
    <s v="Marzo"/>
  </r>
  <r>
    <x v="8"/>
    <x v="4"/>
    <s v="Generar reportes para la difusión y georreferenciación de información de acuerdo con los requerimientos institucionales"/>
    <n v="0.06"/>
    <x v="89"/>
    <s v="Georeferenciar la información de los reportes generados"/>
    <n v="0.03"/>
    <s v="Información georreferenciada"/>
    <s v="# capas de información georeferenciadas / # capas planeadas"/>
    <s v="Alejandro Barrios"/>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n v="0.05"/>
    <s v="Marzo"/>
  </r>
  <r>
    <x v="8"/>
    <x v="5"/>
    <s v="Diseñar, desarrollar y poner en funcionamiento un cuadro de mando para el seguimiento a la gestión institucional"/>
    <n v="0.03"/>
    <x v="103"/>
    <s v="Diseñar cuadro de mando de seguimiento institucional"/>
    <n v="0.01"/>
    <s v="Cuadro de mando diseñado"/>
    <s v="1 Documento de diseño"/>
    <s v="Jairo Riaño Moreno"/>
    <x v="6"/>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5"/>
    <s v="Diseñar, desarrollar y poner en funcionamiento un cuadro de mando para el seguimiento a la gestión institucional"/>
    <n v="0.03"/>
    <x v="104"/>
    <s v="Desarrollar cuadro de mando de seguimiento institucional"/>
    <n v="0.01"/>
    <s v="Cuadro de mando desarrollado"/>
    <s v=" %Avance de desarrollo cuadro de mando"/>
    <s v="Jairo Riaño Moreno"/>
    <x v="7"/>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5"/>
    <s v="Diseñar, desarrollar y poner en funcionamiento un cuadro de mando para el seguimiento a la gestión institucional"/>
    <n v="0.03"/>
    <x v="111"/>
    <s v="Poner en funcionamiento cuadro de mando de seguimiento institucional"/>
    <n v="0.01"/>
    <s v="Cuadro de mando en funcionamiento"/>
    <s v="Indicadores implementados / Indicadores diseñados"/>
    <s v="Jairo Riaño Moreno"/>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6"/>
    <s v="Implementar la fase 1 del plan unificado de gobierno de datos para la gestión de la información de la entidad"/>
    <n v="0.1"/>
    <x v="105"/>
    <s v="Formalizar el comité de gobierno de datos y poner en operación el gobierno definido"/>
    <n v="0.02"/>
    <s v="Acta de comité"/>
    <s v="1 Documento"/>
    <s v="Cesar Jerez"/>
    <x v="3"/>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n v="0.01"/>
    <s v="Marzo"/>
  </r>
  <r>
    <x v="8"/>
    <x v="6"/>
    <s v="Implementar la fase 1 del plan unificado de gobierno de datos para la gestión de la información de la entidad"/>
    <n v="0.1"/>
    <x v="106"/>
    <s v="Definir arquitectura de datos"/>
    <n v="0.04"/>
    <s v="Arquitectura de datos"/>
    <s v="1 Documento"/>
    <s v="Cesar Jerez"/>
    <x v="1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x v="6"/>
    <s v="Implementar la fase 1 del plan unificado de gobierno de datos para la gestión de la información de la entidad"/>
    <n v="0.1"/>
    <x v="112"/>
    <s v="Formalizar procedimientos para gestión de datos"/>
    <n v="0.04"/>
    <s v="Procedimientos de gestión de datos"/>
    <s v="1 Documento"/>
    <s v="Cesar Jerez"/>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x v="7"/>
    <s v="Desarrollar la fase 2 del proyecto de automatización de procesos misionales"/>
    <n v="0.1"/>
    <x v="107"/>
    <s v="Identificar y levantar requerimientos de los procesos a automatizar"/>
    <n v="0.04"/>
    <s v="Documento de requerimientos por proceso identificado"/>
    <s v="Requerimiento procesos levantados / Requerimiento procesos identificados"/>
    <s v="Cesar Jerez"/>
    <x v="9"/>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x v="7"/>
    <s v="Desarrollar la fase 2 del proyecto de automatización de procesos misionales"/>
    <n v="0.1"/>
    <x v="108"/>
    <s v="Automatizar los procesos identificados"/>
    <n v="0.06"/>
    <s v="Procesos automatizados"/>
    <s v="Procesos automatizados / Procesos identificados"/>
    <s v="Cesar Jerez"/>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7. Información Sectorial"/>
    <s v="N/A"/>
    <m/>
    <m/>
  </r>
  <r>
    <x v="8"/>
    <x v="8"/>
    <s v="Actualizar el Sistema de Gestión de Seguridad de la Información – SGSI"/>
    <n v="0.06"/>
    <x v="109"/>
    <s v="Elaborar plan de mejoramiento resultado de la auditoria SGSI "/>
    <n v="0.01"/>
    <s v="Plan de mejoramiento SGSI"/>
    <s v="1 Documento"/>
    <s v="Luis Antonio Hurtado"/>
    <x v="3"/>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n v="0.01"/>
    <s v="Marzo"/>
  </r>
  <r>
    <x v="8"/>
    <x v="8"/>
    <s v="Actualizar el Sistema de Gestión de Seguridad de la Información – SGSI"/>
    <n v="0.06"/>
    <x v="110"/>
    <s v="Elaborar plan de trabajo derivado de la evaluación del MSPI en desarrollo del proyecto GRC Sectorial"/>
    <n v="0.01"/>
    <s v="Plan de trabajo MSPI"/>
    <s v="1 Documento"/>
    <s v="Luis Antonio Hurtado"/>
    <x v="3"/>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n v="0.01"/>
    <s v="Marzo"/>
  </r>
  <r>
    <x v="8"/>
    <x v="8"/>
    <s v="Actualizar el Sistema de Gestión de Seguridad de la Información – SGSI"/>
    <n v="0.06"/>
    <x v="113"/>
    <s v="Ejecutar plan de mejoramiento SGSI"/>
    <n v="0.02"/>
    <s v="Informes de ejecución plan SGSI"/>
    <s v="% Actividades ejecutadas"/>
    <s v="Luis Antonio Hurtado"/>
    <x v="0"/>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m/>
    <m/>
  </r>
  <r>
    <x v="8"/>
    <x v="8"/>
    <s v="Actualizar el Sistema de Gestión de Seguridad de la Información – SGSI"/>
    <n v="0.06"/>
    <x v="114"/>
    <s v="Ejecutar plan de trabajo MSPI"/>
    <n v="0.02"/>
    <s v="Informes de ejecución plan MSPI"/>
    <s v="% Actividades ejecutadas"/>
    <s v="Luis Antonio Hurtado"/>
    <x v="0"/>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m/>
    <m/>
  </r>
  <r>
    <x v="8"/>
    <x v="9"/>
    <s v="Fortalecer la mesa de servicios"/>
    <n v="0.06"/>
    <x v="115"/>
    <s v="Definir procedimientos para la mesa de servicios"/>
    <n v="0.03"/>
    <s v="Procedimientos de la mesa de servicios"/>
    <s v="#de procedimientos caracterizados / #de procedimientos identificados "/>
    <s v="José Emilio Ramírez"/>
    <x v="9"/>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x v="9"/>
    <s v="Fortalecer la mesa de servicios"/>
    <n v="0.06"/>
    <x v="116"/>
    <s v="Implementar la herramienta para la gestión de servicios TIC"/>
    <n v="0.02"/>
    <s v="Herramienta implementada"/>
    <s v="% implementación de la herramienta"/>
    <s v="Edgar Alexander Pérez"/>
    <x v="6"/>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x v="9"/>
    <s v="Fortalecer la mesa de servicios"/>
    <n v="0.06"/>
    <x v="117"/>
    <s v="Ejecutar campaña de sensibilización de usuarios, así como de uso y apropiación de la mesa de servicios"/>
    <n v="0.01"/>
    <s v="Campaña de sensibilización"/>
    <s v="% Avance de la campaña"/>
    <s v="Angie Torres"/>
    <x v="8"/>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0"/>
    <s v="Implementar la solución de escritorios virtuales"/>
    <n v="0.1"/>
    <x v="118"/>
    <s v="Definir la solución a implementar"/>
    <n v="0.03"/>
    <s v="Documento arquitectura de solución"/>
    <s v="1 Documento"/>
    <s v="Jairo Riaño Moreno"/>
    <x v="3"/>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x v="10"/>
    <s v="Implementar la solución de escritorios virtuales"/>
    <n v="0.1"/>
    <x v="119"/>
    <s v="Implementar la solución"/>
    <n v="0.06"/>
    <s v="Solución implementada"/>
    <s v="% Avance de implementación"/>
    <s v="Edgar Alexander Pérez"/>
    <x v="1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0"/>
    <s v="Implementar la solución de escritorios virtuales"/>
    <n v="0.1"/>
    <x v="120"/>
    <s v="Monitorear la solución"/>
    <n v="0.01"/>
    <s v="Informes de monitoreo"/>
    <s v="Informes generados / Informes planeados"/>
    <s v="Edgar Alexander Pérez"/>
    <x v="0"/>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1"/>
    <s v="Actualizar la infraestructura de red institucional"/>
    <n v="0.06"/>
    <x v="121"/>
    <s v="Definir arquitectura de solución de networking"/>
    <n v="0.02"/>
    <s v="Documento arquitectura de solución"/>
    <s v="1 Documento"/>
    <s v="Edgar Alexander Pérez"/>
    <x v="5"/>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n v="6.0000000000000001E-3"/>
    <s v="Marzo"/>
  </r>
  <r>
    <x v="8"/>
    <x v="11"/>
    <s v="Actualizar la infraestructura de red institucional"/>
    <n v="0.06"/>
    <x v="122"/>
    <s v="Implementar la solución"/>
    <n v="0.04"/>
    <s v="Solución implementada"/>
    <s v="% Avance de implementación"/>
    <s v="Edgar Alexander Pérez"/>
    <x v="7"/>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2"/>
    <s v="Migrar la solución de telefonía IP implementada en la entidad"/>
    <n v="0.03"/>
    <x v="123"/>
    <s v="Definir arquitectura de solución de telefonia IP"/>
    <n v="0.01"/>
    <s v="Documento arquitectura de solución"/>
    <s v="1 Documento"/>
    <s v="Edgar Alexander Pérez"/>
    <x v="9"/>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2"/>
    <s v="Migrar la solución de telefonía IP implementada en la entidad"/>
    <n v="0.03"/>
    <x v="124"/>
    <s v="Implementar la solución"/>
    <n v="0.02"/>
    <s v="Solución implementada"/>
    <s v="% Avance de implementación"/>
    <s v="Edgar Alexander Pérez"/>
    <x v="7"/>
    <s v="N/A"/>
    <s v="5 - Generación de valor público a traves del emprendimiento y la innovación para la UPME ubicada en Bogotá - 2019011000090"/>
    <s v="D3 Gestión para Resultados con Valores"/>
    <s v="POLÍTICA 6 Gobierno Digital"/>
    <s v="2. Incorporar las mejores prácticas organizacionales y tecnológicas que garanticen calidad e integridad de la gestión pública."/>
    <s v="14. Gestion de tecnologias de la informacion "/>
    <s v="N/A"/>
    <m/>
    <m/>
  </r>
  <r>
    <x v="8"/>
    <x v="13"/>
    <s v="Implementar el DRP acorde con las necesidades institucionales"/>
    <n v="0.06"/>
    <x v="125"/>
    <s v="Definir arquitectura de solución de DRP"/>
    <n v="0.02"/>
    <s v="Documento arquitectura de solución"/>
    <s v="1 Documento"/>
    <s v="Luis Antonio Hurtado"/>
    <x v="4"/>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n v="4.0000000000000001E-3"/>
    <s v="Marzo"/>
  </r>
  <r>
    <x v="8"/>
    <x v="13"/>
    <s v="Implementar el DRP acorde con las necesidades institucionales"/>
    <n v="0.06"/>
    <x v="126"/>
    <s v="Implementar la solución"/>
    <n v="0.04"/>
    <s v="Solución implementada"/>
    <s v="% Avance de implementación"/>
    <s v="Edgar Alexander Pérez"/>
    <x v="8"/>
    <s v="N/A"/>
    <s v="5 - Generación de valor público a traves del emprendimiento y la innovación para la UPME ubicada en Bogotá - 2019011000090"/>
    <s v="D3 Gestión para Resultados con Valores"/>
    <s v="POLÍTICA 7 Seguridad Digital"/>
    <s v="2. Incorporar las mejores prácticas organizacionales y tecnológicas que garanticen calidad e integridad de la gestión pública."/>
    <s v="14. Gestion de tecnologias de la informacion "/>
    <s v="N/A"/>
    <m/>
    <m/>
  </r>
  <r>
    <x v="9"/>
    <x v="0"/>
    <s v="Apoyar el proyecto de la modernizacion frente al proceso de gestión documental"/>
    <n v="0.1"/>
    <x v="0"/>
    <s v="Revisar los documentos que se derivan del proyecto de la modernización"/>
    <n v="0.05"/>
    <s v="Documentos"/>
    <s v="#documentos/#documentos revisados"/>
    <s v="Coordinación GITGA"/>
    <x v="10"/>
    <s v="N/A"/>
    <s v="N/A"/>
    <s v="D1 Talento Humano"/>
    <s v="POLÍTICA 1 Gestión Estratégica del Talento Humano"/>
    <s v="2. Incorporar las mejores prácticas organizacionales y tecnológicas que garanticen calidad e integridad de la gestión pública."/>
    <s v="1. Direccionamiento Estratégico"/>
    <s v="N/A"/>
    <n v="0"/>
    <s v="Marzo"/>
  </r>
  <r>
    <x v="9"/>
    <x v="0"/>
    <s v="Apoyar el proyecto de la modernizacion frente al proceso de gestión documental"/>
    <n v="0.1"/>
    <x v="127"/>
    <s v="Revisar los documentos que se derivan del proyecto de la modernización y que sean del resorte para la gestión documental"/>
    <n v="0.05"/>
    <s v="Documentos"/>
    <s v="#documentos entregados/#documentos revisados"/>
    <s v="Coordinación GITGA"/>
    <x v="10"/>
    <s v="N/A"/>
    <s v="N/A"/>
    <s v="D2 Direccionamiento Estratégico y Planeación"/>
    <s v="POLÍTICA 5 Fortalecimiento Organizacional y Simplificación de Procesos"/>
    <s v="2. Incorporar las mejores prácticas organizacionales y tecnológicas que garanticen calidad e integridad de la gestión pública."/>
    <s v="1. Direccionamiento Estratégico"/>
    <s v="N/A"/>
    <n v="0"/>
    <s v="Marzo"/>
  </r>
  <r>
    <x v="9"/>
    <x v="1"/>
    <s v="Implementar el proceso de evaluación de provisionales y seguimiento a los indicadores de gestión"/>
    <n v="0.1"/>
    <x v="4"/>
    <s v="Concertar objetivos, realizar seguimiento a la evaluación, y cumplir los indicadores de gestión"/>
    <n v="0.1"/>
    <s v="Formato y documento"/>
    <s v="#compromisos concertados para la evaluación/#evaluación realizada"/>
    <s v="Coordinador GITGA"/>
    <x v="0"/>
    <s v="N/A"/>
    <s v="N/A"/>
    <s v="D4 Evaluación de Resultados"/>
    <s v="POLÍTICA 13 Seguimiento y Evaluación del Desempeño Institucional"/>
    <s v="2. Incorporar las mejores prácticas organizacionales y tecnológicas que garanticen calidad e integridad de la gestión pública."/>
    <s v="19. Evaluación y Control"/>
    <s v="N/A"/>
    <n v="0.05"/>
    <s v="Marzo"/>
  </r>
  <r>
    <x v="9"/>
    <x v="2"/>
    <s v="Gestionar la adopción del programa de gestión documental e implentar su contenido"/>
    <n v="0.6"/>
    <x v="7"/>
    <s v="Presentar el proyecto del programa de gestión documental ante el comité de gestión de desarrollo"/>
    <n v="0.2"/>
    <s v="Documento con el programa de gestión documental"/>
    <s v="Documento aprobado"/>
    <s v="Profesional especializado con funciones de gestión documental y coordinación del grupo interno de trabajo"/>
    <x v="4"/>
    <s v="N/A"/>
    <s v="N/A"/>
    <s v="D3 Gestión para Resultados con Valores"/>
    <s v="POLÍTICA 14 Gestión Documental"/>
    <s v="2. Incorporar las mejores prácticas organizacionales y tecnológicas que garanticen calidad e integridad de la gestión pública."/>
    <s v="18. Gestion documental"/>
    <s v="1. Plan institucional de archivos de la entidad - PINAR"/>
    <n v="0.16"/>
    <s v="Marzo"/>
  </r>
  <r>
    <x v="9"/>
    <x v="2"/>
    <s v="Gestionar la adopción del programa de gestión documental e implentar su contenido"/>
    <n v="0.6"/>
    <x v="8"/>
    <s v="Implementar el programa de gestión documental (Ajustes de los flujos documentales)"/>
    <n v="0.2"/>
    <s v="Documento con actualizaciones/ Flujo de gestión"/>
    <s v="# instrumentos archivisticos aprobados e implementados/Flujo documental ajustado e implementado"/>
    <s v="Profesional con funciones de gestión documental y coordinación del grupo interno de trabajo"/>
    <x v="0"/>
    <s v="N/A"/>
    <s v="N/A"/>
    <s v="D3 Gestión para Resultados con Valores"/>
    <s v="POLÍTICA 14 Gestión Documental"/>
    <s v="2. Incorporar las mejores prácticas organizacionales y tecnológicas que garanticen calidad e integridad de la gestión pública."/>
    <s v="18. Gestion documental"/>
    <s v="1. Plan institucional de archivos de la entidad - PINAR"/>
    <n v="0.03"/>
    <s v="Marzo"/>
  </r>
  <r>
    <x v="9"/>
    <x v="2"/>
    <s v="Gestionar la adopción del programa de gestión documental e implentar su contenido"/>
    <n v="0.6"/>
    <x v="9"/>
    <s v="Adoptar programa de gestión documental en la herramienta de gestión ORFEO"/>
    <n v="0.2"/>
    <s v="Herramienta actualizada"/>
    <s v="# Ajustes a la herramienta orfeo"/>
    <s v="Profesional con funciones de gestión documental y coordinación del grupo interno de trabajo"/>
    <x v="0"/>
    <s v="N/A"/>
    <s v="N/A"/>
    <s v="D3 Gestión para Resultados con Valores"/>
    <s v="POLÍTICA 14 Gestión Documental"/>
    <s v="2. Incorporar las mejores prácticas organizacionales y tecnológicas que garanticen calidad e integridad de la gestión pública."/>
    <s v="18. Gestion documental"/>
    <s v="1. Plan institucional de archivos de la entidad - PINAR"/>
    <n v="0.06"/>
    <s v="Marzo"/>
  </r>
  <r>
    <x v="9"/>
    <x v="3"/>
    <s v="Administrar los bienes, bienes inmuebles y servicios para el funcionamiento de la entidad"/>
    <n v="0.2"/>
    <x v="10"/>
    <s v="Alimentar el software SEVEN para la generación de reportes"/>
    <n v="0.1"/>
    <s v="Reportes periodicos"/>
    <s v="Reporte de compras e inventarios actualizado"/>
    <s v="Técnico administrativo con funciones de almacenista y coordinación del grupo interno de trabajo"/>
    <x v="0"/>
    <s v="N/A"/>
    <s v="N/A"/>
    <s v="D3 Gestión para Resultados con Valores"/>
    <s v="POLÍTICA 5 Fortalecimiento Organizacional y Simplificación de Procesos"/>
    <s v="2. Incorporar las mejores prácticas organizacionales y tecnológicas que garanticen calidad e integridad de la gestión pública."/>
    <s v="17. Gestión Servicios Administrativos"/>
    <s v="2. Plan anual de adquisiciones"/>
    <n v="0.02"/>
    <s v="Marzo"/>
  </r>
  <r>
    <x v="9"/>
    <x v="3"/>
    <s v="Administrar los bienes, bienes inmuebles y servicios para el funcionamiento de la entidad"/>
    <n v="0.2"/>
    <x v="11"/>
    <s v="Adelantar los trámites precontractuales y seguimiento a la ejecución del Plan de Adquisiciones, generando informes de la ejecución del presupuesto de funcionamiento"/>
    <n v="0.1"/>
    <s v="Estudios previos y soportes e informes"/>
    <s v="# de informes de seguimiento"/>
    <s v="Profesional especializado con funciones de compras y coordinación del grupo interno de trabajo"/>
    <x v="6"/>
    <s v="N/A"/>
    <s v="N/A"/>
    <s v="D3 Gestión para Resultados con Valores"/>
    <s v="POLÍTICA 4 Gestión Presupuestal y Eficiencia del Gasto Público"/>
    <s v="2. Incorporar las mejores prácticas organizacionales y tecnológicas que garanticen calidad e integridad de la gestión pública."/>
    <s v="17. Gestión Servicios Administrativos"/>
    <s v="2. Plan anual de adquisiciones"/>
    <n v="0.03"/>
    <s v="Marzo"/>
  </r>
  <r>
    <x v="10"/>
    <x v="0"/>
    <s v="Proyectar los precios de los energéticos."/>
    <n v="0.1"/>
    <x v="0"/>
    <s v="Recopilar información actualizada y generar bases de datos"/>
    <n v="2.5000000000000001E-2"/>
    <s v="Bases de datos actualizadas"/>
    <s v="% de avance =_x000a_ (Actividades realizadas / Actividades planeadas)"/>
    <s v="Juan Camilo Torres - Esteban Gómez - Katherine Rodriguez"/>
    <x v="9"/>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0"/>
    <s v="Proyectar los precios de los energéticos."/>
    <n v="0.1"/>
    <x v="1"/>
    <s v="Definición y cálculo de escenarios."/>
    <n v="2.5000000000000001E-2"/>
    <s v="Tablas de resultados"/>
    <s v="% de avance =_x000a_ (Actividades realizadas / Actividades planeadas)"/>
    <s v="Juan Camilo Torres - Esteban Gómez - Katherine Rodriguez"/>
    <x v="9"/>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0"/>
    <s v="Proyectar los precios de los energéticos."/>
    <n v="0.1"/>
    <x v="2"/>
    <s v="Revisión y discusión"/>
    <n v="2.5000000000000001E-2"/>
    <s v="Informe con diagnóstico"/>
    <s v="% de avance =_x000a_ (Actividades realizadas / Actividades planeadas)"/>
    <s v="Juan Camilo Torres - Esteban Gómez - Katherine Rodriguez"/>
    <x v="5"/>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0"/>
    <s v="Proyectar los precios de los energéticos."/>
    <n v="0.1"/>
    <x v="3"/>
    <s v="Presentación y socialización"/>
    <n v="2.5000000000000001E-2"/>
    <s v="Documento definitivo"/>
    <s v="% de avance =_x000a_ (Actividades realizadas / Actividades planeadas)"/>
    <s v="Juan Camilo Torres - Esteban Gómez - Katherine Rodriguez"/>
    <x v="6"/>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1"/>
    <s v="Convocatorias de gas natural"/>
    <n v="0.2"/>
    <x v="4"/>
    <s v="Respuestas a observaciones y elaboración de adendas GN 001-2020"/>
    <n v="3.3000000000000002E-2"/>
    <s v="Circuales, adendas y oficios"/>
    <s v="% de avance =_x000a_ (Actividades realizadas / Actividades planeadas)"/>
    <s v="Sandra Leyva - Andrés Popayán"/>
    <x v="9"/>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1"/>
    <s v="Convocatorias de gas natural"/>
    <n v="0.2"/>
    <x v="5"/>
    <s v="Realizar proceso de selección de Auditores de obras en Plan de Abastecimiento de Gas Natural"/>
    <n v="3.3000000000000002E-2"/>
    <s v="Actas de adjudicación"/>
    <s v="% de avance =_x000a_ (Actividades realizadas / Actividades planeadas)"/>
    <s v="Sandra Leyva - Andrés Popayán"/>
    <x v="0"/>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1"/>
    <s v="Convocatorias de gas natural"/>
    <n v="0.2"/>
    <x v="6"/>
    <s v="Realizar el proceso de selección de Inversionista - Infraestructura de Importación de gas del Pacífico."/>
    <n v="3.3000000000000002E-2"/>
    <s v="Actas de adjudicación"/>
    <s v="% de avance =_x000a_ (Actividades realizadas / Actividades planeadas)"/>
    <s v="Sandra Leyva - Andrés Popayán - Katherine Rodriguez"/>
    <x v="6"/>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1"/>
    <s v="Convocatorias de gas natural"/>
    <n v="0.2"/>
    <x v="14"/>
    <s v="Seguimiento a auditores de obras del Plan de Abastecimiento de Gas Natural."/>
    <n v="3.3000000000000002E-2"/>
    <s v="Certificados de cumplimiento"/>
    <s v="% de avance =_x000a_ (Actividades realizadas / Actividades planeadas)"/>
    <s v="Sandra Leyva - Andrés Popayán"/>
    <x v="0"/>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1"/>
    <s v="Convocatorias de gas natural"/>
    <n v="0.2"/>
    <x v="15"/>
    <s v="Participar en la definición de proyectos IPAT - Resolución 40304 de 2020."/>
    <n v="3.3000000000000002E-2"/>
    <s v="Resoluciones de proyectos prioritarios"/>
    <s v="% de avance =_x000a_ (Actividades realizadas / Actividades planeadas)"/>
    <s v="Sandra Leyva - Andrés Popayán"/>
    <x v="9"/>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1"/>
    <s v="Convocatorias de gas natural"/>
    <n v="0.2"/>
    <x v="16"/>
    <s v="Participar en los estudios de Ingenierías conceptuales de posibles proyectos a ejecutarse mediante convocatorias públicas."/>
    <n v="3.3000000000000002E-2"/>
    <s v="Sondeos de mercado, términos de referencia, certificados de cumplimiento"/>
    <s v="% de avance =_x000a_ (Actividades realizadas / Actividades planeadas)"/>
    <s v="Sandra Leyva - Andrés Popayán - Katherine Rodriguez"/>
    <x v="0"/>
    <s v="PND"/>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2"/>
    <s v="Plan de Abastecimiento de Gas Natural 2021"/>
    <n v="0.15"/>
    <x v="7"/>
    <s v="Recolección de insumos y análisis de información"/>
    <n v="3.7999999999999999E-2"/>
    <s v="Tablas, bases de datos, gráficas, programas."/>
    <s v="% de avance =_x000a_ (Actividades realizadas / Actividades planeadas)"/>
    <s v="Jaime Andrade - Ibrahim Massy"/>
    <x v="9"/>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2"/>
    <s v="Plan de Abastecimiento de Gas Natural 2021"/>
    <n v="0.15"/>
    <x v="8"/>
    <s v="Diagnóstico e identificación de alternativas"/>
    <n v="3.7999999999999999E-2"/>
    <s v="Documento de avances y soportes"/>
    <s v="% de avance =_x000a_ (Actividades realizadas / Actividades planeadas)"/>
    <s v="Jaime Andrade - Ibrahim Massy - Katherine Rodriguez"/>
    <x v="5"/>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2"/>
    <s v="Plan de Abastecimiento de Gas Natural 2021"/>
    <n v="0.15"/>
    <x v="9"/>
    <s v="Consolidación de documentos"/>
    <n v="3.7999999999999999E-2"/>
    <s v="Estudio técnico y anexos"/>
    <s v="% de avance =_x000a_ (Actividades realizadas / Actividades planeadas)"/>
    <s v="Jaime Andrade - Ibrahim Massy"/>
    <x v="6"/>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2"/>
    <s v="Plan de Abastecimiento de Gas Natural 2021"/>
    <n v="0.15"/>
    <x v="60"/>
    <s v="Socialización de resultados"/>
    <n v="3.7999999999999999E-2"/>
    <s v="Presentaciones, informes"/>
    <s v="% de avance =_x000a_ (Actividades realizadas / Actividades planeadas)"/>
    <s v="Jaime Andrade - Ibrahim Massy"/>
    <x v="10"/>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3"/>
    <s v="Plan Indicativo de Abastecimiento de Combustibles Líquidos"/>
    <n v="0.15"/>
    <x v="10"/>
    <s v="Recolección de insumos y análisis de información"/>
    <n v="3.7999999999999999E-2"/>
    <s v="Bases de datos, tablas y gráficas de resultados, informe consolidado."/>
    <s v="% de avance =_x000a_ (Actividades realizadas / Actividades planeadas)"/>
    <s v="Esteban Gómez - Juan Cam ilo Torres - Santiago Hurtado"/>
    <x v="1"/>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3.5000000000000003E-2"/>
    <s v="Enero"/>
  </r>
  <r>
    <x v="10"/>
    <x v="3"/>
    <s v="Plan Indicativo de Abastecimiento de Combustibles Líquidos"/>
    <n v="0.15"/>
    <x v="11"/>
    <s v="Diagnóstico e identificación de alternativas"/>
    <n v="3.7999999999999999E-2"/>
    <s v="Documento de análisis de alternativas"/>
    <s v="% de avance =_x000a_ (Actividades realizadas / Actividades planeadas)"/>
    <s v="Esteban Gómez - Juan Cam ilo Torres - Santiago Hurtado"/>
    <x v="2"/>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3.5000000000000003E-2"/>
    <s v="Febrero"/>
  </r>
  <r>
    <x v="10"/>
    <x v="3"/>
    <s v="Plan Indicativo de Abastecimiento de Combustibles Líquidos"/>
    <n v="0.15"/>
    <x v="12"/>
    <s v="Consolidación de documentos"/>
    <n v="3.7999999999999999E-2"/>
    <s v="Documento del plan y conclusiones. Anexos con sustentación metodológica."/>
    <s v="% de avance =_x000a_ (Actividades realizadas / Actividades planeadas)"/>
    <s v="Esteban Gómez - Juan Cam ilo Torres - Santiago Hurtado"/>
    <x v="3"/>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3.2000000000000001E-2"/>
    <s v="Marzo"/>
  </r>
  <r>
    <x v="10"/>
    <x v="3"/>
    <s v="Plan Indicativo de Abastecimiento de Combustibles Líquidos"/>
    <n v="0.15"/>
    <x v="13"/>
    <s v="Socialización de resultados"/>
    <n v="3.7999999999999999E-2"/>
    <s v="Presentaciones. Resumen ejecutivo"/>
    <s v="% de avance =_x000a_ (Actividades realizadas / Actividades planeadas)"/>
    <s v="Esteban Gómez - Juan Cam ilo Torres - Santiago Hurtado"/>
    <x v="3"/>
    <s v="PND"/>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n v="0"/>
    <m/>
  </r>
  <r>
    <x v="10"/>
    <x v="4"/>
    <s v="Análisis de eficiencia en el consumo de energéticos (sustitución de leña y expansión de cobertura de gas combustible)."/>
    <n v="0.15"/>
    <x v="88"/>
    <s v="Recolección de insumos y análisis de información"/>
    <n v="3.7999999999999999E-2"/>
    <s v="Bases de datos, tablas y gráficas de resultados, informe consolidado."/>
    <s v="% de avance =_x000a_ (Actividades realizadas / Actividades planeadas)"/>
    <s v="Esteban Gómez - Santiago Hurtado - Héctor Herrera - Katherine Rodriguez"/>
    <x v="9"/>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4"/>
    <s v="Análisis de eficiencia en el consumo de energéticos (sustitución de leña y expansión de cobertura de gas combustible)."/>
    <n v="0.15"/>
    <x v="89"/>
    <s v="Diagnóstico e identificación de alternativas"/>
    <n v="3.7999999999999999E-2"/>
    <s v="Documento de análisis de alternativas"/>
    <s v="% de avance =_x000a_ (Actividades realizadas / Actividades planeadas)"/>
    <s v="Esteban Gómez - Héctor Herrera - Katherine Rodriguez"/>
    <x v="6"/>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4"/>
    <s v="Análisis de eficiencia en el consumo de energéticos (sustitución de leña y expansión de cobertura de gas combustible)."/>
    <n v="0.15"/>
    <x v="90"/>
    <s v="Consolidación de documentos"/>
    <n v="3.7999999999999999E-2"/>
    <s v="Documento del plan y conclusiones. Anexos con sustentación metodológica."/>
    <s v="% de avance =_x000a_ (Actividades realizadas / Actividades planeadas)"/>
    <s v="Esteban Gómez - Santiago Hurtado - Héctor Herrera - Katherine Rodriguez"/>
    <x v="10"/>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4"/>
    <s v="Análisis de eficiencia en el consumo de energéticos (sustitución de leña y expansión de cobertura de gas combustible)."/>
    <n v="0.15"/>
    <x v="128"/>
    <s v="Socialización de resultados"/>
    <n v="3.7999999999999999E-2"/>
    <s v="Presentaciones. Resumen ejecutivo"/>
    <s v="% de avance =_x000a_ (Actividades realizadas / Actividades planeadas)"/>
    <s v="Esteban Gómez - Santiago Hurtado - Héctor Herrera - Katherine Rodriguez"/>
    <x v="7"/>
    <s v="NA"/>
    <s v="2 - Asesoría para la planeación de abastecimiento y confiabilidad del sub sector de hidrocarburos a nivel Nacional - 2019011000089"/>
    <s v="D2 Direccionamiento Estratégico y Planeación"/>
    <s v="POLÍTICA 3 Planeación Institucional"/>
    <s v="4. Desarrollar las acciones necesarias que permitan materializar los planes, programas y proyectos en el sector minero energético."/>
    <s v="5. Planeación Estratégica e Integral de Hidrocarburos"/>
    <s v="N/A"/>
    <m/>
    <m/>
  </r>
  <r>
    <x v="10"/>
    <x v="5"/>
    <s v="Calcular la estructura de precios"/>
    <n v="0.05"/>
    <x v="103"/>
    <s v="Consolidar información para actualizar la estructura de precios (Trim 1)"/>
    <n v="1.2500000000000001E-2"/>
    <s v="Archivos con la estructura de precios y formatos para publicación"/>
    <s v="% de avance =_x000a_ (Actividades realizadas / Actividades planeadas)"/>
    <s v="Juan Camilo Torres - Santiago Hurtado"/>
    <x v="3"/>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n v="1.2999999999999999E-2"/>
    <s v="Marzo"/>
  </r>
  <r>
    <x v="10"/>
    <x v="5"/>
    <s v="Calcular la estructura de precios"/>
    <n v="0.05"/>
    <x v="104"/>
    <s v="Consolidar información para actualizar la estructura de precios (Trim 2)"/>
    <n v="1.2500000000000001E-2"/>
    <s v="Archivos con la estructura de precios y formatos para publicación"/>
    <s v="% de avance =_x000a_ (Actividades realizadas / Actividades planeadas)"/>
    <s v="Juan Camilo Torres - Santiago Hurtado"/>
    <x v="5"/>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5"/>
    <s v="Calcular la estructura de precios"/>
    <n v="0.05"/>
    <x v="111"/>
    <s v="Consolidar información para actualizar la estructura de precios (Trim 3)"/>
    <n v="1.2500000000000001E-2"/>
    <s v="Archivos con la estructura de precios y formatos para publicación"/>
    <s v="% de avance =_x000a_ (Actividades realizadas / Actividades planeadas)"/>
    <s v="Juan Camilo Torres - Santiago Hurtado"/>
    <x v="7"/>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5"/>
    <s v="Calcular la estructura de precios"/>
    <n v="0.05"/>
    <x v="129"/>
    <s v="Consolidar información para actualizar la estructura de precios (Trim 4)"/>
    <n v="1.2500000000000001E-2"/>
    <s v="Archivos con la estructura de precios y formatos para publicación"/>
    <s v="% de avance =_x000a_ (Actividades realizadas / Actividades planeadas)"/>
    <s v="Juan Camilo Torres - Santiago Hurtado"/>
    <x v="0"/>
    <s v="NA"/>
    <s v="2 - Asesoría para la planeación de abastecimiento y confiabilidad del sub sector de hidrocarburos a nivel Nacional - 2019011000089"/>
    <s v="D2 Direccionamiento Estratégico y Planeación"/>
    <s v="POLÍTICA 3 Planeación Institucional"/>
    <s v="1. Generar valor económico y social a partir de la aplicación del conocimiento integral de los recursos minero energéticos."/>
    <s v="5. Planeación Estratégica e Integral de Hidrocarburos"/>
    <s v="N/A"/>
    <m/>
    <m/>
  </r>
  <r>
    <x v="10"/>
    <x v="6"/>
    <s v="Trámites y procesos de cupos y compensaciones"/>
    <n v="0.15"/>
    <x v="105"/>
    <s v="Asignación de cupos de diésel marino excentos de sobretasa"/>
    <n v="0.05"/>
    <s v="Registro de trámites con cupos asignados"/>
    <s v="% de avance =_x000a_ (Actividades realizadas / Actividades planeadas)"/>
    <s v="Carlos Niño - Santiago Hurtado"/>
    <x v="2"/>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n v="0.05"/>
    <s v="Febrero"/>
  </r>
  <r>
    <x v="10"/>
    <x v="6"/>
    <s v="Trámites y procesos de cupos y compensaciones"/>
    <n v="0.15"/>
    <x v="106"/>
    <s v="Actualización de novedades en cupos de diésel marino - Trim 1"/>
    <n v="1.25E-3"/>
    <s v="Registro de novedades recibidas y tramitadas"/>
    <s v="% de avance =_x000a_ (Actividades realizadas / Actividades planeadas)"/>
    <s v="Carlos Niño - Santiago Hurtado"/>
    <x v="3"/>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n v="1E-3"/>
    <s v="Marzo"/>
  </r>
  <r>
    <x v="10"/>
    <x v="6"/>
    <s v="Trámites y procesos de cupos y compensaciones"/>
    <n v="0.15"/>
    <x v="112"/>
    <s v="Actualización de novedades en cupos de diésel marino - Trim 2"/>
    <n v="1.25E-3"/>
    <s v="Registro de novedades recibidas y tramitadas"/>
    <s v="% de avance =_x000a_ (Actividades realizadas / Actividades planeadas)"/>
    <s v="Carlos Niño - Santiago Hurtado"/>
    <x v="5"/>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0"/>
    <s v="Actualización de novedades en cupos de diésel marino - Trim 3"/>
    <n v="1.25E-3"/>
    <s v="Registro de novedades recibidas y tramitadas"/>
    <s v="% de avance =_x000a_ (Actividades realizadas / Actividades planeadas)"/>
    <s v="Carlos Niño - Santiago Hurtado"/>
    <x v="7"/>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1"/>
    <s v="Actualización de novedades en cupos de diésel marino - Trim 4"/>
    <n v="1.25E-3"/>
    <s v="Registro de novedades recibidas y tramitadas"/>
    <s v="% de avance =_x000a_ (Actividades realizadas / Actividades planeadas)"/>
    <s v="Carlos Niño - Santiago Hurtado"/>
    <x v="0"/>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2"/>
    <s v="Cálculo de compensaciones de transporte de GLP Yumbo-Pasto"/>
    <n v="3.5000000000000003E-2"/>
    <s v="Reporte de volúmenes con derecho a compensación"/>
    <s v="% de avance =_x000a_ (Actividades realizadas / Actividades planeadas)"/>
    <s v="Ibrahim Massy - Carlos Niño"/>
    <x v="4"/>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3"/>
    <s v="Listado Grandes Consumidores Individuales No Intermediarios ACPM - Sem I"/>
    <n v="5.0000000000000001E-3"/>
    <s v="Resolución con listado de grandes consumidores individuales no intermediarios de ACPM - Primer semestre"/>
    <s v="% de avance =_x000a_ (Actividades realizadas / Actividades planeadas)"/>
    <s v="Carlos Niño - Santiago Hurtado"/>
    <x v="5"/>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4"/>
    <s v="Listado Grandes Consumidores Individuales No Intermediarios ACPM - Sem II"/>
    <n v="5.0000000000000001E-3"/>
    <s v="Resolución con listado de grandes consumidores individuales no intermediarios de ACPM - Segundo semestre"/>
    <s v="% de avance =_x000a_ (Actividades realizadas / Actividades planeadas)"/>
    <s v="Carlos Niño - Santiago Hurtado"/>
    <x v="0"/>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6"/>
    <s v="Trámites y procesos de cupos y compensaciones"/>
    <n v="0.15"/>
    <x v="135"/>
    <s v="Actualización metodología de compensación de transporte GLP"/>
    <n v="0.05"/>
    <s v="Resolución con nueva metodología de compensación de transporte de GLP"/>
    <s v="% de avance =_x000a_ (Actividades realizadas / Actividades planeadas)"/>
    <s v="Andrés Popayán - Esteban Gómez"/>
    <x v="3"/>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n v="3.2000000000000001E-2"/>
    <s v="Marzo"/>
  </r>
  <r>
    <x v="10"/>
    <x v="7"/>
    <s v="Cooperación interinstitucional"/>
    <n v="0.05"/>
    <x v="107"/>
    <s v="Conformación y participación en CNoGas"/>
    <n v="2.5000000000000001E-2"/>
    <s v="Resoluciones de conformación de CNOGas"/>
    <s v="% de avance =_x000a_ (Actividades realizadas / Actividades planeadas)"/>
    <s v="Esteban Gómez - Héctor Herrera"/>
    <x v="4"/>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0"/>
    <x v="7"/>
    <s v="Cooperación interinstitucional"/>
    <n v="0.05"/>
    <x v="108"/>
    <s v="Secretaría técnica del CACSSE"/>
    <n v="2.5000000000000001E-2"/>
    <s v="Actas y demás documentos derivados de la secretaría técnica del CACSSE"/>
    <s v="% de avance =_x000a_ (Actividades realizadas / Actividades planeadas)"/>
    <s v="Sandra Leyva - Héctor Herrera"/>
    <x v="0"/>
    <s v="NA"/>
    <s v="2 - Asesoría para la planeación de abastecimiento y confiabilidad del sub sector de hidrocarburos a nivel Nacional - 2019011000089"/>
    <s v="D2 Direccionamiento Estratégico y Planeación"/>
    <s v="POLÍTICA 3 Planeación Institucional"/>
    <s v="2. Incorporar las mejores prácticas organizacionales y tecnológicas que garanticen calidad e integridad de la gestión pública."/>
    <s v="5. Planeación Estratégica e Integral de Hidrocarburos"/>
    <s v="N/A"/>
    <m/>
    <m/>
  </r>
  <r>
    <x v="11"/>
    <x v="0"/>
    <s v="Identificar posibilidades y condicionantes de los proyectos de transmisión (alertas tempranas: físicas, sociales, ambientales, etc.) en fase de planeación y en fase de convocatoria."/>
    <n v="0.15"/>
    <x v="0"/>
    <s v="Realizar solicitud de información socio-ambietal a las entidades involucradas"/>
    <n v="0.02"/>
    <s v="Solicitud a las entidades involucradas"/>
    <s v="# de solicitudes realizadas / # de solicitudes programadas"/>
    <s v="Grupo Convocatorias"/>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1"/>
    <s v="Elaborar Documento de alertas tempranas en fase de planeacion_x000a_ - Primer momento: informe analisis obras"/>
    <n v="0.02"/>
    <s v="informe para transmision"/>
    <s v="% de avance de la elaboracion del informe para transmisión en fase de planeacion"/>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2"/>
    <s v="Elaborar Documento de alertas tempranas en fase de planeacion_x000a_ - Segundo momento: Plan"/>
    <n v="0.02"/>
    <s v="documento final"/>
    <s v="% de avance de la elaboracion del documento de alertas tempranas en fase de planeacion"/>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3"/>
    <s v="Elaborar Documento de alertas tempranas para proyectos objeto de convocatorias públicas - trim II"/>
    <n v="0.02"/>
    <s v="Documentos con alertas tempranas"/>
    <s v="# de documentos realiz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2"/>
    <s v="Elaborar Documento de alertas tempranas para proyectos objeto de convocatorias públicas - trim III"/>
    <n v="0.03"/>
    <s v="Documentos con alertas tempranas"/>
    <s v="# de documentos realiz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3"/>
    <s v="Elaborar Documento de alertas tempranas para proyectos objeto de convocatorias públicas - trim IV"/>
    <n v="0.03"/>
    <s v="Documentos con alertas tempranas"/>
    <s v="# de documentos realiz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4"/>
    <s v="Actualizar Geovisor Convocatorias - Trim I"/>
    <n v="2.5000000000000001E-3"/>
    <s v="Documentos con alertas tempranas"/>
    <s v="Ejecución de la actualización del geovisor"/>
    <s v="Grupo Convocatorias"/>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5"/>
    <s v="Actualizar Geovisor Convocatorias - Trim II"/>
    <n v="2.5000000000000001E-3"/>
    <s v="Documentos con alertas tempranas"/>
    <s v="Ejecución de la actualización del geovisor"/>
    <s v="Grupo Convocatorias"/>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6"/>
    <s v="Actualizar Geovisor Convocatorias - Trim III"/>
    <n v="2.5000000000000001E-3"/>
    <s v="Documentos con alertas tempranas"/>
    <s v="Ejecución de la actualización del geovisor"/>
    <s v="Grupo Convocatorias"/>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0"/>
    <s v="Identificar posibilidades y condicionantes de los proyectos de transmisión (alertas tempranas: físicas, sociales, ambientales, etc.) en fase de planeación y en fase de convocatoria."/>
    <n v="0.15"/>
    <x v="47"/>
    <s v="Actualizar Geovisor Convocatorias - Trim IV"/>
    <n v="2.5000000000000001E-3"/>
    <s v="Documentos con alertas tempranas"/>
    <s v="Ejecución de la actualización del geovisor"/>
    <s v="Grupo Convocatorias"/>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1"/>
    <s v="Realizar el análisis a los procesos de convocatorias y subastas para la estructuración de documentos para la selección del inversionista y de la interventoría, tanto en asuntos jurídicos como en aspectos técnicos. _x000a_ (Contratos de consultorias)"/>
    <n v="0.1"/>
    <x v="4"/>
    <s v="Ficha para presentar a comité de contratos, solicitud de CDP y Estudios previos para la estructuración de documentos de Convocatorias públicas convencionales - Trim III"/>
    <n v="0.01"/>
    <s v="Ficha para presentar a comité de contratos, solicitud de CDP y Estudios previos"/>
    <s v="% de avance de la elaboracion de los documentos"/>
    <s v="Grupo Convocatorias"/>
    <x v="7"/>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1"/>
    <s v="Realizar el análisis a los procesos de convocatorias y subastas para la estructuración de documentos para la selección del inversionista y de la interventoría, tanto en asuntos jurídicos como en aspectos técnicos. _x000a_ (Contratos de consultorias)"/>
    <n v="0.1"/>
    <x v="6"/>
    <s v="Avances entregables, Informe final de la estructuración de documentos de Convocatorias públicas convencionales - Trim IV"/>
    <n v="0.03"/>
    <s v="Informes con los resultados de la contratación"/>
    <s v="% de avance"/>
    <s v="Grupo Convocatorias"/>
    <x v="0"/>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1"/>
    <s v="Realizar el análisis a los procesos de convocatorias y subastas para la estructuración de documentos para la selección del inversionista y de la interventoría, tanto en asuntos jurídicos como en aspectos técnicos. _x000a_ (Contratos de consultorias)"/>
    <n v="0.1"/>
    <x v="14"/>
    <s v="Ficha para presentar a comité de contratos, solicitud de CDP y Estudios previos para la estructuración de documentos de Convocatorias públicas HDVC - Trim II"/>
    <n v="0.01"/>
    <s v="Ficha para presentar a comité de contratos, solicitud de CDP y Estudios previos"/>
    <s v="% de avance de la elaboracion de los documentos"/>
    <s v="Grupo Convocatorias"/>
    <x v="5"/>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1"/>
    <s v="Realizar el análisis a los procesos de convocatorias y subastas para la estructuración de documentos para la selección del inversionista y de la interventoría, tanto en asuntos jurídicos como en aspectos técnicos. _x000a_ (Contratos de consultorias)"/>
    <n v="0.1"/>
    <x v="15"/>
    <s v="Avances entregables, Informe final de la estructuración de documentos de Convocatorias públicas HDVC - Trim IV"/>
    <n v="0.05"/>
    <s v="Informes con los resultados de la contratación"/>
    <s v="% de avance"/>
    <s v="Grupo Convocatorias"/>
    <x v="0"/>
    <s v="Plan de Expansión"/>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2"/>
    <s v="Estructurar convocatorías públicas y documentos de Selección"/>
    <n v="0.3"/>
    <x v="7"/>
    <s v="Elaborar documentos de las convocatorias (DSI y anexos) - Trim I"/>
    <n v="7.4999999999999997E-2"/>
    <s v="Documentos DSI y sus anexos"/>
    <s v="# de documentos realiz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2"/>
    <s v="Estructurar convocatorías públicas y documentos de Selección"/>
    <n v="0.3"/>
    <x v="8"/>
    <s v="Elaborar documentos de las convocatorias (DSI y anexos) - Trim II"/>
    <n v="7.4999999999999997E-2"/>
    <s v="Documentos DSI y sus anexos"/>
    <s v="# de documentos realiz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2"/>
    <s v="Estructurar convocatorías públicas y documentos de Selección"/>
    <n v="0.3"/>
    <x v="9"/>
    <s v="Elaborar documentos de las convocatorias (DSI y anexos) - Trim III"/>
    <n v="7.4999999999999997E-2"/>
    <s v="Documentos DSI y sus anexos"/>
    <s v="# de documentos realiz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2"/>
    <s v="Estructurar convocatorías públicas y documentos de Selección"/>
    <n v="0.3"/>
    <x v="60"/>
    <s v="Elaborar documentos de las convocatorias (DSI y anexos) - Trim IV"/>
    <n v="7.4999999999999997E-2"/>
    <s v="Documentos DSI y sus anexos"/>
    <s v="# de documentos realiz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0"/>
    <s v="Publicación de la convocatoria en página web - Trim I"/>
    <n v="0.01"/>
    <s v="- Correo electrónico autorizando la publicacion_x000a_ _x000a_ - Link donde se encuentra publicada la convocatoria"/>
    <s v="# de publicaciones realizadas / # de publicaciones programada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1"/>
    <s v="Selección del interventor - Trim I"/>
    <n v="0.01"/>
    <s v="Memorando con resultados de la evaluación y la correspondiente Resolución"/>
    <s v="# de documentos public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2"/>
    <s v="Respuesta a observaciones de los DSI - Trim I"/>
    <n v="1.4999999999999999E-2"/>
    <s v="Documento de Respuesta"/>
    <s v="# de documentos public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3"/>
    <s v="Audiencia de selección del inversionista - Trim I"/>
    <n v="2.5000000000000001E-2"/>
    <s v="Acta de apertura, Acta de evalución y Acta de continuación."/>
    <s v="# de documentos public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67"/>
    <s v="Oficios informando los resultados del proceso de selección del inversionista (CREG y Minenergía) - Trim I"/>
    <n v="2.5000000000000001E-3"/>
    <s v="Oficio dirgidos a Minenergía y CREG"/>
    <s v="# de documentos envi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68"/>
    <s v="Publicación de la convocatoria en página web - Trim II"/>
    <n v="0.01"/>
    <s v="- Correo electrónico autorizando la publicacion_x000a_ _x000a_ - Link donde se encuentra publicada la convocatoria"/>
    <s v="# de publicaciones realizadas / # de publicaciones programada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91"/>
    <s v="Selección del interventor - Trim II"/>
    <n v="0.01"/>
    <s v="Memorando con resultados de la evaluación y la correspondiente Resolución"/>
    <s v="# de documentos public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36"/>
    <s v="Respuesta a observaciones de los DSI - Trim II"/>
    <n v="1.4999999999999999E-2"/>
    <s v="Documento de Respuesta"/>
    <s v="# de documentos public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37"/>
    <s v="Audiencia de selección del inversionista - Trim II"/>
    <n v="2.5000000000000001E-2"/>
    <s v="Acta de apertura, Acta de evalución y Acta de continuación."/>
    <s v="# de documentos public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38"/>
    <s v="Oficios informando los resultados del proceso de selección del inversionista (CREG y Minenergía) - Trim II"/>
    <n v="2.5000000000000001E-3"/>
    <s v="Oficio dirgidos a Minenergía y CREG"/>
    <s v="# de documentos envi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39"/>
    <s v="Publicación de la convocatoria en página web - Trim III"/>
    <n v="0.01"/>
    <s v="- Correo electrónico autorizando la publicacion_x000a_ _x000a_ - Link donde se encuentra publicada la convocatoria"/>
    <s v="# de publicaciones realizadas / # de publicaciones programada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0"/>
    <s v="Selección del interventor - Trim III"/>
    <n v="0.01"/>
    <s v="Memorando con resultados de la evaluación y la correspondiente Resolución"/>
    <s v="# de documentos public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1"/>
    <s v="Respuesta a observaciones de los DSI - Trim III"/>
    <n v="1.4999999999999999E-2"/>
    <s v="Documento de Respuesta"/>
    <s v="# de documentos public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2"/>
    <s v="Audiencia de selección del inversionista - Trim III"/>
    <n v="2.5000000000000001E-2"/>
    <s v="Acta de apertura, Acta de evalución y Acta de continuación."/>
    <s v="# de documentos public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3"/>
    <s v="Oficios informando los resultados del proceso de selección del inversionista (CREG y Minenergía) - Trim III"/>
    <n v="2.5000000000000001E-3"/>
    <s v="Oficio dirgidos a Minenergía y CREG"/>
    <s v="# de documentos envi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4"/>
    <s v="Publicación de la convocatoria en página web - Trim IV"/>
    <n v="0.01"/>
    <s v="- Correo electrónico autorizando la publicacion_x000a_ _x000a_ - Link donde se encuentra publicada la convocatoria"/>
    <s v="# de publicaciones realizadas / # de publicaciones programada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5"/>
    <s v="Selección del interventor - Trim IV"/>
    <n v="0.01"/>
    <s v="Memorando con resultados de la evaluación y la correspondiente Resolución"/>
    <s v="# de documentos public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6"/>
    <s v="Respuesta a observaciones de los DSI - Trim IV"/>
    <n v="1.4999999999999999E-2"/>
    <s v="Documento de Respuesta"/>
    <s v="# de documentos public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7"/>
    <s v="Audiencia de selección del inversionista - Trim IV"/>
    <n v="2.5000000000000001E-2"/>
    <s v="Acta de apertura, Acta de evalución y Acta de continuación."/>
    <s v="# de documentos public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3"/>
    <s v="Efectuar los procesos de selección de Interventores o Inversionistas."/>
    <n v="0.25"/>
    <x v="148"/>
    <s v="Oficios informando los resultados del proceso de selección del inversionista (CREG y Minenergía) - Trim IV"/>
    <n v="2.5000000000000001E-3"/>
    <s v="Oficio dirgidos a Minenergía y CREG"/>
    <s v="# de documentos envi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88"/>
    <s v="Revisión de informes de interventoría - Trim I"/>
    <n v="3.5000000000000003E-2"/>
    <s v="- Correo con observaciones a los informes_x000a_ - Oficio con devolución o aprobación de informes"/>
    <s v="# de documentos revisados / # de documentos radic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89"/>
    <s v="Informe avance ejecución proyectos objetos de convocatorias - Trim I"/>
    <n v="1.4999999999999999E-2"/>
    <s v="Documento"/>
    <s v="# de documetos realizados / # de documentos programados"/>
    <s v="Grupo Convocatorias"/>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90"/>
    <s v="Revisión de informes de interventoría - Trim II"/>
    <n v="3.5000000000000003E-2"/>
    <s v="- Correo con observaciones a los informes_x000a_ - Oficio con devolución o aprobación de informes"/>
    <s v="# de documentos revisados / # de documentos radic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128"/>
    <s v="Informe avance ejecución proyectos objetos de convocatorias - Trim II"/>
    <n v="1.4999999999999999E-2"/>
    <s v="Documento"/>
    <s v="# de documetos realizados / # de documentos programados"/>
    <s v="Grupo Convocatorias"/>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84"/>
    <s v="Revisión de informes de interventoría - Trim III"/>
    <n v="3.5000000000000003E-2"/>
    <s v="- Correo con observaciones a los informes_x000a_ - Oficio con devolución o aprobación de informes"/>
    <s v="# de documentos revisados / # de documentos radic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85"/>
    <s v="Informe avance ejecución proyectos objetos de convocatorias - Trim III"/>
    <n v="1.4999999999999999E-2"/>
    <s v="Documento"/>
    <s v="# de documetos realizados / # de documentos programados"/>
    <s v="Grupo Convocatorias"/>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86"/>
    <s v="Revisión de informes de interventoría - Trim IV"/>
    <n v="3.5000000000000003E-2"/>
    <s v="- Correo con observaciones a los informes_x000a_ - Oficio con devolución o aprobación de informes"/>
    <s v="# de documentos revisados / # de documentos radic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1"/>
    <x v="4"/>
    <s v="Efectuar seguimiento a los proyectos en ejecución objeto de convocatoria pública y generar los debidos reportes."/>
    <n v="0.2"/>
    <x v="149"/>
    <s v="Informe avance ejecución proyectos objetos de convocatorias - Trim IV"/>
    <n v="1.4999999999999999E-2"/>
    <s v="Documento"/>
    <s v="# de documetos realizados / # de documentos programados"/>
    <s v="Grupo Convocatorias"/>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0"/>
    <s v="Objetivos del plan"/>
    <n v="0.02"/>
    <s v="Documento y/o presentación donde se presenten los objetivos del plan"/>
    <s v="% cumplimiento actividad"/>
    <s v="Grupo de Transmisión"/>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1"/>
    <s v="Bases de datos para inicar analisis plan:_x000a_ Ajuste demanda (30%)_x000a_ Ajuste de red (30%)_x000a_ Preparación base de datos (40%)"/>
    <n v="0.05"/>
    <s v="Bases de datos para inicar analisis plan:_x000a_ Ajuste demanda (30%)_x000a_ Ajuste de red (30%)_x000a_ Preparación base de datos (40%)"/>
    <s v="% cumplimiento actividad"/>
    <s v="Grupo de Transmisión"/>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2"/>
    <s v="Plan preliminar:_x000a_ Elaboración Plan Preliminar (90%)_x000a_ Publicación Plan Preliminar (10%)"/>
    <n v="5.3999999999999999E-2"/>
    <s v="Plan preliminar:_x000a_ Elaboración Plan Preliminar (90%)"/>
    <s v="% cumplimiento actividad"/>
    <s v="Grupo de Transmisión/subdirección"/>
    <x v="1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2"/>
    <s v="Plan preliminar:_x000a_ Elaboración Plan Preliminar (90%)_x000a_ Publicación Plan Preliminar (10%)"/>
    <n v="6.0000000000000001E-3"/>
    <s v="Publicación Plan Preliminar (10%)"/>
    <s v="% cumplimiento actividad"/>
    <s v="Grupo de Transmisión/subdirección"/>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3"/>
    <s v="plan definitvo:_x000a_ Procesamiento y respuesta observaciones (10%)"/>
    <n v="7.0000000000000001E-3"/>
    <s v="plan definitvo:_x000a_ Documento respuestass Procesamiento y respuesta observaciones"/>
    <s v="%cumplimiento actividad"/>
    <s v="Grupo de Transmisión/subdirección"/>
    <x v="11"/>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42"/>
    <s v="Elaboración Plan definitivo (80%)"/>
    <n v="5.6000000000000001E-2"/>
    <s v="Elaboración Plan definitivo (80%)"/>
    <s v="%cumplimiento actividad"/>
    <s v="Grupo de Transmisión/subdirec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0"/>
    <s v="Elaborar el Plan de Expansión de Transmisión de energía eléctrica (Analisis corto circuito, reconfiguración subestaciones, HVDC, BESS, Smart Wires, ETC)."/>
    <n v="0.2"/>
    <x v="43"/>
    <s v="Remisión al MME (10%)"/>
    <n v="7.0000000000000001E-3"/>
    <s v="Oficio envio Ministerio"/>
    <s v="%cumplimiento actividad"/>
    <s v="Grupo de Transmisión/subdirec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20 MW"/>
    <n v="0.2"/>
    <x v="4"/>
    <s v="Análisis de solicitudes de conexión &lt; 20 MW"/>
    <n v="1.2500000000000001E-2"/>
    <s v="Respuesta oportuna"/>
    <s v="% cumplimiento actividad (inferior 6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20 MW"/>
    <n v="0.2"/>
    <x v="5"/>
    <s v="Análisis de solicitudes de conexión &lt; 20 MW"/>
    <n v="1.2500000000000001E-2"/>
    <s v="Respuesta oportuna"/>
    <s v="% cumplimiento actividad (inferior 6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20 MW"/>
    <n v="0.2"/>
    <x v="6"/>
    <s v="Análisis de solicitudes de conexión &lt; 20 MW"/>
    <n v="1.2500000000000001E-2"/>
    <s v="Respuesta oportuna"/>
    <s v="% cumplimiento actividad (inferior 6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20 MW"/>
    <n v="0.2"/>
    <x v="14"/>
    <s v="Análisis de solicitudes de conexión &lt; 20 MW"/>
    <n v="1.2500000000000001E-2"/>
    <s v="Respuesta oportuna"/>
    <s v="% cumplimiento actividad (inferior 6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50 MW"/>
    <n v="0.2"/>
    <x v="15"/>
    <s v="Análisis de solicitudes de conexión &lt; 50 MW"/>
    <n v="1.2500000000000001E-2"/>
    <s v="Respuesta oportuna"/>
    <s v="% cumplimiento actividad (inferior 8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50 MW"/>
    <n v="0.2"/>
    <x v="16"/>
    <s v="Análisis de solicitudes de conexión &lt; 50 MW"/>
    <n v="1.2500000000000001E-2"/>
    <s v="Respuesta oportuna"/>
    <s v="% cumplimiento actividad (inferior 8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50 MW"/>
    <n v="0.2"/>
    <x v="17"/>
    <s v="Análisis de solicitudes de conexión &lt; 50 MW"/>
    <n v="1.2500000000000001E-2"/>
    <s v="Respuesta oportuna"/>
    <s v="% cumplimiento actividad (inferior 8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50 MW"/>
    <n v="0.2"/>
    <x v="18"/>
    <s v="Análisis de solicitudes de conexión &lt; 50 MW"/>
    <n v="1.2500000000000001E-2"/>
    <s v="Respuesta oportuna"/>
    <s v="% cumplimiento actividad (inferior 8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100 MW"/>
    <n v="0.2"/>
    <x v="19"/>
    <s v="Análisis de solicitudes de conexión &lt; 100 MW"/>
    <n v="1.2500000000000001E-2"/>
    <s v="Respuesta oportuna"/>
    <s v="% cumplimiento actividad (inferior 12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100 MW"/>
    <n v="0.2"/>
    <x v="20"/>
    <s v="Análisis de solicitudes de conexión &lt; 100 MW"/>
    <n v="1.2500000000000001E-2"/>
    <s v="Respuesta oportuna"/>
    <s v="% cumplimiento actividad (inferior 12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100 MW"/>
    <n v="0.2"/>
    <x v="21"/>
    <s v="Análisis de solicitudes de conexión &lt; 100 MW"/>
    <n v="1.2500000000000001E-2"/>
    <s v="Respuesta oportuna"/>
    <s v="% cumplimiento actividad (inferior 12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lt; 100 MW"/>
    <n v="0.2"/>
    <x v="22"/>
    <s v="Análisis de solicitudes de conexión &lt; 100 MW"/>
    <n v="1.2500000000000001E-2"/>
    <s v="Respuesta oportuna"/>
    <s v="% cumplimiento actividad (inferior 12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gt; 100 MW"/>
    <n v="0.2"/>
    <x v="23"/>
    <s v="Análisis de solicitudes de conexión &gt; 100 MW"/>
    <n v="1.2500000000000001E-2"/>
    <s v="Respuesta oportuna"/>
    <s v="% cumplimiento actividad (inferior 18 meses)"/>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gt; 100 MW"/>
    <n v="0.2"/>
    <x v="24"/>
    <s v="Análisis de solicitudes de conexión &gt; 100 MW"/>
    <n v="1.2500000000000001E-2"/>
    <s v="Respuesta oportuna"/>
    <s v="% cumplimiento actividad (inferior 18 meses)"/>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gt; 100 MW"/>
    <n v="0.2"/>
    <x v="25"/>
    <s v="Análisis de solicitudes de conexión &gt; 100 MW"/>
    <n v="1.2500000000000001E-2"/>
    <s v="Respuesta oportuna"/>
    <s v="% cumplimiento actividad (inferior 18 meses)"/>
    <s v="Grupo de Transmisión"/>
    <x v="7"/>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1"/>
    <s v="Análisis de solicitudes de conexión &gt; 100 MW"/>
    <n v="0.2"/>
    <x v="26"/>
    <s v="Análisis de solicitudes de conexión &gt; 100 MW"/>
    <n v="1.2500000000000001E-2"/>
    <s v="Respuesta oportuna"/>
    <s v="% cumplimiento actividad (inferior 18 meses)"/>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2"/>
    <s v="Seguimiento Obras STRs"/>
    <n v="0.2"/>
    <x v="7"/>
    <s v="Seguimiento Obras STRs"/>
    <n v="0.05"/>
    <s v="Seguimiento Obras STRs"/>
    <s v="%cumplimiento actividad"/>
    <s v="Grupo de Transmisión"/>
    <x v="3"/>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2"/>
    <s v="Seguimiento Obras STRs"/>
    <n v="0.2"/>
    <x v="8"/>
    <s v="Seguimiento Obras STRs"/>
    <n v="0.05"/>
    <s v="Seguimiento Obras STRs"/>
    <s v="%cumplimiento actividad"/>
    <s v="Grupo de Transmisión"/>
    <x v="5"/>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2"/>
    <s v="Seguimiento Obras STRs"/>
    <n v="0.2"/>
    <x v="9"/>
    <s v="Seguimiento Obras STRs"/>
    <n v="0.05"/>
    <s v="Seguimiento Obras STRs"/>
    <s v="%cumplimiento actividad"/>
    <s v="Grupo de Transmisión"/>
    <x v="7"/>
    <s v="N/A"/>
    <m/>
    <m/>
    <m/>
    <m/>
    <m/>
    <m/>
    <m/>
    <m/>
  </r>
  <r>
    <x v="12"/>
    <x v="2"/>
    <s v="Seguimiento Obras STRs"/>
    <n v="0.2"/>
    <x v="60"/>
    <s v="Seguimiento Obras STRs"/>
    <n v="0.05"/>
    <s v="Seguimiento Obras STRs"/>
    <s v="%cumplimiento actividad"/>
    <s v="Grupo de Transmisión"/>
    <x v="0"/>
    <s v="N/A"/>
    <m/>
    <m/>
    <m/>
    <m/>
    <m/>
    <m/>
    <m/>
    <m/>
  </r>
  <r>
    <x v="12"/>
    <x v="3"/>
    <s v="Análisis HVDC"/>
    <n v="0.2"/>
    <x v="10"/>
    <s v="Terminos de referencia consultoria"/>
    <n v="0.1"/>
    <s v="Terminos de referencia consultoria"/>
    <s v="% cumplimiento actividad"/>
    <s v="Grupo de Transmisión"/>
    <x v="9"/>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3"/>
    <s v="Análisis HVDC"/>
    <n v="0.2"/>
    <x v="11"/>
    <s v="Recomendaciones finales"/>
    <n v="0.1"/>
    <s v="documento con recomendaciones finales"/>
    <s v="% cumplimiento actividad"/>
    <s v="Grupo de Transmisión"/>
    <x v="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4"/>
    <s v="Misión Transformación"/>
    <n v="0.2"/>
    <x v="88"/>
    <s v="Análisis segunda fase misión de transformación"/>
    <n v="0.1"/>
    <s v="Documento identificación activiades UPME en temas de planeación STN y STR"/>
    <s v="% cumplimiento actividad"/>
    <s v="Grupo Transmisión"/>
    <x v="9"/>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2"/>
    <x v="4"/>
    <s v="Misión Transformación"/>
    <n v="0.2"/>
    <x v="89"/>
    <s v="Análisis segunda fase misión de transformación"/>
    <n v="0.1"/>
    <s v="Documento estrategia para incorporación actividades UPME en temas de planeación de STN y STR"/>
    <s v="% cumplimiento actividad"/>
    <s v="Grupo Transmisión"/>
    <x v="10"/>
    <s v="N/A"/>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0"/>
    <s v="Desarrollar objetivos del Plan"/>
    <n v="0.06"/>
    <s v="Documento y/o presentación donde se presenten los objetivos del Plan"/>
    <s v="% de Avance en la Gestión del Plan de Expansión"/>
    <s v="GIT Generación"/>
    <x v="3"/>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s v="Marzo"/>
  </r>
  <r>
    <x v="13"/>
    <x v="0"/>
    <s v="Elaborar Plan de Expansión de Energía Eléctrica"/>
    <n v="0.6"/>
    <x v="1"/>
    <s v="Desarrollar y actualizar bases de datos SDDP, OPTGEN, PLEXOS para análisis energéticos"/>
    <n v="0.15"/>
    <s v="Bases de datos para iniciar análisis plan: Actualización (30%) Validación (30%)"/>
    <s v="% de Avance en la Gestión del Plan de Expansión"/>
    <s v="GIT Generación"/>
    <x v="5"/>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2"/>
    <s v="Elaboración Plan Preliminar (90%) Publicación Plan Preliminar (10%)"/>
    <n v="0.16200000000000001"/>
    <s v="Documento Plan de Expansión preliminar"/>
    <s v="% de Avance en la Gestión del Plan de Expansión"/>
    <s v="GIT Generación"/>
    <x v="1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2"/>
    <s v="Elaboración Plan Preliminar (90%) Publicación Plan Preliminar (10%)"/>
    <n v="1.7999999999999999E-2"/>
    <s v="Publicación Plan de Expansión preliminar"/>
    <s v="% de Avance en la Gestión del Plan de Expansión"/>
    <s v="GIT Generación"/>
    <x v="7"/>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3"/>
    <s v="Plan definitvo:_x000a_ Procesamiento y respuesta observaciones (10%)_x000a_ Elaboración Plan definitivo (80%)_x000a_ Remisión al MME (10%)"/>
    <n v="2.1000000000000001E-2"/>
    <s v="Documento de respuestas a observaciones"/>
    <s v="% de Avance en la Gestión del Plan de Expansión"/>
    <s v="GIT Generación"/>
    <x v="11"/>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3"/>
    <s v="Plan definitvo:_x000a_ Procesamiento y respuesta observaciones (10%)_x000a_ Elaboración Plan definitivo (80%)_x000a_ Remisión al MME (10%)"/>
    <n v="0.16800000000000001"/>
    <s v="Documento Plan de Expansión definitivo"/>
    <s v="% de Avance en la Gestión del Plan de Expansión"/>
    <s v="GIT Genera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0"/>
    <s v="Elaborar Plan de Expansión de Energía Eléctrica"/>
    <n v="0.6"/>
    <x v="3"/>
    <s v="Plan definitvo:_x000a_ Procesamiento y respuesta observaciones (10%)_x000a_ Elaboración Plan definitivo (80%)_x000a_ Remisión al MME (10%)"/>
    <n v="2.1000000000000001E-2"/>
    <s v="Oficio de remisión al MME"/>
    <s v="% de Avance en la Gestión del Plan de Expansión"/>
    <s v="GIT Generación"/>
    <x v="0"/>
    <s v="Plan de Expansión"/>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3"/>
    <x v="1"/>
    <s v="Registrar proyectos de generación"/>
    <n v="0.1"/>
    <x v="4"/>
    <s v="Analizar información de solicitud de registro y elaborar oficio de registro u oficio solicitando aclaraciones. T I"/>
    <n v="1.2500000000000001E-2"/>
    <s v="Oficio de registro u Oficio de requerimientos"/>
    <s v="#Oficios emitidos en tiempo/# Solicitudes"/>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5"/>
    <s v="Elaborar informe de registro de proyectos. T I"/>
    <n v="1.2500000000000001E-2"/>
    <s v="Informe de registro de proyectos de generación"/>
    <s v="#Informes publicados/3"/>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6"/>
    <s v="Analizar información de solicitud de registro y elaborar oficio de registro u oficio solicitando aclaraciones. T II"/>
    <n v="1.2500000000000001E-2"/>
    <s v="Oficio de registro u Oficio de requerimientos"/>
    <s v="#Oficios emitidos en tiempo/# Solicitudes"/>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14"/>
    <s v="Elaborar informe de registro de proyectos. T II"/>
    <n v="1.2500000000000001E-2"/>
    <s v="Informe de registro de proyectos de generación"/>
    <s v="#Informes publicados/3"/>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15"/>
    <s v="Analizar información de solicitud de registro y elaborar oficio de registro u oficio solicitando aclaraciones. T III"/>
    <n v="1.2500000000000001E-2"/>
    <s v="Oficio de registro u Oficio de requerimientos"/>
    <s v="#Oficios emitidos en tiempo/# Solicitudes"/>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16"/>
    <s v="Elaborar informe de registro de proyectos. T III"/>
    <n v="1.2500000000000001E-2"/>
    <s v="Informe de registro de proyectos de generación"/>
    <s v="#Informes publicados/3"/>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17"/>
    <s v="Analizar información de solicitud de registro y elaborar oficio de registro u oficio solicitando aclaraciones. T IV"/>
    <n v="1.2500000000000001E-2"/>
    <s v="Oficio de registro u Oficio de requerimientos"/>
    <s v="#Oficios emitidos en tiempo/# Solicitudes"/>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1"/>
    <s v="Registrar proyectos de generación"/>
    <n v="0.1"/>
    <x v="18"/>
    <s v="Elaborar informe de registro de proyectos. T IV"/>
    <n v="1.2500000000000001E-2"/>
    <s v="Informe de registro de proyectos de generación"/>
    <s v="#Informes publicados/3"/>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7"/>
    <s v="Analizar información de solicitud de concepto y elaborar oficio de concepto de potencial u oficio solicitando aclaraciones. T I"/>
    <n v="1.2500000000000001E-2"/>
    <s v="Oficio de concepto u Oficio de requerimientos"/>
    <s v="#Oficios emitidos en tiempo/# Solicitudes"/>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8"/>
    <s v="Elaborar informe de conceptos de potencial. T I"/>
    <n v="1.2500000000000001E-2"/>
    <s v="Informe de conceptos de potencial hidroenergético"/>
    <s v="#Informes publicados/3"/>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9"/>
    <s v="Analizar información de solicitud de concepto y elaborar oficio de concepto de potencial u oficio solicitando aclaraciones. T II"/>
    <n v="1.2500000000000001E-2"/>
    <s v="Oficio de concepto u Oficio de requerimientos"/>
    <s v="#Oficios emitidos en tiempo/# Solicitudes"/>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60"/>
    <s v="Elaborar informe de conceptos de potencial. T II"/>
    <n v="1.2500000000000001E-2"/>
    <s v="Informe de conceptos de potencial hidroenergético"/>
    <s v="#Informes publicados/3"/>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61"/>
    <s v="Analizar información de solicitud de concepto y elaborar oficio de concepto de potencial u oficio solicitando aclaraciones. T III"/>
    <n v="1.2500000000000001E-2"/>
    <s v="Oficio de concepto u Oficio de requerimientos"/>
    <s v="#Oficios emitidos en tiempo/# Solicitudes"/>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62"/>
    <s v="Elaborar informe de conceptos de potencial. T III"/>
    <n v="1.2500000000000001E-2"/>
    <s v="Informe de conceptos de potencial hidroenergético"/>
    <s v="#Informes publicados/3"/>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63"/>
    <s v="Analizar información de solicitud de concepto y elaborar oficio de concepto de potencial u oficio solicitando aclaraciones. T IV"/>
    <n v="1.2500000000000001E-2"/>
    <s v="Oficio de concepto u Oficio de requerimientos"/>
    <s v="#Oficios emitidos en tiempo/# Solicitudes"/>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2"/>
    <s v="Elaborar concepto de potencial hidroenergético"/>
    <n v="0.1"/>
    <x v="64"/>
    <s v="Elaborar informe de conceptos de potencial. T IV"/>
    <n v="1.2500000000000001E-2"/>
    <s v="Informe de conceptos de potencial hidroenergético"/>
    <s v="#Informes publicados/3"/>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3"/>
    <s v="Gestión de Convenios Minciencias-UPME-IDEAM"/>
    <n v="0.05"/>
    <x v="10"/>
    <s v="Elaborar informe de seguimiento"/>
    <n v="0.05"/>
    <s v="Informe final convenio Minciencias-UPME-IDEAM"/>
    <s v="% de avance informes de seguimiento"/>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4"/>
    <s v="Realizar simulaciones energéticas del sistema de generación para plan de gas"/>
    <n v="0.1"/>
    <x v="88"/>
    <s v="Preparación de bases de datos y simulaciones"/>
    <n v="1.4999999999999999E-2"/>
    <s v="Resultados preliminares"/>
    <s v="% de avance"/>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4"/>
    <s v="Realizar simulaciones energéticas del sistema de generación para plan de gas"/>
    <n v="0.1"/>
    <x v="89"/>
    <s v="Preparación de bases de datos y simulaciones"/>
    <n v="5.5E-2"/>
    <s v="Resultados preliminares"/>
    <s v="% de avance"/>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4"/>
    <s v="Realizar simulaciones energéticas del sistema de generación para plan de gas"/>
    <n v="0.1"/>
    <x v="90"/>
    <s v="Presentación de resultados"/>
    <n v="0.03"/>
    <s v="Resultados finales"/>
    <s v="% de avance"/>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5"/>
    <s v="Elaborar informe de seguimiento de proyectos de generación"/>
    <n v="0.05"/>
    <x v="103"/>
    <s v="Elaborar informe de seguimiento. Trim I"/>
    <n v="1.2500000000000001E-2"/>
    <s v="Informe de seguimiento publicado"/>
    <s v="% de avance"/>
    <s v="GIT Generación"/>
    <x v="3"/>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5"/>
    <s v="Elaborar informe de seguimiento de proyectos de generación"/>
    <n v="0.05"/>
    <x v="104"/>
    <s v="Elaborar informe de seguimiento. Trim II"/>
    <n v="1.2500000000000001E-2"/>
    <s v="Informe de seguimiento publicado"/>
    <s v="% de avance"/>
    <s v="GIT Generación"/>
    <x v="5"/>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5"/>
    <s v="Elaborar informe de seguimiento de proyectos de generación"/>
    <n v="0.05"/>
    <x v="111"/>
    <s v="Elaborar informe de seguimiento. Trim III"/>
    <n v="1.2500000000000001E-2"/>
    <s v="Informe de seguimiento publicado"/>
    <s v="% de avance"/>
    <s v="GIT Generación"/>
    <x v="7"/>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3"/>
    <x v="5"/>
    <s v="Elaborar informe de seguimiento de proyectos de generación"/>
    <n v="0.05"/>
    <x v="129"/>
    <s v="Elaborar informe de seguimiento. Trim IV"/>
    <n v="1.2500000000000001E-2"/>
    <s v="Informe de seguimiento publicado"/>
    <s v="% de avance"/>
    <s v="GIT Generación"/>
    <x v="0"/>
    <s v="N/A"/>
    <s v="N/A"/>
    <s v="D2 Direccionamiento Estratégico y Planeación"/>
    <s v="POLÍTICA 15 Gestión del Conocimiento"/>
    <s v="1. Generar valor económico y social a partir de la aplicación del conocimiento integral de los recursos minero energéticos."/>
    <s v="4. Planeación Estratégica e Integral de Energía Eléctrica"/>
    <s v="N/A"/>
    <m/>
    <m/>
  </r>
  <r>
    <x v="14"/>
    <x v="0"/>
    <s v="Elaborar el documento con la estimación del ICEE"/>
    <n v="0.25"/>
    <x v="0"/>
    <s v="Realizar gestión para la obtención de datos e información necesaria para la estimación del ICEE"/>
    <n v="0.1"/>
    <s v="Correos a los proveedores de la información (OR, IPSE, SSPD,) solicitando la información."/>
    <s v="# de solicitudes enviadas / _x000a_ # de solicitudes programadas"/>
    <s v="Grupo Cobertura"/>
    <x v="3"/>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s v="N/A"/>
    <m/>
    <m/>
  </r>
  <r>
    <x v="14"/>
    <x v="0"/>
    <s v="Elaborar el documento con la estimación del ICEE"/>
    <n v="0.25"/>
    <x v="1"/>
    <s v="Consolidar la información recopilada realizando la gestión sobre información inconsistente"/>
    <n v="0.1"/>
    <s v="Versión preliminar de lo cálculos del ICEE"/>
    <s v="% avance"/>
    <s v="Grupo Cobertura"/>
    <x v="9"/>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0"/>
    <s v="Elaborar el documento con la estimación del ICEE"/>
    <n v="0.25"/>
    <x v="2"/>
    <s v="Elaborar documento y realizar la actualizacion en la Base de Datos"/>
    <n v="0.04"/>
    <s v="Versión preliminar del documento metodologico con anexos"/>
    <s v="% avance del documento para publicación"/>
    <s v="Grupo Cobertura"/>
    <x v="5"/>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0"/>
    <s v="Elaborar el documento con la estimación del ICEE"/>
    <n v="0.25"/>
    <x v="3"/>
    <s v="Publicación del ICEE en la página de SIEL"/>
    <n v="0.01"/>
    <s v="Autorización de la subdirección para publicar los resultados del ICEE"/>
    <s v="% avance"/>
    <s v="Grupo Cobertura"/>
    <x v="5"/>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4"/>
    <s v="Procesar la información necesaria para elaborar el PIEC."/>
    <n v="0.15"/>
    <s v="información base del PIEC debidamente estructurada"/>
    <s v="% avance"/>
    <s v="Grupo Cobertura"/>
    <x v="2"/>
    <s v="PIEC - PECOR - PNER - PERS"/>
    <s v="4 - Implementación de acciones para la confiabilidad del subsector eléctrico a nivel Nacional - 2019011000085"/>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5"/>
    <s v="Definir la metodología para el Plan."/>
    <n v="0.15"/>
    <s v="Metodología del Plan estructurada"/>
    <s v="% avance"/>
    <s v="Grupo Cobertura"/>
    <x v="2"/>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6"/>
    <s v="Realizar las corridas en los diferentes software y analizar sus resultados."/>
    <n v="0.1"/>
    <s v="Corridas espaciales para la interconexión y de homer para soluciones aisladas"/>
    <s v="% avance"/>
    <s v="Grupo Cobertura"/>
    <x v="2"/>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14"/>
    <s v="Participación consultoria REM"/>
    <n v="0.05"/>
    <s v="Corridas espaciales para la interconexión y de homer para soluciones aisladas"/>
    <s v="% avance"/>
    <s v="Grupo Cobertura"/>
    <x v="5"/>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15"/>
    <s v="Presentar el documento preliminar a las directivas para aprobación"/>
    <n v="0.05"/>
    <s v="Reunión programada para tal fin"/>
    <s v="% avance"/>
    <s v="Grupo Cobertura"/>
    <x v="2"/>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16"/>
    <s v="Ajustar resultados de acuerdo con los comentarios"/>
    <n v="0.05"/>
    <s v="Autorización de la subdirección para publicar los resultados del PIEC"/>
    <s v="% avance"/>
    <s v="Grupo Cobertura"/>
    <x v="9"/>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1"/>
    <s v="Elaborar el documento del Plan Indicativo de Expansión de Cobertura - PIEC"/>
    <n v="0.6"/>
    <x v="17"/>
    <s v="Publicar versión definitiva"/>
    <n v="0.05"/>
    <s v="Autorización de la subdirección para publicar los resultados del PIEC"/>
    <s v="% avance"/>
    <s v="Grupo Cobertura"/>
    <x v="5"/>
    <s v="PIEC - PND - PNER"/>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7"/>
    <s v="Realizar recolección y validación de datos de VSS en Sitios y la infraestructura Eléctrica"/>
    <n v="2.5000000000000001E-2"/>
    <s v="Capa de Sitios actualizada, depende del reporte que realice cada OR"/>
    <s v="% avance"/>
    <s v="Grupo Cobertura"/>
    <x v="9"/>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8"/>
    <s v="Establecer los costos de las soluciones con renovables"/>
    <n v="2.5000000000000001E-2"/>
    <s v="Base de costos actualizada"/>
    <s v="% avance"/>
    <s v="Grupo Cobertura"/>
    <x v="5"/>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9"/>
    <s v="Evaluación de los proyectos PECOR - Trim II"/>
    <n v="0.03"/>
    <s v="Formatos de evaluación revisados y gestionados con cada OR"/>
    <s v="#evaluaciones realizadas en tiempo/# Solicitudes"/>
    <s v="Grupo Cobertura"/>
    <x v="5"/>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60"/>
    <s v="Evaluación de los proyectos PECOR - Trim III"/>
    <n v="0.03"/>
    <s v="Formatos de evaluación revisados y gestionados con cada OR"/>
    <s v="#evaluaciones realizadas en tiempo/# Solicitudes"/>
    <s v="Grupo Cobertura"/>
    <x v="7"/>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61"/>
    <s v="Evaluación de los proyectos PECOR - Trim IV"/>
    <n v="0.03"/>
    <s v="Formatos de evaluación revisados y gestionados con cada OR"/>
    <s v="#evaluaciones realizadas en tiempo/# Solicitudes"/>
    <s v="Grupo Cobertura"/>
    <x v="0"/>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4"/>
    <x v="2"/>
    <s v="Emitir los conceptos PECOR a los OR que lo presenten para el año vigente"/>
    <n v="0.15"/>
    <x v="61"/>
    <s v="Presentar resultados de PECOR al Ministerio de Minas y Energía."/>
    <n v="0.01"/>
    <s v="Comunicación firmada para el MME"/>
    <s v="% avance"/>
    <s v="Grupo Cobertura"/>
    <x v="0"/>
    <s v="Res. CREG 015/2018"/>
    <s v="N/A"/>
    <s v="D2 Direccionamiento Estratégico y Planeación"/>
    <s v="POLÍTICA 3 Planeación Institucional"/>
    <s v="4. Desarrollar las acciones necesarias que permitan materializar los planes, programas y proyectos en el sector minero energético."/>
    <s v="4. Planeación Estratégica e Integral de Energía Eléctrica"/>
    <m/>
    <m/>
    <m/>
  </r>
  <r>
    <x v="15"/>
    <x v="0"/>
    <s v="Evaluar técnica y financieramente los proyectos de energía eléctrica y gas combustible presentados a los mecanismos y fondos de apoyo financiero"/>
    <n v="0.35"/>
    <x v="150"/>
    <s v="Evaluar proyectos Obras por Impuestos y Obras por Regalias"/>
    <n v="1.2500000000000001E-2"/>
    <s v="Conceptos de evaluación"/>
    <s v="(N° de proyectos evaluados/Saldo anterior+recibidos al corte definido)+100"/>
    <s v="Sandra Alzate"/>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x v="0"/>
    <s v="Evaluar técnica y financieramente los proyectos de energía eléctrica y gas combustible presentados a los mecanismos y fondos de apoyo financiero"/>
    <n v="0.35"/>
    <x v="150"/>
    <s v="Evaluar proyectos Obras por Impuestos y Obras por Regalias"/>
    <n v="1.2500000000000001E-2"/>
    <s v="Conceptos de evaluación"/>
    <s v="(N° de proyectos evaluados/Saldo anterior+recibidos al corte definido)+100"/>
    <s v="Sandra Alzate"/>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50"/>
    <s v="Evaluar proyectos Obras por Impuestos y Obras por Regalias"/>
    <n v="1.2500000000000001E-2"/>
    <s v="Conceptos de evaluación"/>
    <s v="(N° de proyectos evaluados/Saldo anterior+recibidos al corte definido)+100"/>
    <s v="Sandra Alzate"/>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50"/>
    <s v="Evaluar proyectos Obras por Impuestos y Obras por Regalias"/>
    <n v="1.2500000000000001E-2"/>
    <s v="Conceptos de evaluación"/>
    <s v="(N° de proyectos evaluados/Saldo anterior+recibidos al corte definido)+100"/>
    <s v="Sandra Alzate"/>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27"/>
    <s v="Evaluar proyectos Sistema General de Regalias Regalias y OCAD PAZ"/>
    <n v="1.2500000000000001E-2"/>
    <s v="Conceptos de evaluación"/>
    <s v="(N° de proyectos evaluados/Saldo anterior+recibidos al corte definido)+100"/>
    <s v="Diana Delgado; Cesar Sotelo"/>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x v="0"/>
    <s v="Evaluar técnica y financieramente los proyectos de energía eléctrica y gas combustible presentados a los mecanismos y fondos de apoyo financiero"/>
    <n v="0.35"/>
    <x v="127"/>
    <s v="Evaluar proyectos Sistema General de Regalias Regalias y OCAD PAZ"/>
    <n v="1.2500000000000001E-2"/>
    <s v="Conceptos de evaluación"/>
    <s v="(N° de proyectos evaluados/Saldo anterior+recibidos al corte definido)+100"/>
    <s v="Diana Delgado; Cesar Sotelo"/>
    <x v="5"/>
    <m/>
    <m/>
    <m/>
    <m/>
    <m/>
    <m/>
    <m/>
    <m/>
    <m/>
  </r>
  <r>
    <x v="15"/>
    <x v="0"/>
    <s v="Evaluar técnica y financieramente los proyectos de energía eléctrica y gas combustible presentados a los mecanismos y fondos de apoyo financiero"/>
    <n v="0.35"/>
    <x v="127"/>
    <s v="Evaluar proyectos Sistema General de Regalias Regalias y OCAD PAZ"/>
    <n v="1.2500000000000001E-2"/>
    <s v="Conceptos de evaluación"/>
    <s v="(N° de proyectos evaluados/Saldo anterior+recibidos al corte definido)+100"/>
    <s v="Diana Delgado; Cesar Sotelo"/>
    <x v="7"/>
    <m/>
    <m/>
    <m/>
    <m/>
    <m/>
    <m/>
    <m/>
    <m/>
    <m/>
  </r>
  <r>
    <x v="15"/>
    <x v="0"/>
    <s v="Evaluar técnica y financieramente los proyectos de energía eléctrica y gas combustible presentados a los mecanismos y fondos de apoyo financiero"/>
    <n v="0.35"/>
    <x v="127"/>
    <s v="Evaluar proyectos Sistema General de Regalias Regalias y OCAD PAZ"/>
    <n v="1.2500000000000001E-2"/>
    <s v="Conceptos de evaluación"/>
    <s v="(N° de proyectos evaluados/Saldo anterior+recibidos al corte definido)+100"/>
    <s v="Diana Delgado; Cesar Sotelo"/>
    <x v="0"/>
    <m/>
    <m/>
    <m/>
    <m/>
    <m/>
    <m/>
    <m/>
    <m/>
    <m/>
  </r>
  <r>
    <x v="15"/>
    <x v="0"/>
    <s v="Evaluar técnica y financieramente los proyectos de energía eléctrica y gas combustible presentados a los mecanismos y fondos de apoyo financiero"/>
    <n v="0.35"/>
    <x v="151"/>
    <s v="Evaluar proyectos FAER"/>
    <n v="1.2500000000000001E-2"/>
    <s v="Conceptos de evaluación"/>
    <s v="(N° de proyectos evaluados/Saldo anterior+recibidos al corte definido)+100"/>
    <s v="Andres Rodriguez"/>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x v="0"/>
    <s v="Evaluar técnica y financieramente los proyectos de energía eléctrica y gas combustible presentados a los mecanismos y fondos de apoyo financiero"/>
    <n v="0.35"/>
    <x v="151"/>
    <s v="Evaluar proyectos FAER"/>
    <n v="1.2500000000000001E-2"/>
    <s v="Conceptos de evaluación"/>
    <s v="(N° de proyectos evaluados/Saldo anterior+recibidos al corte definido)+100"/>
    <s v="Andres Rodriguez"/>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51"/>
    <s v="Evaluar proyectos FAER"/>
    <n v="1.2500000000000001E-2"/>
    <s v="Conceptos de evaluación"/>
    <s v="(N° de proyectos evaluados/Saldo anterior+recibidos al corte definido)+100"/>
    <s v="Andres Rodriguez"/>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51"/>
    <s v="Evaluar proyectos FAER"/>
    <n v="1.2500000000000001E-2"/>
    <s v="Conceptos de evaluación"/>
    <s v="(N° de proyectos evaluados/Saldo anterior+recibidos al corte definido)+100"/>
    <s v="Andres Rodriguez"/>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52"/>
    <s v="Evaluar proyectos Plan Todos Somos Pazcífico"/>
    <n v="1.2500000000000001E-2"/>
    <s v="Conceptos de evaluación"/>
    <s v="(N° de proyectos evaluados/Saldo anterior+recibidos al corte definido)+100"/>
    <s v="Angelica Baena"/>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x v="0"/>
    <s v="Evaluar técnica y financieramente los proyectos de energía eléctrica y gas combustible presentados a los mecanismos y fondos de apoyo financiero"/>
    <n v="0.35"/>
    <x v="152"/>
    <s v="Evaluar proyectos Plan Todos Somos Pazcífico"/>
    <n v="1.2500000000000001E-2"/>
    <s v="Conceptos de evaluación"/>
    <s v="(N° de proyectos evaluados/Saldo anterior+recibidos al corte definido)+100"/>
    <s v="Angelica Baena"/>
    <x v="5"/>
    <m/>
    <m/>
    <m/>
    <m/>
    <m/>
    <m/>
    <m/>
    <m/>
    <m/>
  </r>
  <r>
    <x v="15"/>
    <x v="0"/>
    <s v="Evaluar técnica y financieramente los proyectos de energía eléctrica y gas combustible presentados a los mecanismos y fondos de apoyo financiero"/>
    <n v="0.35"/>
    <x v="152"/>
    <s v="Evaluar proyectos Plan Todos Somos Pazcífico"/>
    <n v="1.2500000000000001E-2"/>
    <s v="Conceptos de evaluación"/>
    <s v="(N° de proyectos evaluados/Saldo anterior+recibidos al corte definido)+100"/>
    <s v="Angelica Baena"/>
    <x v="7"/>
    <m/>
    <m/>
    <m/>
    <m/>
    <m/>
    <m/>
    <m/>
    <m/>
    <m/>
  </r>
  <r>
    <x v="15"/>
    <x v="0"/>
    <s v="Evaluar técnica y financieramente los proyectos de energía eléctrica y gas combustible presentados a los mecanismos y fondos de apoyo financiero"/>
    <n v="0.35"/>
    <x v="152"/>
    <s v="Evaluar proyectos Plan Todos Somos Pazcífico"/>
    <n v="1.2500000000000001E-2"/>
    <s v="Conceptos de evaluación"/>
    <s v="(N° de proyectos evaluados/Saldo anterior+recibidos al corte definido)+100"/>
    <s v="Angelica Baena"/>
    <x v="0"/>
    <m/>
    <m/>
    <m/>
    <m/>
    <m/>
    <m/>
    <m/>
    <m/>
    <m/>
  </r>
  <r>
    <x v="15"/>
    <x v="0"/>
    <s v="Evaluar técnica y financieramente los proyectos de energía eléctrica y gas combustible presentados a los mecanismos y fondos de apoyo financiero"/>
    <n v="0.35"/>
    <x v="153"/>
    <s v="Evaluar proyectos FINDETER"/>
    <n v="1.2500000000000001E-2"/>
    <s v="Conceptos de evaluación"/>
    <s v="(N° de proyectos evaluados/Saldo anterior+recibidos al corte definido)+100"/>
    <s v="Harold Quiñones"/>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x v="0"/>
    <s v="Evaluar técnica y financieramente los proyectos de energía eléctrica y gas combustible presentados a los mecanismos y fondos de apoyo financiero"/>
    <n v="0.35"/>
    <x v="153"/>
    <s v="Evaluar proyectos FINDETER"/>
    <n v="1.2500000000000001E-2"/>
    <s v="Conceptos de evaluación"/>
    <s v="(N° de proyectos evaluados/Saldo anterior+recibidos al corte definido)+100"/>
    <s v="Harold Quiñones"/>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53"/>
    <s v="Evaluar proyectos FINDETER"/>
    <n v="1.2500000000000001E-2"/>
    <s v="Conceptos de evaluación"/>
    <s v="(N° de proyectos evaluados/Saldo anterior+recibidos al corte definido)+100"/>
    <s v="Harold Quiñones"/>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53"/>
    <s v="Evaluar proyectos FINDETER"/>
    <n v="1.2500000000000001E-2"/>
    <s v="Conceptos de evaluación"/>
    <s v="(N° de proyectos evaluados/Saldo anterior+recibidos al corte definido)+100"/>
    <s v="Harold Quiñones"/>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54"/>
    <s v="Evaluar proyectos FENOGE"/>
    <n v="1.2500000000000001E-2"/>
    <s v="Conceptos de evaluación"/>
    <s v="(N° de proyectos evaluados/Saldo anterior+recibidos al corte definido)+100"/>
    <s v="Harold Quiñones"/>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x v="0"/>
    <s v="Evaluar técnica y financieramente los proyectos de energía eléctrica y gas combustible presentados a los mecanismos y fondos de apoyo financiero"/>
    <n v="0.35"/>
    <x v="154"/>
    <s v="Evaluar proyectos FENOGE"/>
    <n v="1.2500000000000001E-2"/>
    <s v="Conceptos de evaluación"/>
    <s v="(N° de proyectos evaluados/Saldo anterior+recibidos al corte definido)+100"/>
    <s v="Harold Quiñones"/>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54"/>
    <s v="Evaluar proyectos FENOGE"/>
    <n v="1.2500000000000001E-2"/>
    <s v="Conceptos de evaluación"/>
    <s v="(N° de proyectos evaluados/Saldo anterior+recibidos al corte definido)+100"/>
    <s v="Harold Quiñones"/>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54"/>
    <s v="Evaluar proyectos FENOGE"/>
    <n v="1.2500000000000001E-2"/>
    <s v="Conceptos de evaluación"/>
    <s v="(N° de proyectos evaluados/Saldo anterior+recibidos al corte definido)+100"/>
    <s v="Harold Quiñones"/>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0"/>
    <s v="Evaluar técnica y financieramente los proyectos de energía eléctrica y gas combustible presentados a los mecanismos y fondos de apoyo financiero"/>
    <n v="0.35"/>
    <x v="155"/>
    <s v="Evaluar proyectos PGLP y FECF"/>
    <n v="1.2500000000000001E-2"/>
    <s v="Conceptos de evaluación"/>
    <s v="(N° de proyectos evaluados/Saldo anterior+recibidos al corte definido)+100"/>
    <s v="Cesar Sotelo"/>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x v="0"/>
    <s v="Evaluar técnica y financieramente los proyectos de energía eléctrica y gas combustible presentados a los mecanismos y fondos de apoyo financiero"/>
    <n v="0.35"/>
    <x v="155"/>
    <s v="Evaluar proyectos PGLP y FECF"/>
    <n v="1.2500000000000001E-2"/>
    <s v="Conceptos de evaluación"/>
    <s v="(N° de proyectos evaluados/Saldo anterior+recibidos al corte definido)+100"/>
    <s v="Cesar Sotelo"/>
    <x v="5"/>
    <m/>
    <m/>
    <m/>
    <m/>
    <m/>
    <m/>
    <m/>
    <m/>
    <m/>
  </r>
  <r>
    <x v="15"/>
    <x v="0"/>
    <s v="Evaluar técnica y financieramente los proyectos de energía eléctrica y gas combustible presentados a los mecanismos y fondos de apoyo financiero"/>
    <n v="0.35"/>
    <x v="155"/>
    <s v="Evaluar proyectos PGLP y FECF"/>
    <n v="1.2500000000000001E-2"/>
    <s v="Conceptos de evaluación"/>
    <s v="(N° de proyectos evaluados/Saldo anterior+recibidos al corte definido)+100"/>
    <s v="Cesar Sotelo"/>
    <x v="7"/>
    <m/>
    <m/>
    <m/>
    <m/>
    <m/>
    <m/>
    <m/>
    <m/>
    <m/>
  </r>
  <r>
    <x v="15"/>
    <x v="0"/>
    <s v="Evaluar técnica y financieramente los proyectos de energía eléctrica y gas combustible presentados a los mecanismos y fondos de apoyo financiero"/>
    <n v="0.35"/>
    <x v="155"/>
    <s v="Evaluar proyectos PGLP y FECF"/>
    <n v="1.2500000000000001E-2"/>
    <s v="Conceptos de evaluación"/>
    <s v="(N° de proyectos evaluados/Saldo anterior+recibidos al corte definido)+100"/>
    <s v="Cesar Sotelo"/>
    <x v="0"/>
    <m/>
    <m/>
    <m/>
    <m/>
    <m/>
    <m/>
    <m/>
    <m/>
    <m/>
  </r>
  <r>
    <x v="15"/>
    <x v="1"/>
    <s v="Realizar seguimiento gerencial, trazabilidad y transparencia en la evaluación de proyectos"/>
    <n v="0.1"/>
    <x v="70"/>
    <s v="Actualizar el aplicativo o herramienta con la información de los proyectos evaluados"/>
    <n v="1.2500000000000001E-2"/>
    <s v="Documento terminado"/>
    <s v="Aplicativo actualizado con la información de los proyectos evaluados"/>
    <s v="Lideres de fondos"/>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x v="1"/>
    <s v="Realizar seguimiento gerencial, trazabilidad y transparencia en la evaluación de proyectos"/>
    <n v="0.1"/>
    <x v="70"/>
    <s v="Actualizar el aplicativo o herramienta con la información de los proyectos evaluados"/>
    <n v="1.2500000000000001E-2"/>
    <s v="Documento terminado"/>
    <s v="Aplicativo actualizado con la información de los proyectos evaluados"/>
    <s v="Lideres de fondos"/>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1"/>
    <s v="Realizar seguimiento gerencial, trazabilidad y transparencia en la evaluación de proyectos"/>
    <n v="0.1"/>
    <x v="70"/>
    <s v="Actualizar el aplicativo o herramienta con la información de los proyectos evaluados"/>
    <n v="1.2500000000000001E-2"/>
    <s v="Documento terminado"/>
    <s v="Aplicativo actualizado con la información de los proyectos evaluados"/>
    <s v="Lideres de fondos"/>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1"/>
    <s v="Realizar seguimiento gerencial, trazabilidad y transparencia en la evaluación de proyectos"/>
    <n v="0.1"/>
    <x v="70"/>
    <s v="Actualizar el aplicativo o herramienta con la información de los proyectos evaluados"/>
    <n v="1.2500000000000001E-2"/>
    <s v="Documento terminado"/>
    <s v="Aplicativo actualizado con la información de los proyectos evaluados"/>
    <s v="Lideres de fondos"/>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1"/>
    <s v="Realizar seguimiento gerencial, trazabilidad y transparencia en la evaluación de proyectos"/>
    <n v="0.1"/>
    <x v="156"/>
    <s v="Elaborar un informe de gestión de proyectos con reportes Tableau y publicado"/>
    <n v="1.2500000000000001E-2"/>
    <s v="Documento terminado"/>
    <s v="1 documento"/>
    <s v="Borman Leguizamo y Andres Rodriguez"/>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1.2500000000000001E-2"/>
    <s v="Marzo"/>
  </r>
  <r>
    <x v="15"/>
    <x v="1"/>
    <s v="Realizar seguimiento gerencial, trazabilidad y transparencia en la evaluación de proyectos"/>
    <n v="0.1"/>
    <x v="156"/>
    <s v="Elaborar un informe de gestión de proyectos con reportes Tableau y publicado"/>
    <n v="1.2500000000000001E-2"/>
    <s v="Documento terminado"/>
    <s v="1 documento"/>
    <s v="Borman Leguizamo y Andres Rodriguez"/>
    <x v="5"/>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1"/>
    <s v="Realizar seguimiento gerencial, trazabilidad y transparencia en la evaluación de proyectos"/>
    <n v="0.1"/>
    <x v="156"/>
    <s v="Elaborar un informe de gestión de proyectos con reportes Tableau y publicado"/>
    <n v="1.2500000000000001E-2"/>
    <s v="Documento terminado"/>
    <s v="1 documento"/>
    <s v="Borman Leguizamo y Andres Rodriguez"/>
    <x v="7"/>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1"/>
    <s v="Realizar seguimiento gerencial, trazabilidad y transparencia en la evaluación de proyectos"/>
    <n v="0.1"/>
    <x v="156"/>
    <s v="Elaborar un informe de gestión de proyectos con reportes Tableau y publicado"/>
    <n v="1.2500000000000001E-2"/>
    <s v="Documento terminado"/>
    <s v="1 documento"/>
    <s v="Borman Leguizamo y Andres Rodriguez"/>
    <x v="0"/>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m/>
    <m/>
  </r>
  <r>
    <x v="15"/>
    <x v="2"/>
    <s v="Racionalizar los procedimientos con la construcción de manuales operativos o guías de evaluación."/>
    <n v="0.15"/>
    <x v="71"/>
    <s v="Elaborar una guía de evaluación de proyectos de Obras por Impuestos"/>
    <n v="0"/>
    <s v="Documento terminado"/>
    <s v="1 documento"/>
    <s v="Sandra Alzate"/>
    <x v="3"/>
    <s v="DECRETO 1258/2013"/>
    <s v="1 - Asesoría para la equidad y conectividad energética a nivel Nacional - 2019011000092"/>
    <s v="D2 Direccionamiento Estratégico y Planeación"/>
    <s v="POLÍTICA 3 Planeación Institucional"/>
    <s v="4. Desarrollar las acciones necesarias que permitan materializar los planes, programas y proyectos en el sector minero energético."/>
    <s v="8. Gestion conceptos tecnicos"/>
    <s v="N/A"/>
    <n v="0"/>
    <s v="Marzo"/>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1"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2">
  <location ref="A4:C31" firstHeaderRow="0" firstDataRow="1" firstDataCol="1" rowPageCount="2" colPageCount="1"/>
  <pivotFields count="20">
    <pivotField axis="axisPage" showAll="0">
      <items count="17">
        <item x="0"/>
        <item x="1"/>
        <item x="2"/>
        <item x="8"/>
        <item x="15"/>
        <item x="9"/>
        <item x="3"/>
        <item x="4"/>
        <item x="7"/>
        <item x="5"/>
        <item x="14"/>
        <item x="11"/>
        <item x="13"/>
        <item x="12"/>
        <item x="10"/>
        <item x="6"/>
        <item t="default"/>
      </items>
    </pivotField>
    <pivotField showAll="0"/>
    <pivotField showAll="0"/>
    <pivotField showAll="0"/>
    <pivotField axis="axisRow" showAll="0">
      <items count="169">
        <item x="80"/>
        <item x="81"/>
        <item x="82"/>
        <item x="83"/>
        <item x="0"/>
        <item x="47"/>
        <item x="48"/>
        <item x="49"/>
        <item x="50"/>
        <item x="51"/>
        <item x="52"/>
        <item x="53"/>
        <item x="54"/>
        <item x="55"/>
        <item x="56"/>
        <item x="1"/>
        <item x="57"/>
        <item x="58"/>
        <item x="59"/>
        <item x="92"/>
        <item x="93"/>
        <item x="94"/>
        <item x="95"/>
        <item x="96"/>
        <item x="97"/>
        <item x="98"/>
        <item x="2"/>
        <item x="99"/>
        <item x="100"/>
        <item x="101"/>
        <item x="102"/>
        <item x="3"/>
        <item x="42"/>
        <item x="43"/>
        <item x="44"/>
        <item x="45"/>
        <item x="46"/>
        <item x="115"/>
        <item x="116"/>
        <item x="117"/>
        <item x="118"/>
        <item x="119"/>
        <item x="120"/>
        <item x="121"/>
        <item x="122"/>
        <item x="123"/>
        <item x="124"/>
        <item x="125"/>
        <item x="126"/>
        <item x="4"/>
        <item x="20"/>
        <item x="21"/>
        <item x="22"/>
        <item x="23"/>
        <item x="24"/>
        <item x="25"/>
        <item x="26"/>
        <item x="27"/>
        <item x="28"/>
        <item x="29"/>
        <item x="5"/>
        <item x="30"/>
        <item x="31"/>
        <item x="32"/>
        <item x="33"/>
        <item x="34"/>
        <item x="35"/>
        <item x="36"/>
        <item x="37"/>
        <item x="38"/>
        <item x="39"/>
        <item x="6"/>
        <item x="40"/>
        <item x="41"/>
        <item x="14"/>
        <item x="15"/>
        <item x="16"/>
        <item x="17"/>
        <item x="18"/>
        <item x="19"/>
        <item x="7"/>
        <item x="66"/>
        <item x="8"/>
        <item x="9"/>
        <item x="60"/>
        <item x="61"/>
        <item x="62"/>
        <item x="63"/>
        <item x="64"/>
        <item x="65"/>
        <item x="10"/>
        <item x="138"/>
        <item x="139"/>
        <item x="140"/>
        <item x="141"/>
        <item x="142"/>
        <item x="143"/>
        <item x="144"/>
        <item x="145"/>
        <item x="146"/>
        <item x="147"/>
        <item x="11"/>
        <item x="148"/>
        <item x="12"/>
        <item x="13"/>
        <item x="67"/>
        <item x="68"/>
        <item x="91"/>
        <item x="136"/>
        <item x="137"/>
        <item x="88"/>
        <item x="89"/>
        <item x="90"/>
        <item x="128"/>
        <item x="84"/>
        <item x="85"/>
        <item x="86"/>
        <item x="149"/>
        <item x="103"/>
        <item x="104"/>
        <item x="111"/>
        <item x="129"/>
        <item x="87"/>
        <item x="105"/>
        <item x="106"/>
        <item x="112"/>
        <item x="130"/>
        <item x="131"/>
        <item x="132"/>
        <item x="133"/>
        <item x="134"/>
        <item x="135"/>
        <item x="107"/>
        <item x="108"/>
        <item x="109"/>
        <item x="110"/>
        <item x="113"/>
        <item x="114"/>
        <item x="69"/>
        <item x="70"/>
        <item x="71"/>
        <item x="73"/>
        <item x="74"/>
        <item x="127"/>
        <item x="155"/>
        <item x="72"/>
        <item x="159"/>
        <item x="75"/>
        <item x="150"/>
        <item x="156"/>
        <item x="160"/>
        <item x="76"/>
        <item x="151"/>
        <item x="157"/>
        <item x="161"/>
        <item x="77"/>
        <item x="152"/>
        <item x="158"/>
        <item x="162"/>
        <item x="78"/>
        <item x="153"/>
        <item x="163"/>
        <item x="79"/>
        <item x="154"/>
        <item x="164"/>
        <item x="165"/>
        <item x="166"/>
        <item x="167"/>
        <item t="default"/>
      </items>
    </pivotField>
    <pivotField showAll="0">
      <items count="355">
        <item x="5"/>
        <item x="119"/>
        <item x="123"/>
        <item x="213"/>
        <item x="214"/>
        <item x="215"/>
        <item x="216"/>
        <item x="115"/>
        <item x="220"/>
        <item x="137"/>
        <item x="334"/>
        <item x="52"/>
        <item x="160"/>
        <item x="140"/>
        <item x="229"/>
        <item x="230"/>
        <item x="231"/>
        <item x="232"/>
        <item x="338"/>
        <item x="339"/>
        <item x="64"/>
        <item x="163"/>
        <item x="69"/>
        <item x="56"/>
        <item x="118"/>
        <item x="157"/>
        <item x="193"/>
        <item x="161"/>
        <item x="191"/>
        <item x="120"/>
        <item x="319"/>
        <item x="192"/>
        <item x="113"/>
        <item x="277"/>
        <item x="275"/>
        <item x="276"/>
        <item x="278"/>
        <item x="110"/>
        <item x="282"/>
        <item x="295"/>
        <item x="297"/>
        <item x="299"/>
        <item x="301"/>
        <item x="287"/>
        <item x="289"/>
        <item x="291"/>
        <item x="293"/>
        <item x="77"/>
        <item x="159"/>
        <item x="4"/>
        <item x="353"/>
        <item x="135"/>
        <item x="35"/>
        <item x="212"/>
        <item x="244"/>
        <item x="249"/>
        <item x="254"/>
        <item x="259"/>
        <item x="58"/>
        <item x="173"/>
        <item x="234"/>
        <item x="236"/>
        <item x="270"/>
        <item x="8"/>
        <item x="1"/>
        <item x="217"/>
        <item x="109"/>
        <item x="158"/>
        <item x="59"/>
        <item x="114"/>
        <item x="87"/>
        <item x="221"/>
        <item x="206"/>
        <item x="47"/>
        <item x="48"/>
        <item x="208"/>
        <item x="209"/>
        <item x="210"/>
        <item x="211"/>
        <item x="311"/>
        <item x="49"/>
        <item x="50"/>
        <item x="121"/>
        <item x="76"/>
        <item x="29"/>
        <item x="11"/>
        <item x="108"/>
        <item x="195"/>
        <item x="170"/>
        <item x="186"/>
        <item x="184"/>
        <item x="185"/>
        <item x="315"/>
        <item x="181"/>
        <item x="178"/>
        <item x="351"/>
        <item x="167"/>
        <item x="352"/>
        <item x="283"/>
        <item x="284"/>
        <item x="116"/>
        <item x="205"/>
        <item x="33"/>
        <item x="166"/>
        <item x="34"/>
        <item x="30"/>
        <item x="31"/>
        <item x="32"/>
        <item x="180"/>
        <item x="151"/>
        <item x="128"/>
        <item x="131"/>
        <item x="126"/>
        <item x="125"/>
        <item x="130"/>
        <item x="176"/>
        <item x="177"/>
        <item x="67"/>
        <item x="133"/>
        <item x="273"/>
        <item x="285"/>
        <item x="80"/>
        <item x="224"/>
        <item x="225"/>
        <item x="226"/>
        <item x="227"/>
        <item x="228"/>
        <item x="312"/>
        <item x="237"/>
        <item x="238"/>
        <item x="239"/>
        <item x="240"/>
        <item x="14"/>
        <item x="117"/>
        <item x="296"/>
        <item x="298"/>
        <item x="300"/>
        <item x="302"/>
        <item x="288"/>
        <item x="290"/>
        <item x="292"/>
        <item x="294"/>
        <item x="303"/>
        <item x="306"/>
        <item x="307"/>
        <item x="308"/>
        <item x="309"/>
        <item x="156"/>
        <item x="174"/>
        <item x="175"/>
        <item x="335"/>
        <item x="336"/>
        <item x="340"/>
        <item x="337"/>
        <item x="322"/>
        <item x="85"/>
        <item x="323"/>
        <item x="324"/>
        <item x="325"/>
        <item x="82"/>
        <item x="329"/>
        <item x="332"/>
        <item x="331"/>
        <item x="327"/>
        <item x="333"/>
        <item x="330"/>
        <item x="328"/>
        <item x="150"/>
        <item x="6"/>
        <item x="233"/>
        <item x="235"/>
        <item x="112"/>
        <item x="169"/>
        <item x="171"/>
        <item x="111"/>
        <item x="138"/>
        <item x="127"/>
        <item x="132"/>
        <item x="124"/>
        <item x="129"/>
        <item x="66"/>
        <item x="70"/>
        <item x="65"/>
        <item x="39"/>
        <item x="36"/>
        <item x="37"/>
        <item x="38"/>
        <item x="164"/>
        <item x="165"/>
        <item x="81"/>
        <item x="13"/>
        <item x="2"/>
        <item x="139"/>
        <item x="172"/>
        <item x="7"/>
        <item x="10"/>
        <item x="0"/>
        <item x="91"/>
        <item x="190"/>
        <item x="179"/>
        <item x="182"/>
        <item x="54"/>
        <item x="149"/>
        <item x="136"/>
        <item x="262"/>
        <item x="264"/>
        <item x="266"/>
        <item x="268"/>
        <item x="162"/>
        <item x="122"/>
        <item x="218"/>
        <item x="219"/>
        <item x="147"/>
        <item x="72"/>
        <item x="73"/>
        <item x="71"/>
        <item x="106"/>
        <item x="79"/>
        <item x="183"/>
        <item x="269"/>
        <item x="245"/>
        <item x="250"/>
        <item x="255"/>
        <item x="260"/>
        <item x="51"/>
        <item x="317"/>
        <item x="202"/>
        <item x="203"/>
        <item x="84"/>
        <item x="272"/>
        <item x="286"/>
        <item x="271"/>
        <item x="83"/>
        <item x="168"/>
        <item x="57"/>
        <item x="304"/>
        <item x="143"/>
        <item x="305"/>
        <item x="197"/>
        <item x="15"/>
        <item x="318"/>
        <item x="189"/>
        <item x="326"/>
        <item x="314"/>
        <item x="107"/>
        <item x="350"/>
        <item x="349"/>
        <item x="148"/>
        <item x="141"/>
        <item x="96"/>
        <item x="94"/>
        <item x="95"/>
        <item x="97"/>
        <item x="98"/>
        <item x="99"/>
        <item x="104"/>
        <item x="103"/>
        <item x="102"/>
        <item x="241"/>
        <item x="246"/>
        <item x="251"/>
        <item x="256"/>
        <item x="100"/>
        <item x="313"/>
        <item x="320"/>
        <item x="101"/>
        <item x="16"/>
        <item x="25"/>
        <item x="20"/>
        <item x="23"/>
        <item x="22"/>
        <item x="24"/>
        <item x="18"/>
        <item x="26"/>
        <item x="19"/>
        <item x="21"/>
        <item x="17"/>
        <item x="27"/>
        <item x="55"/>
        <item x="74"/>
        <item x="348"/>
        <item x="142"/>
        <item x="89"/>
        <item x="44"/>
        <item x="134"/>
        <item x="200"/>
        <item x="40"/>
        <item x="41"/>
        <item x="42"/>
        <item x="43"/>
        <item x="45"/>
        <item x="46"/>
        <item x="342"/>
        <item x="310"/>
        <item x="68"/>
        <item x="341"/>
        <item x="316"/>
        <item x="90"/>
        <item x="199"/>
        <item x="321"/>
        <item x="154"/>
        <item x="93"/>
        <item x="60"/>
        <item x="61"/>
        <item x="62"/>
        <item x="63"/>
        <item x="155"/>
        <item x="88"/>
        <item x="223"/>
        <item x="204"/>
        <item x="281"/>
        <item x="194"/>
        <item x="274"/>
        <item x="243"/>
        <item x="248"/>
        <item x="253"/>
        <item x="258"/>
        <item x="198"/>
        <item x="12"/>
        <item x="9"/>
        <item x="3"/>
        <item x="28"/>
        <item x="92"/>
        <item x="344"/>
        <item x="343"/>
        <item x="347"/>
        <item x="346"/>
        <item x="345"/>
        <item x="86"/>
        <item x="187"/>
        <item x="188"/>
        <item x="75"/>
        <item x="261"/>
        <item x="263"/>
        <item x="265"/>
        <item x="267"/>
        <item x="196"/>
        <item x="222"/>
        <item x="201"/>
        <item x="78"/>
        <item x="279"/>
        <item x="152"/>
        <item x="153"/>
        <item x="242"/>
        <item x="247"/>
        <item x="252"/>
        <item x="257"/>
        <item x="207"/>
        <item x="105"/>
        <item x="280"/>
        <item x="144"/>
        <item x="146"/>
        <item x="145"/>
        <item x="53"/>
        <item t="default"/>
      </items>
    </pivotField>
    <pivotField dataField="1" showAll="0"/>
    <pivotField showAll="0"/>
    <pivotField showAll="0"/>
    <pivotField showAll="0"/>
    <pivotField axis="axisPage" multipleItemSelectionAllowed="1" showAll="0">
      <items count="14">
        <item x="1"/>
        <item x="2"/>
        <item x="3"/>
        <item h="1" x="4"/>
        <item h="1" x="9"/>
        <item h="1" x="5"/>
        <item h="1" x="6"/>
        <item h="1" x="10"/>
        <item h="1" x="7"/>
        <item h="1" x="8"/>
        <item h="1" x="11"/>
        <item h="1" x="0"/>
        <item h="1" x="12"/>
        <item t="default"/>
      </items>
    </pivotField>
    <pivotField showAll="0"/>
    <pivotField showAll="0"/>
    <pivotField showAll="0"/>
    <pivotField showAll="0"/>
    <pivotField showAll="0"/>
    <pivotField showAll="0"/>
    <pivotField showAll="0"/>
    <pivotField dataField="1" showAll="0"/>
    <pivotField showAll="0"/>
  </pivotFields>
  <rowFields count="1">
    <field x="4"/>
  </rowFields>
  <rowItems count="27">
    <i>
      <x v="138"/>
    </i>
    <i>
      <x v="139"/>
    </i>
    <i>
      <x v="140"/>
    </i>
    <i>
      <x v="141"/>
    </i>
    <i>
      <x v="142"/>
    </i>
    <i>
      <x v="143"/>
    </i>
    <i>
      <x v="144"/>
    </i>
    <i>
      <x v="145"/>
    </i>
    <i>
      <x v="146"/>
    </i>
    <i>
      <x v="147"/>
    </i>
    <i>
      <x v="148"/>
    </i>
    <i>
      <x v="149"/>
    </i>
    <i>
      <x v="150"/>
    </i>
    <i>
      <x v="152"/>
    </i>
    <i>
      <x v="153"/>
    </i>
    <i>
      <x v="154"/>
    </i>
    <i>
      <x v="156"/>
    </i>
    <i>
      <x v="157"/>
    </i>
    <i>
      <x v="158"/>
    </i>
    <i>
      <x v="160"/>
    </i>
    <i>
      <x v="161"/>
    </i>
    <i>
      <x v="163"/>
    </i>
    <i>
      <x v="164"/>
    </i>
    <i>
      <x v="165"/>
    </i>
    <i>
      <x v="166"/>
    </i>
    <i>
      <x v="167"/>
    </i>
    <i t="grand">
      <x/>
    </i>
  </rowItems>
  <colFields count="1">
    <field x="-2"/>
  </colFields>
  <colItems count="2">
    <i>
      <x/>
    </i>
    <i i="1">
      <x v="1"/>
    </i>
  </colItems>
  <pageFields count="2">
    <pageField fld="10" hier="-1"/>
    <pageField fld="0" item="4" hier="-1"/>
  </pageFields>
  <dataFields count="2">
    <dataField name="Suma de Ponderación (%) " fld="6" baseField="4" baseItem="60" numFmtId="164"/>
    <dataField name="Suma de % avance Sub Actividad" fld="18" baseField="4" baseItem="62" numFmtId="164"/>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 1" cacheId="7" applyNumberFormats="0" applyBorderFormats="0" applyFontFormats="0" applyPatternFormats="0" applyAlignmentFormats="0" applyWidthHeightFormats="0" dataCaption="" updatedVersion="5" compact="0" compactData="0">
  <location ref="A3:E437" firstHeaderRow="1" firstDataRow="2" firstDataCol="3" rowPageCount="1" colPageCount="1"/>
  <pivotFields count="20">
    <pivotField name="Dependencia" axis="axisRow" compact="0" outline="0" multipleItemSelectionAllowed="1" showAll="0" sortType="ascending">
      <items count="17">
        <item x="0"/>
        <item x="1"/>
        <item x="2"/>
        <item x="8"/>
        <item x="15"/>
        <item x="9"/>
        <item x="3"/>
        <item x="4"/>
        <item x="7"/>
        <item x="5"/>
        <item x="14"/>
        <item x="11"/>
        <item x="13"/>
        <item x="12"/>
        <item x="10"/>
        <item x="6"/>
        <item t="default"/>
      </items>
    </pivotField>
    <pivotField name="No consecutivo_x000a_Actividad" axis="axisRow" compact="0" outline="0" multipleItemSelectionAllowed="1" showAll="0" sortType="ascending" defaultSubtotal="0">
      <items count="14">
        <item x="0"/>
        <item x="1"/>
        <item x="2"/>
        <item x="3"/>
        <item x="4"/>
        <item x="5"/>
        <item x="6"/>
        <item x="7"/>
        <item x="8"/>
        <item x="9"/>
        <item x="10"/>
        <item x="11"/>
        <item x="12"/>
        <item x="13"/>
      </items>
    </pivotField>
    <pivotField name="ACTIVIDAD" compact="0" outline="0" multipleItemSelectionAllowed="1" showAll="0"/>
    <pivotField name="Ponderación (%) Actividad" compact="0" numFmtId="9" outline="0" multipleItemSelectionAllowed="1" showAll="0"/>
    <pivotField name="Número de Subactividad" axis="axisRow" compact="0" outline="0" multipleItemSelectionAllowed="1" showAll="0" sortType="ascending">
      <items count="158">
        <item x="150"/>
        <item x="80"/>
        <item x="81"/>
        <item x="82"/>
        <item x="83"/>
        <item x="0"/>
        <item x="47"/>
        <item x="48"/>
        <item x="49"/>
        <item x="50"/>
        <item x="51"/>
        <item x="52"/>
        <item x="53"/>
        <item x="54"/>
        <item x="55"/>
        <item x="56"/>
        <item x="1"/>
        <item x="57"/>
        <item x="58"/>
        <item x="59"/>
        <item x="92"/>
        <item x="93"/>
        <item x="94"/>
        <item x="95"/>
        <item x="96"/>
        <item x="97"/>
        <item x="98"/>
        <item x="2"/>
        <item x="99"/>
        <item x="100"/>
        <item x="101"/>
        <item x="102"/>
        <item x="3"/>
        <item x="42"/>
        <item x="43"/>
        <item x="44"/>
        <item x="45"/>
        <item x="46"/>
        <item x="115"/>
        <item x="116"/>
        <item x="117"/>
        <item x="118"/>
        <item x="119"/>
        <item x="120"/>
        <item x="121"/>
        <item x="122"/>
        <item x="123"/>
        <item x="124"/>
        <item x="125"/>
        <item x="126"/>
        <item x="4"/>
        <item x="20"/>
        <item x="21"/>
        <item x="22"/>
        <item x="23"/>
        <item x="24"/>
        <item x="25"/>
        <item x="26"/>
        <item x="27"/>
        <item x="28"/>
        <item x="29"/>
        <item x="5"/>
        <item x="30"/>
        <item x="31"/>
        <item x="32"/>
        <item x="33"/>
        <item x="34"/>
        <item x="35"/>
        <item x="36"/>
        <item x="37"/>
        <item x="38"/>
        <item x="39"/>
        <item x="6"/>
        <item x="40"/>
        <item x="41"/>
        <item x="14"/>
        <item x="15"/>
        <item x="16"/>
        <item x="17"/>
        <item x="18"/>
        <item x="19"/>
        <item x="7"/>
        <item x="66"/>
        <item x="8"/>
        <item x="9"/>
        <item x="60"/>
        <item x="61"/>
        <item x="62"/>
        <item x="63"/>
        <item x="64"/>
        <item x="65"/>
        <item x="10"/>
        <item x="138"/>
        <item x="139"/>
        <item x="140"/>
        <item x="141"/>
        <item x="142"/>
        <item x="143"/>
        <item x="144"/>
        <item x="145"/>
        <item x="146"/>
        <item x="147"/>
        <item x="11"/>
        <item x="148"/>
        <item x="12"/>
        <item x="13"/>
        <item x="67"/>
        <item x="68"/>
        <item x="91"/>
        <item x="136"/>
        <item x="137"/>
        <item x="88"/>
        <item x="89"/>
        <item x="90"/>
        <item x="128"/>
        <item x="84"/>
        <item x="85"/>
        <item x="86"/>
        <item x="149"/>
        <item x="103"/>
        <item x="104"/>
        <item x="111"/>
        <item x="129"/>
        <item x="87"/>
        <item x="105"/>
        <item x="106"/>
        <item x="112"/>
        <item x="130"/>
        <item x="131"/>
        <item x="132"/>
        <item x="133"/>
        <item x="134"/>
        <item x="135"/>
        <item x="107"/>
        <item x="108"/>
        <item x="109"/>
        <item x="110"/>
        <item x="113"/>
        <item x="114"/>
        <item x="69"/>
        <item x="70"/>
        <item x="71"/>
        <item x="73"/>
        <item x="74"/>
        <item x="127"/>
        <item x="156"/>
        <item x="72"/>
        <item x="75"/>
        <item x="151"/>
        <item x="76"/>
        <item x="152"/>
        <item x="77"/>
        <item x="153"/>
        <item x="78"/>
        <item x="154"/>
        <item x="79"/>
        <item x="155"/>
        <item t="default"/>
      </items>
    </pivotField>
    <pivotField name="Sub actividad" compact="0" outline="0" multipleItemSelectionAllowed="1" showAll="0"/>
    <pivotField name="Ponderación (%) _x000a_Sub actividad" dataField="1" compact="0" numFmtId="10" outline="0" multipleItemSelectionAllowed="1" showAll="0"/>
    <pivotField name="Producto Entregable de la Sub Actividad" compact="0" outline="0" multipleItemSelectionAllowed="1" showAll="0"/>
    <pivotField name="Indicador de la Actividad" compact="0" outline="0" multipleItemSelectionAllowed="1" showAll="0"/>
    <pivotField name="Responsable" compact="0" outline="0" multipleItemSelectionAllowed="1" showAll="0"/>
    <pivotField name="Mes de cumplimiento SubActividades" axis="axisPage" compact="0" outline="0" multipleItemSelectionAllowed="1" showAll="0">
      <items count="14">
        <item x="0"/>
        <item x="1"/>
        <item x="2"/>
        <item x="3"/>
        <item x="4"/>
        <item x="5"/>
        <item x="6"/>
        <item x="7"/>
        <item x="8"/>
        <item x="9"/>
        <item x="10"/>
        <item x="11"/>
        <item x="12"/>
        <item t="default"/>
      </items>
    </pivotField>
    <pivotField name="Compromisos relacionados (PND, CONPES, PLAN ESTRAT SECTORIAL)" compact="0" outline="0" multipleItemSelectionAllowed="1" showAll="0"/>
    <pivotField name="Proyecto de Inversión relacionado ó N/A" compact="0" outline="0" multipleItemSelectionAllowed="1" showAll="0"/>
    <pivotField name="Dimensión MIPG" compact="0" outline="0" multipleItemSelectionAllowed="1" showAll="0"/>
    <pivotField name="Política MIPG" compact="0" outline="0" multipleItemSelectionAllowed="1" showAll="0"/>
    <pivotField name="Objetivo estrategico institucional relacionado" compact="0" outline="0" multipleItemSelectionAllowed="1" showAll="0"/>
    <pivotField name="Proceso relacionado" compact="0" outline="0" multipleItemSelectionAllowed="1" showAll="0"/>
    <pivotField name="Planes Institucionales relacionados" compact="0" outline="0" multipleItemSelectionAllowed="1" showAll="0"/>
    <pivotField name="% avance Sub Actividad" dataField="1" compact="0" outline="0" multipleItemSelectionAllowed="1" showAll="0"/>
    <pivotField name="Mes en que se realizó" compact="0" outline="0" multipleItemSelectionAllowed="1" showAll="0"/>
  </pivotFields>
  <rowFields count="3">
    <field x="0"/>
    <field x="1"/>
    <field x="4"/>
  </rowFields>
  <rowItems count="433">
    <i>
      <x/>
      <x/>
      <x v="5"/>
    </i>
    <i r="2">
      <x v="16"/>
    </i>
    <i r="2">
      <x v="27"/>
    </i>
    <i r="2">
      <x v="32"/>
    </i>
    <i r="1">
      <x v="1"/>
      <x v="50"/>
    </i>
    <i r="2">
      <x v="61"/>
    </i>
    <i r="2">
      <x v="72"/>
    </i>
    <i r="1">
      <x v="2"/>
      <x v="81"/>
    </i>
    <i r="2">
      <x v="83"/>
    </i>
    <i r="2">
      <x v="84"/>
    </i>
    <i r="1">
      <x v="3"/>
      <x v="91"/>
    </i>
    <i r="2">
      <x v="102"/>
    </i>
    <i r="2">
      <x v="104"/>
    </i>
    <i r="2">
      <x v="105"/>
    </i>
    <i t="default">
      <x/>
    </i>
    <i>
      <x v="1"/>
      <x/>
      <x v="5"/>
    </i>
    <i r="2">
      <x v="16"/>
    </i>
    <i r="1">
      <x v="1"/>
      <x v="50"/>
    </i>
    <i r="2">
      <x v="51"/>
    </i>
    <i r="2">
      <x v="52"/>
    </i>
    <i r="2">
      <x v="53"/>
    </i>
    <i r="2">
      <x v="54"/>
    </i>
    <i r="2">
      <x v="55"/>
    </i>
    <i r="2">
      <x v="56"/>
    </i>
    <i r="2">
      <x v="57"/>
    </i>
    <i r="2">
      <x v="58"/>
    </i>
    <i r="2">
      <x v="59"/>
    </i>
    <i r="2">
      <x v="60"/>
    </i>
    <i r="2">
      <x v="61"/>
    </i>
    <i r="2">
      <x v="62"/>
    </i>
    <i r="2">
      <x v="63"/>
    </i>
    <i r="2">
      <x v="64"/>
    </i>
    <i r="2">
      <x v="65"/>
    </i>
    <i r="2">
      <x v="66"/>
    </i>
    <i r="2">
      <x v="67"/>
    </i>
    <i r="2">
      <x v="68"/>
    </i>
    <i r="2">
      <x v="69"/>
    </i>
    <i r="2">
      <x v="70"/>
    </i>
    <i r="2">
      <x v="71"/>
    </i>
    <i r="2">
      <x v="72"/>
    </i>
    <i r="2">
      <x v="73"/>
    </i>
    <i r="2">
      <x v="74"/>
    </i>
    <i r="2">
      <x v="75"/>
    </i>
    <i r="2">
      <x v="76"/>
    </i>
    <i r="2">
      <x v="77"/>
    </i>
    <i r="2">
      <x v="78"/>
    </i>
    <i r="2">
      <x v="79"/>
    </i>
    <i r="2">
      <x v="80"/>
    </i>
    <i r="1">
      <x v="2"/>
      <x v="81"/>
    </i>
    <i r="1">
      <x v="3"/>
      <x v="91"/>
    </i>
    <i r="2">
      <x v="102"/>
    </i>
    <i r="2">
      <x v="104"/>
    </i>
    <i r="2">
      <x v="105"/>
    </i>
    <i t="default">
      <x v="1"/>
    </i>
    <i>
      <x v="2"/>
      <x/>
      <x v="5"/>
    </i>
    <i r="2">
      <x v="6"/>
    </i>
    <i r="2">
      <x v="7"/>
    </i>
    <i r="2">
      <x v="8"/>
    </i>
    <i r="2">
      <x v="9"/>
    </i>
    <i r="2">
      <x v="10"/>
    </i>
    <i r="2">
      <x v="11"/>
    </i>
    <i r="2">
      <x v="12"/>
    </i>
    <i r="2">
      <x v="13"/>
    </i>
    <i r="2">
      <x v="14"/>
    </i>
    <i r="2">
      <x v="15"/>
    </i>
    <i r="2">
      <x v="16"/>
    </i>
    <i r="2">
      <x v="17"/>
    </i>
    <i r="2">
      <x v="18"/>
    </i>
    <i r="2">
      <x v="19"/>
    </i>
    <i r="2">
      <x v="27"/>
    </i>
    <i r="2">
      <x v="32"/>
    </i>
    <i r="2">
      <x v="33"/>
    </i>
    <i r="2">
      <x v="34"/>
    </i>
    <i r="2">
      <x v="35"/>
    </i>
    <i r="2">
      <x v="36"/>
    </i>
    <i r="2">
      <x v="37"/>
    </i>
    <i r="1">
      <x v="1"/>
      <x v="50"/>
    </i>
    <i r="2">
      <x v="61"/>
    </i>
    <i r="2">
      <x v="72"/>
    </i>
    <i r="2">
      <x v="75"/>
    </i>
    <i r="2">
      <x v="76"/>
    </i>
    <i r="2">
      <x v="77"/>
    </i>
    <i r="2">
      <x v="78"/>
    </i>
    <i r="1">
      <x v="2"/>
      <x v="81"/>
    </i>
    <i r="2">
      <x v="82"/>
    </i>
    <i r="2">
      <x v="83"/>
    </i>
    <i r="2">
      <x v="84"/>
    </i>
    <i r="2">
      <x v="85"/>
    </i>
    <i r="2">
      <x v="86"/>
    </i>
    <i r="2">
      <x v="87"/>
    </i>
    <i r="2">
      <x v="88"/>
    </i>
    <i r="2">
      <x v="89"/>
    </i>
    <i r="2">
      <x v="90"/>
    </i>
    <i r="1">
      <x v="3"/>
      <x v="91"/>
    </i>
    <i r="2">
      <x v="102"/>
    </i>
    <i r="2">
      <x v="104"/>
    </i>
    <i r="2">
      <x v="105"/>
    </i>
    <i r="2">
      <x v="106"/>
    </i>
    <i r="2">
      <x v="107"/>
    </i>
    <i t="default">
      <x v="2"/>
    </i>
    <i>
      <x v="3"/>
      <x/>
      <x v="5"/>
    </i>
    <i r="2">
      <x v="16"/>
    </i>
    <i r="1">
      <x v="1"/>
      <x v="50"/>
    </i>
    <i r="2">
      <x v="61"/>
    </i>
    <i r="1">
      <x v="2"/>
      <x v="81"/>
    </i>
    <i r="2">
      <x v="83"/>
    </i>
    <i r="2">
      <x v="84"/>
    </i>
    <i r="1">
      <x v="3"/>
      <x v="91"/>
    </i>
    <i r="1">
      <x v="4"/>
      <x v="111"/>
    </i>
    <i r="2">
      <x v="112"/>
    </i>
    <i r="1">
      <x v="5"/>
      <x v="119"/>
    </i>
    <i r="2">
      <x v="120"/>
    </i>
    <i r="2">
      <x v="121"/>
    </i>
    <i r="1">
      <x v="6"/>
      <x v="124"/>
    </i>
    <i r="2">
      <x v="125"/>
    </i>
    <i r="2">
      <x v="126"/>
    </i>
    <i r="1">
      <x v="7"/>
      <x v="133"/>
    </i>
    <i r="2">
      <x v="134"/>
    </i>
    <i r="1">
      <x v="8"/>
      <x v="135"/>
    </i>
    <i r="2">
      <x v="136"/>
    </i>
    <i r="2">
      <x v="137"/>
    </i>
    <i r="2">
      <x v="138"/>
    </i>
    <i r="1">
      <x v="9"/>
      <x v="38"/>
    </i>
    <i r="2">
      <x v="39"/>
    </i>
    <i r="2">
      <x v="40"/>
    </i>
    <i r="1">
      <x v="10"/>
      <x v="41"/>
    </i>
    <i r="2">
      <x v="42"/>
    </i>
    <i r="2">
      <x v="43"/>
    </i>
    <i r="1">
      <x v="11"/>
      <x v="44"/>
    </i>
    <i r="2">
      <x v="45"/>
    </i>
    <i r="1">
      <x v="12"/>
      <x v="46"/>
    </i>
    <i r="2">
      <x v="47"/>
    </i>
    <i r="1">
      <x v="13"/>
      <x v="48"/>
    </i>
    <i r="2">
      <x v="49"/>
    </i>
    <i t="default">
      <x v="3"/>
    </i>
    <i>
      <x v="4"/>
      <x/>
      <x/>
    </i>
    <i r="2">
      <x v="144"/>
    </i>
    <i r="2">
      <x v="148"/>
    </i>
    <i r="2">
      <x v="150"/>
    </i>
    <i r="2">
      <x v="152"/>
    </i>
    <i r="2">
      <x v="154"/>
    </i>
    <i r="2">
      <x v="156"/>
    </i>
    <i r="1">
      <x v="1"/>
      <x v="140"/>
    </i>
    <i r="2">
      <x v="145"/>
    </i>
    <i r="1">
      <x v="2"/>
      <x v="141"/>
    </i>
    <i t="default">
      <x v="4"/>
    </i>
    <i>
      <x v="5"/>
      <x/>
      <x v="5"/>
    </i>
    <i r="2">
      <x v="144"/>
    </i>
    <i r="1">
      <x v="1"/>
      <x v="50"/>
    </i>
    <i r="1">
      <x v="2"/>
      <x v="81"/>
    </i>
    <i r="2">
      <x v="83"/>
    </i>
    <i r="2">
      <x v="84"/>
    </i>
    <i r="1">
      <x v="3"/>
      <x v="91"/>
    </i>
    <i r="2">
      <x v="102"/>
    </i>
    <i t="default">
      <x v="5"/>
    </i>
    <i>
      <x v="6"/>
      <x/>
      <x v="139"/>
    </i>
    <i r="1">
      <x v="1"/>
      <x v="140"/>
    </i>
    <i r="1">
      <x v="2"/>
      <x v="141"/>
    </i>
    <i r="2">
      <x v="146"/>
    </i>
    <i r="1">
      <x v="3"/>
      <x v="142"/>
    </i>
    <i r="1">
      <x v="4"/>
      <x v="143"/>
    </i>
    <i r="2">
      <x v="147"/>
    </i>
    <i r="2">
      <x v="149"/>
    </i>
    <i r="2">
      <x v="151"/>
    </i>
    <i r="2">
      <x v="153"/>
    </i>
    <i r="2">
      <x v="155"/>
    </i>
    <i t="default">
      <x v="6"/>
    </i>
    <i>
      <x v="7"/>
      <x/>
      <x v="5"/>
    </i>
    <i r="1">
      <x v="1"/>
      <x v="61"/>
    </i>
    <i r="1">
      <x v="2"/>
      <x v="84"/>
    </i>
    <i r="1">
      <x v="3"/>
      <x v="1"/>
    </i>
    <i r="2">
      <x v="2"/>
    </i>
    <i r="2">
      <x v="3"/>
    </i>
    <i r="2">
      <x v="4"/>
    </i>
    <i r="1">
      <x v="4"/>
      <x v="115"/>
    </i>
    <i r="2">
      <x v="116"/>
    </i>
    <i r="2">
      <x v="117"/>
    </i>
    <i r="1">
      <x v="5"/>
      <x v="123"/>
    </i>
    <i t="default">
      <x v="7"/>
    </i>
    <i>
      <x v="8"/>
      <x/>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1">
      <x v="1"/>
      <x v="50"/>
    </i>
    <i r="2">
      <x v="61"/>
    </i>
    <i r="2">
      <x v="72"/>
    </i>
    <i r="2">
      <x v="75"/>
    </i>
    <i r="2">
      <x v="76"/>
    </i>
    <i r="2">
      <x v="77"/>
    </i>
    <i r="2">
      <x v="78"/>
    </i>
    <i r="2">
      <x v="79"/>
    </i>
    <i r="1">
      <x v="3"/>
      <x v="91"/>
    </i>
    <i r="2">
      <x v="102"/>
    </i>
    <i r="2">
      <x v="104"/>
    </i>
    <i r="1">
      <x v="5"/>
      <x v="119"/>
    </i>
    <i r="2">
      <x v="120"/>
    </i>
    <i r="1">
      <x v="6"/>
      <x v="124"/>
    </i>
    <i r="2">
      <x v="125"/>
    </i>
    <i r="1">
      <x v="7"/>
      <x v="133"/>
    </i>
    <i r="2">
      <x v="134"/>
    </i>
    <i r="1">
      <x v="8"/>
      <x v="135"/>
    </i>
    <i r="2">
      <x v="136"/>
    </i>
    <i t="default">
      <x v="8"/>
    </i>
    <i>
      <x v="9"/>
      <x/>
      <x v="5"/>
    </i>
    <i r="2">
      <x v="16"/>
    </i>
    <i r="2">
      <x v="27"/>
    </i>
    <i r="1">
      <x v="1"/>
      <x v="50"/>
    </i>
    <i r="2">
      <x v="61"/>
    </i>
    <i r="1">
      <x v="2"/>
      <x v="81"/>
    </i>
    <i r="2">
      <x v="83"/>
    </i>
    <i r="1">
      <x v="3"/>
      <x v="91"/>
    </i>
    <i r="2">
      <x v="102"/>
    </i>
    <i r="2">
      <x v="104"/>
    </i>
    <i r="2">
      <x v="105"/>
    </i>
    <i r="1">
      <x v="4"/>
      <x v="111"/>
    </i>
    <i r="2">
      <x v="112"/>
    </i>
    <i r="2">
      <x v="113"/>
    </i>
    <i t="default">
      <x v="9"/>
    </i>
    <i>
      <x v="10"/>
      <x/>
      <x v="5"/>
    </i>
    <i r="2">
      <x v="16"/>
    </i>
    <i r="2">
      <x v="27"/>
    </i>
    <i r="2">
      <x v="32"/>
    </i>
    <i r="1">
      <x v="1"/>
      <x v="50"/>
    </i>
    <i r="2">
      <x v="61"/>
    </i>
    <i r="2">
      <x v="72"/>
    </i>
    <i r="2">
      <x v="75"/>
    </i>
    <i r="2">
      <x v="76"/>
    </i>
    <i r="2">
      <x v="77"/>
    </i>
    <i r="2">
      <x v="78"/>
    </i>
    <i r="1">
      <x v="2"/>
      <x v="81"/>
    </i>
    <i r="2">
      <x v="83"/>
    </i>
    <i r="2">
      <x v="84"/>
    </i>
    <i r="2">
      <x v="85"/>
    </i>
    <i r="2">
      <x v="86"/>
    </i>
    <i t="default">
      <x v="10"/>
    </i>
    <i>
      <x v="11"/>
      <x/>
      <x v="5"/>
    </i>
    <i r="2">
      <x v="6"/>
    </i>
    <i r="2">
      <x v="16"/>
    </i>
    <i r="2">
      <x v="27"/>
    </i>
    <i r="2">
      <x v="32"/>
    </i>
    <i r="2">
      <x v="33"/>
    </i>
    <i r="2">
      <x v="34"/>
    </i>
    <i r="2">
      <x v="35"/>
    </i>
    <i r="2">
      <x v="36"/>
    </i>
    <i r="2">
      <x v="37"/>
    </i>
    <i r="1">
      <x v="1"/>
      <x v="50"/>
    </i>
    <i r="2">
      <x v="72"/>
    </i>
    <i r="2">
      <x v="75"/>
    </i>
    <i r="2">
      <x v="76"/>
    </i>
    <i r="1">
      <x v="2"/>
      <x v="81"/>
    </i>
    <i r="2">
      <x v="83"/>
    </i>
    <i r="2">
      <x v="84"/>
    </i>
    <i r="2">
      <x v="85"/>
    </i>
    <i r="1">
      <x v="3"/>
      <x v="91"/>
    </i>
    <i r="2">
      <x v="92"/>
    </i>
    <i r="2">
      <x v="93"/>
    </i>
    <i r="2">
      <x v="94"/>
    </i>
    <i r="2">
      <x v="95"/>
    </i>
    <i r="2">
      <x v="96"/>
    </i>
    <i r="2">
      <x v="97"/>
    </i>
    <i r="2">
      <x v="98"/>
    </i>
    <i r="2">
      <x v="99"/>
    </i>
    <i r="2">
      <x v="100"/>
    </i>
    <i r="2">
      <x v="101"/>
    </i>
    <i r="2">
      <x v="102"/>
    </i>
    <i r="2">
      <x v="103"/>
    </i>
    <i r="2">
      <x v="104"/>
    </i>
    <i r="2">
      <x v="105"/>
    </i>
    <i r="2">
      <x v="106"/>
    </i>
    <i r="2">
      <x v="107"/>
    </i>
    <i r="2">
      <x v="108"/>
    </i>
    <i r="2">
      <x v="109"/>
    </i>
    <i r="2">
      <x v="110"/>
    </i>
    <i r="1">
      <x v="4"/>
      <x v="111"/>
    </i>
    <i r="2">
      <x v="112"/>
    </i>
    <i r="2">
      <x v="113"/>
    </i>
    <i r="2">
      <x v="114"/>
    </i>
    <i r="2">
      <x v="115"/>
    </i>
    <i r="2">
      <x v="116"/>
    </i>
    <i r="2">
      <x v="117"/>
    </i>
    <i r="2">
      <x v="118"/>
    </i>
    <i t="default">
      <x v="11"/>
    </i>
    <i>
      <x v="12"/>
      <x/>
      <x v="5"/>
    </i>
    <i r="2">
      <x v="16"/>
    </i>
    <i r="2">
      <x v="27"/>
    </i>
    <i r="2">
      <x v="32"/>
    </i>
    <i r="1">
      <x v="1"/>
      <x v="50"/>
    </i>
    <i r="2">
      <x v="61"/>
    </i>
    <i r="2">
      <x v="72"/>
    </i>
    <i r="2">
      <x v="75"/>
    </i>
    <i r="2">
      <x v="76"/>
    </i>
    <i r="2">
      <x v="77"/>
    </i>
    <i r="2">
      <x v="78"/>
    </i>
    <i r="2">
      <x v="79"/>
    </i>
    <i r="1">
      <x v="2"/>
      <x v="81"/>
    </i>
    <i r="2">
      <x v="83"/>
    </i>
    <i r="2">
      <x v="84"/>
    </i>
    <i r="2">
      <x v="85"/>
    </i>
    <i r="2">
      <x v="86"/>
    </i>
    <i r="2">
      <x v="87"/>
    </i>
    <i r="2">
      <x v="88"/>
    </i>
    <i r="2">
      <x v="89"/>
    </i>
    <i r="1">
      <x v="3"/>
      <x v="91"/>
    </i>
    <i r="1">
      <x v="4"/>
      <x v="111"/>
    </i>
    <i r="2">
      <x v="112"/>
    </i>
    <i r="2">
      <x v="113"/>
    </i>
    <i r="1">
      <x v="5"/>
      <x v="119"/>
    </i>
    <i r="2">
      <x v="120"/>
    </i>
    <i r="2">
      <x v="121"/>
    </i>
    <i r="2">
      <x v="122"/>
    </i>
    <i t="default">
      <x v="12"/>
    </i>
    <i>
      <x v="13"/>
      <x/>
      <x v="5"/>
    </i>
    <i r="2">
      <x v="16"/>
    </i>
    <i r="2">
      <x v="27"/>
    </i>
    <i r="2">
      <x v="32"/>
    </i>
    <i r="2">
      <x v="33"/>
    </i>
    <i r="2">
      <x v="34"/>
    </i>
    <i r="1">
      <x v="1"/>
      <x v="50"/>
    </i>
    <i r="2">
      <x v="51"/>
    </i>
    <i r="2">
      <x v="52"/>
    </i>
    <i r="2">
      <x v="53"/>
    </i>
    <i r="2">
      <x v="54"/>
    </i>
    <i r="2">
      <x v="55"/>
    </i>
    <i r="2">
      <x v="56"/>
    </i>
    <i r="2">
      <x v="57"/>
    </i>
    <i r="2">
      <x v="61"/>
    </i>
    <i r="2">
      <x v="72"/>
    </i>
    <i r="2">
      <x v="75"/>
    </i>
    <i r="2">
      <x v="76"/>
    </i>
    <i r="2">
      <x v="77"/>
    </i>
    <i r="2">
      <x v="78"/>
    </i>
    <i r="2">
      <x v="79"/>
    </i>
    <i r="2">
      <x v="80"/>
    </i>
    <i r="1">
      <x v="2"/>
      <x v="81"/>
    </i>
    <i r="2">
      <x v="83"/>
    </i>
    <i r="2">
      <x v="84"/>
    </i>
    <i r="2">
      <x v="85"/>
    </i>
    <i r="1">
      <x v="3"/>
      <x v="91"/>
    </i>
    <i r="2">
      <x v="102"/>
    </i>
    <i r="1">
      <x v="4"/>
      <x v="111"/>
    </i>
    <i r="2">
      <x v="112"/>
    </i>
    <i t="default">
      <x v="13"/>
    </i>
    <i>
      <x v="14"/>
      <x/>
      <x v="5"/>
    </i>
    <i r="2">
      <x v="16"/>
    </i>
    <i r="2">
      <x v="27"/>
    </i>
    <i r="2">
      <x v="32"/>
    </i>
    <i r="1">
      <x v="1"/>
      <x v="50"/>
    </i>
    <i r="2">
      <x v="61"/>
    </i>
    <i r="2">
      <x v="72"/>
    </i>
    <i r="2">
      <x v="75"/>
    </i>
    <i r="2">
      <x v="76"/>
    </i>
    <i r="2">
      <x v="77"/>
    </i>
    <i r="1">
      <x v="2"/>
      <x v="81"/>
    </i>
    <i r="2">
      <x v="83"/>
    </i>
    <i r="2">
      <x v="84"/>
    </i>
    <i r="2">
      <x v="85"/>
    </i>
    <i r="1">
      <x v="3"/>
      <x v="91"/>
    </i>
    <i r="2">
      <x v="102"/>
    </i>
    <i r="2">
      <x v="104"/>
    </i>
    <i r="2">
      <x v="105"/>
    </i>
    <i r="1">
      <x v="4"/>
      <x v="111"/>
    </i>
    <i r="2">
      <x v="112"/>
    </i>
    <i r="2">
      <x v="113"/>
    </i>
    <i r="2">
      <x v="114"/>
    </i>
    <i r="1">
      <x v="5"/>
      <x v="119"/>
    </i>
    <i r="2">
      <x v="120"/>
    </i>
    <i r="2">
      <x v="121"/>
    </i>
    <i r="2">
      <x v="122"/>
    </i>
    <i r="1">
      <x v="6"/>
      <x v="124"/>
    </i>
    <i r="2">
      <x v="125"/>
    </i>
    <i r="2">
      <x v="126"/>
    </i>
    <i r="2">
      <x v="127"/>
    </i>
    <i r="2">
      <x v="128"/>
    </i>
    <i r="2">
      <x v="129"/>
    </i>
    <i r="2">
      <x v="130"/>
    </i>
    <i r="2">
      <x v="131"/>
    </i>
    <i r="2">
      <x v="132"/>
    </i>
    <i r="1">
      <x v="7"/>
      <x v="133"/>
    </i>
    <i r="2">
      <x v="134"/>
    </i>
    <i t="default">
      <x v="14"/>
    </i>
    <i>
      <x v="15"/>
      <x/>
      <x v="5"/>
    </i>
    <i r="2">
      <x v="16"/>
    </i>
    <i r="2">
      <x v="27"/>
    </i>
    <i r="2">
      <x v="32"/>
    </i>
    <i r="1">
      <x v="1"/>
      <x v="50"/>
    </i>
    <i r="2">
      <x v="61"/>
    </i>
    <i r="2">
      <x v="72"/>
    </i>
    <i r="2">
      <x v="75"/>
    </i>
    <i r="1">
      <x v="2"/>
      <x v="81"/>
    </i>
    <i r="2">
      <x v="83"/>
    </i>
    <i r="2">
      <x v="84"/>
    </i>
    <i r="2">
      <x v="85"/>
    </i>
    <i r="2">
      <x v="86"/>
    </i>
    <i r="2">
      <x v="87"/>
    </i>
    <i r="2">
      <x v="88"/>
    </i>
    <i r="1">
      <x v="3"/>
      <x v="91"/>
    </i>
    <i r="2">
      <x v="102"/>
    </i>
    <i r="2">
      <x v="104"/>
    </i>
    <i r="2">
      <x v="105"/>
    </i>
    <i r="2">
      <x v="106"/>
    </i>
    <i r="2">
      <x v="107"/>
    </i>
    <i r="2">
      <x v="108"/>
    </i>
    <i t="default">
      <x v="15"/>
    </i>
    <i t="grand">
      <x/>
    </i>
  </rowItems>
  <colFields count="1">
    <field x="-2"/>
  </colFields>
  <colItems count="2">
    <i>
      <x/>
    </i>
    <i i="1">
      <x v="1"/>
    </i>
  </colItems>
  <pageFields count="1">
    <pageField fld="10" hier="0"/>
  </pageFields>
  <dataFields count="2">
    <dataField name="SUM of Ponderación (%) _x000a_Sub actividad" fld="6" baseField="0"/>
    <dataField name="SUM of % avance Sub Actividad" fld="18" baseField="0"/>
  </dataFields>
  <pivotTableStyleInfo showRowHeaders="1" showColHeaders="1" showRowStripes="0" showColStripes="0" showLastColumn="1"/>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hyperlink" Target="https://docs.google.com/spreadsheets/d/1PjYVLAsw_7NJhwzDkJq-sIkLnMdBk8PPIsCHlQfbe1g/edit" TargetMode="External"/><Relationship Id="rId7" Type="http://schemas.openxmlformats.org/officeDocument/2006/relationships/printerSettings" Target="../printerSettings/printerSettings1.bin"/><Relationship Id="rId2" Type="http://schemas.openxmlformats.org/officeDocument/2006/relationships/hyperlink" Target="https://drive.google.com/drive/u/1/folders/14QnMYsMS7wO2sBV1-71RBcd1lSD8ayAA" TargetMode="External"/><Relationship Id="rId1" Type="http://schemas.openxmlformats.org/officeDocument/2006/relationships/hyperlink" Target="https://drive.google.com/drive/u/1/folders/1NAd1Lbhxg1HmeqaV_dSmA9malL67LQUW" TargetMode="External"/><Relationship Id="rId6" Type="http://schemas.openxmlformats.org/officeDocument/2006/relationships/hyperlink" Target="https://www.youtube.com/watch?v=XOo4RalZqmI&amp;t=108s" TargetMode="External"/><Relationship Id="rId5" Type="http://schemas.openxmlformats.org/officeDocument/2006/relationships/hyperlink" Target="http://www.upme.gov.co/CostosEnergia.asp" TargetMode="External"/><Relationship Id="rId4" Type="http://schemas.openxmlformats.org/officeDocument/2006/relationships/hyperlink" Target="https://www1.upme.gov.co/InformacionCifras/Paginas/precios-energia-electrica-comparacion-paises.aspx"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funcionpublica.gov.co/documents/418537/506911/GuiaConstruccionyAnalisisIndicadoresGestionV3_Noviembre2015/dd2a4557-5ca1-48e3-aa49-3e688aeabfb2"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topLeftCell="C1" workbookViewId="0">
      <selection activeCell="C11" sqref="C11"/>
    </sheetView>
  </sheetViews>
  <sheetFormatPr baseColWidth="10" defaultRowHeight="14.25"/>
  <cols>
    <col min="1" max="1" width="31.625" customWidth="1"/>
    <col min="2" max="2" width="38.875" customWidth="1"/>
    <col min="3" max="3" width="30.5" bestFit="1" customWidth="1"/>
  </cols>
  <sheetData>
    <row r="1" spans="1:3">
      <c r="A1" s="113" t="s">
        <v>14</v>
      </c>
      <c r="B1" t="s">
        <v>1299</v>
      </c>
    </row>
    <row r="2" spans="1:3">
      <c r="A2" s="113" t="s">
        <v>4</v>
      </c>
      <c r="B2" t="s">
        <v>1160</v>
      </c>
    </row>
    <row r="4" spans="1:3">
      <c r="A4" s="113" t="s">
        <v>1297</v>
      </c>
      <c r="B4" t="s">
        <v>1300</v>
      </c>
      <c r="C4" t="s">
        <v>1298</v>
      </c>
    </row>
    <row r="5" spans="1:3">
      <c r="A5" s="116">
        <v>44197</v>
      </c>
      <c r="B5" s="115">
        <v>1.2500000000000001E-2</v>
      </c>
      <c r="C5" s="115">
        <v>1.2500000000000001E-2</v>
      </c>
    </row>
    <row r="6" spans="1:3">
      <c r="A6" s="116">
        <v>44198</v>
      </c>
      <c r="B6" s="115">
        <v>1.2500000000000001E-2</v>
      </c>
      <c r="C6" s="115">
        <v>1.2500000000000001E-2</v>
      </c>
    </row>
    <row r="7" spans="1:3">
      <c r="A7" s="116">
        <v>44199</v>
      </c>
      <c r="B7" s="115">
        <v>0</v>
      </c>
      <c r="C7" s="115">
        <v>0</v>
      </c>
    </row>
    <row r="8" spans="1:3">
      <c r="A8" s="116">
        <v>44200</v>
      </c>
      <c r="B8" s="115">
        <v>0.01</v>
      </c>
      <c r="C8" s="115">
        <v>5.0000000000000001E-3</v>
      </c>
    </row>
    <row r="9" spans="1:3">
      <c r="A9" s="116">
        <v>44201</v>
      </c>
      <c r="B9" s="115">
        <v>1.6799999999999999E-2</v>
      </c>
      <c r="C9" s="115">
        <v>1.6799999999999999E-2</v>
      </c>
    </row>
    <row r="10" spans="1:3">
      <c r="A10" s="116">
        <v>44228</v>
      </c>
      <c r="B10" s="115">
        <v>1.2500000000000001E-2</v>
      </c>
      <c r="C10" s="115">
        <v>1.2500000000000001E-2</v>
      </c>
    </row>
    <row r="11" spans="1:3">
      <c r="A11" s="116">
        <v>44229</v>
      </c>
      <c r="B11" s="115">
        <v>1.2500000000000001E-2</v>
      </c>
      <c r="C11" s="115">
        <v>1.2500000000000001E-2</v>
      </c>
    </row>
    <row r="12" spans="1:3">
      <c r="A12" s="116">
        <v>44230</v>
      </c>
      <c r="B12" s="115">
        <v>7.4999999999999997E-3</v>
      </c>
      <c r="C12" s="115">
        <v>2.3E-3</v>
      </c>
    </row>
    <row r="13" spans="1:3">
      <c r="A13" s="116">
        <v>44231</v>
      </c>
      <c r="B13" s="115">
        <v>5.0000000000000001E-3</v>
      </c>
      <c r="C13" s="115">
        <v>5.0000000000000001E-3</v>
      </c>
    </row>
    <row r="14" spans="1:3">
      <c r="A14" s="116">
        <v>44232</v>
      </c>
      <c r="B14" s="115">
        <v>1.6799999999999999E-2</v>
      </c>
      <c r="C14" s="115">
        <v>1.6799999999999999E-2</v>
      </c>
    </row>
    <row r="15" spans="1:3">
      <c r="A15" s="116">
        <v>44256</v>
      </c>
      <c r="B15" s="115">
        <v>1.2500000000000001E-2</v>
      </c>
      <c r="C15" s="115">
        <v>1.2500000000000001E-2</v>
      </c>
    </row>
    <row r="16" spans="1:3">
      <c r="A16" s="116">
        <v>44258</v>
      </c>
      <c r="B16" s="115">
        <v>5.0000000000000001E-3</v>
      </c>
      <c r="C16" s="115">
        <v>2.5000000000000001E-3</v>
      </c>
    </row>
    <row r="17" spans="1:3">
      <c r="A17" s="116">
        <v>44259</v>
      </c>
      <c r="B17" s="115">
        <v>5.0000000000000001E-3</v>
      </c>
      <c r="C17" s="115">
        <v>5.0000000000000001E-3</v>
      </c>
    </row>
    <row r="18" spans="1:3">
      <c r="A18" s="116">
        <v>44287</v>
      </c>
      <c r="B18" s="115">
        <v>1.2500000000000001E-2</v>
      </c>
      <c r="C18" s="115">
        <v>1.2500000000000001E-2</v>
      </c>
    </row>
    <row r="19" spans="1:3">
      <c r="A19" s="116">
        <v>44289</v>
      </c>
      <c r="B19" s="115">
        <v>5.0000000000000001E-3</v>
      </c>
      <c r="C19" s="115">
        <v>2.9999999999999997E-4</v>
      </c>
    </row>
    <row r="20" spans="1:3">
      <c r="A20" s="116">
        <v>44290</v>
      </c>
      <c r="B20" s="115">
        <v>0.01</v>
      </c>
      <c r="C20" s="115">
        <v>0.01</v>
      </c>
    </row>
    <row r="21" spans="1:3">
      <c r="A21" s="116">
        <v>44317</v>
      </c>
      <c r="B21" s="115">
        <v>1.2500000000000001E-2</v>
      </c>
      <c r="C21" s="115">
        <v>1.2500000000000001E-2</v>
      </c>
    </row>
    <row r="22" spans="1:3">
      <c r="A22" s="116">
        <v>44319</v>
      </c>
      <c r="B22" s="115">
        <v>7.4999999999999997E-3</v>
      </c>
      <c r="C22" s="115">
        <v>8.0000000000000004E-4</v>
      </c>
    </row>
    <row r="23" spans="1:3">
      <c r="A23" s="116">
        <v>44320</v>
      </c>
      <c r="B23" s="115">
        <v>5.0000000000000001E-3</v>
      </c>
      <c r="C23" s="115">
        <v>5.0000000000000001E-3</v>
      </c>
    </row>
    <row r="24" spans="1:3">
      <c r="A24" s="116">
        <v>44348</v>
      </c>
      <c r="B24" s="115">
        <v>1.2500000000000001E-2</v>
      </c>
      <c r="C24" s="115">
        <v>1.2500000000000001E-2</v>
      </c>
    </row>
    <row r="25" spans="1:3">
      <c r="A25" s="116">
        <v>44351</v>
      </c>
      <c r="B25" s="115">
        <v>5.0000000000000001E-3</v>
      </c>
      <c r="C25" s="115">
        <v>5.0000000000000001E-3</v>
      </c>
    </row>
    <row r="26" spans="1:3">
      <c r="A26" s="116">
        <v>44378</v>
      </c>
      <c r="B26" s="115">
        <v>1.2500000000000001E-2</v>
      </c>
      <c r="C26" s="115">
        <v>1.2500000000000001E-2</v>
      </c>
    </row>
    <row r="27" spans="1:3">
      <c r="A27" s="116">
        <v>44381</v>
      </c>
      <c r="B27" s="115">
        <v>5.0000000000000001E-3</v>
      </c>
      <c r="C27" s="115">
        <v>5.0000000000000001E-3</v>
      </c>
    </row>
    <row r="28" spans="1:3">
      <c r="A28" s="116">
        <v>44412</v>
      </c>
      <c r="B28" s="115">
        <v>0.01</v>
      </c>
      <c r="C28" s="115">
        <v>0.01</v>
      </c>
    </row>
    <row r="29" spans="1:3">
      <c r="A29" s="116">
        <v>44443</v>
      </c>
      <c r="B29" s="115">
        <v>0.01</v>
      </c>
      <c r="C29" s="115">
        <v>0.01</v>
      </c>
    </row>
    <row r="30" spans="1:3">
      <c r="A30" s="116">
        <v>44473</v>
      </c>
      <c r="B30" s="115">
        <v>1.4999999999999999E-2</v>
      </c>
      <c r="C30" s="115">
        <v>1.4999999999999999E-2</v>
      </c>
    </row>
    <row r="31" spans="1:3">
      <c r="A31" s="114" t="s">
        <v>1286</v>
      </c>
      <c r="B31" s="115">
        <v>0.2511000000000001</v>
      </c>
      <c r="C31" s="115">
        <v>0.22700000000000009</v>
      </c>
    </row>
  </sheetData>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01"/>
  <sheetViews>
    <sheetView workbookViewId="0"/>
  </sheetViews>
  <sheetFormatPr baseColWidth="10" defaultColWidth="12.625" defaultRowHeight="15" customHeight="1"/>
  <cols>
    <col min="1" max="1" width="48.875" customWidth="1"/>
    <col min="2" max="2" width="21.75" customWidth="1"/>
    <col min="3" max="26" width="9.375" customWidth="1"/>
  </cols>
  <sheetData>
    <row r="1" spans="1:2">
      <c r="A1" s="43" t="s">
        <v>1263</v>
      </c>
      <c r="B1" s="44"/>
    </row>
    <row r="2" spans="1:2">
      <c r="A2" s="31" t="s">
        <v>166</v>
      </c>
    </row>
    <row r="3" spans="1:2">
      <c r="A3" s="32" t="s">
        <v>92</v>
      </c>
    </row>
    <row r="4" spans="1:2">
      <c r="A4" s="32" t="s">
        <v>32</v>
      </c>
    </row>
    <row r="5" spans="1:2">
      <c r="A5" s="31" t="s">
        <v>797</v>
      </c>
    </row>
    <row r="6" spans="1:2">
      <c r="A6" s="32" t="s">
        <v>554</v>
      </c>
    </row>
    <row r="7" spans="1:2">
      <c r="A7" s="31" t="s">
        <v>328</v>
      </c>
    </row>
    <row r="8" spans="1:2">
      <c r="A8" s="32" t="s">
        <v>372</v>
      </c>
    </row>
    <row r="9" spans="1:2">
      <c r="A9" s="31" t="s">
        <v>1116</v>
      </c>
    </row>
    <row r="10" spans="1:2">
      <c r="A10" s="31" t="s">
        <v>929</v>
      </c>
    </row>
    <row r="11" spans="1:2">
      <c r="A11" s="31" t="s">
        <v>1025</v>
      </c>
    </row>
    <row r="12" spans="1:2">
      <c r="A12" s="31" t="s">
        <v>1062</v>
      </c>
    </row>
    <row r="13" spans="1:2">
      <c r="A13" s="31" t="s">
        <v>422</v>
      </c>
    </row>
    <row r="14" spans="1:2">
      <c r="A14" s="32" t="s">
        <v>1264</v>
      </c>
    </row>
    <row r="15" spans="1:2">
      <c r="A15" s="31" t="s">
        <v>839</v>
      </c>
    </row>
    <row r="16" spans="1:2">
      <c r="A16" s="31" t="s">
        <v>487</v>
      </c>
    </row>
    <row r="17" spans="1:1">
      <c r="A17" s="31" t="s">
        <v>1160</v>
      </c>
    </row>
    <row r="18" spans="1:1">
      <c r="A18" s="31" t="s">
        <v>671</v>
      </c>
    </row>
    <row r="19" spans="1:1">
      <c r="A19" s="31" t="s">
        <v>40</v>
      </c>
    </row>
    <row r="22" spans="1:1" ht="15.75" customHeight="1"/>
    <row r="23" spans="1:1" ht="15.75" customHeight="1"/>
    <row r="24" spans="1:1" ht="15.75" customHeight="1"/>
    <row r="25" spans="1:1" ht="15.75" customHeight="1"/>
    <row r="26" spans="1:1" ht="15.75" customHeight="1"/>
    <row r="27" spans="1:1" ht="15.75" customHeight="1"/>
    <row r="28" spans="1:1" ht="15.75" customHeight="1"/>
    <row r="29" spans="1:1" ht="15.75" customHeight="1"/>
    <row r="30" spans="1:1" ht="15.75" customHeight="1"/>
    <row r="31" spans="1:1" ht="15.75" customHeight="1"/>
    <row r="32" spans="1: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
  <sheetViews>
    <sheetView showGridLines="0" workbookViewId="0"/>
  </sheetViews>
  <sheetFormatPr baseColWidth="10" defaultColWidth="12.625" defaultRowHeight="15" customHeight="1"/>
  <cols>
    <col min="1" max="1" width="3.625" customWidth="1"/>
  </cols>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5"/>
  <sheetViews>
    <sheetView workbookViewId="0"/>
  </sheetViews>
  <sheetFormatPr baseColWidth="10" defaultColWidth="12.625" defaultRowHeight="15" customHeight="1"/>
  <cols>
    <col min="1" max="1" width="14.25" customWidth="1"/>
  </cols>
  <sheetData>
    <row r="1" spans="1:1">
      <c r="A1" s="45" t="s">
        <v>1265</v>
      </c>
    </row>
    <row r="2" spans="1:1">
      <c r="A2" s="46" t="s">
        <v>1266</v>
      </c>
    </row>
    <row r="3" spans="1:1">
      <c r="A3" s="46" t="s">
        <v>1267</v>
      </c>
    </row>
    <row r="4" spans="1:1">
      <c r="A4" s="46" t="s">
        <v>1268</v>
      </c>
    </row>
    <row r="5" spans="1:1">
      <c r="A5" s="46" t="s">
        <v>1269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C13"/>
  <sheetViews>
    <sheetView workbookViewId="0"/>
  </sheetViews>
  <sheetFormatPr baseColWidth="10" defaultColWidth="12.625" defaultRowHeight="15" customHeight="1"/>
  <sheetData>
    <row r="1" spans="1:3">
      <c r="A1" s="32" t="s">
        <v>97</v>
      </c>
      <c r="C1" s="32" t="s">
        <v>26</v>
      </c>
    </row>
    <row r="2" spans="1:3">
      <c r="A2" s="32" t="s">
        <v>108</v>
      </c>
      <c r="C2" s="32" t="s">
        <v>27</v>
      </c>
    </row>
    <row r="3" spans="1:3">
      <c r="A3" s="32" t="s">
        <v>45</v>
      </c>
      <c r="C3" s="32" t="s">
        <v>28</v>
      </c>
    </row>
    <row r="4" spans="1:3">
      <c r="A4" s="32" t="s">
        <v>109</v>
      </c>
      <c r="C4" s="32" t="s">
        <v>29</v>
      </c>
    </row>
    <row r="5" spans="1:3">
      <c r="A5" s="32" t="s">
        <v>128</v>
      </c>
    </row>
    <row r="6" spans="1:3">
      <c r="A6" s="32" t="s">
        <v>111</v>
      </c>
    </row>
    <row r="7" spans="1:3">
      <c r="A7" s="32" t="s">
        <v>113</v>
      </c>
    </row>
    <row r="8" spans="1:3">
      <c r="A8" s="32" t="s">
        <v>133</v>
      </c>
    </row>
    <row r="9" spans="1:3">
      <c r="A9" s="32" t="s">
        <v>115</v>
      </c>
    </row>
    <row r="10" spans="1:3">
      <c r="A10" s="32" t="s">
        <v>117</v>
      </c>
    </row>
    <row r="11" spans="1:3">
      <c r="A11" s="32" t="s">
        <v>138</v>
      </c>
    </row>
    <row r="12" spans="1:3">
      <c r="A12" s="32" t="s">
        <v>39</v>
      </c>
    </row>
    <row r="13" spans="1:3">
      <c r="A13" s="32" t="s">
        <v>176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00"/>
  <sheetViews>
    <sheetView workbookViewId="0"/>
  </sheetViews>
  <sheetFormatPr baseColWidth="10" defaultColWidth="12.625" defaultRowHeight="15" customHeight="1"/>
  <cols>
    <col min="1" max="1" width="30.375" customWidth="1"/>
    <col min="2" max="2" width="61" customWidth="1"/>
    <col min="3" max="26" width="9.375" customWidth="1"/>
  </cols>
  <sheetData>
    <row r="1" spans="1:2">
      <c r="A1" s="44" t="s">
        <v>1270</v>
      </c>
      <c r="B1" s="44" t="s">
        <v>1271</v>
      </c>
    </row>
    <row r="2" spans="1:2" ht="14.25">
      <c r="A2" s="47" t="s">
        <v>560</v>
      </c>
      <c r="B2" s="47" t="s">
        <v>561</v>
      </c>
    </row>
    <row r="3" spans="1:2" ht="25.5">
      <c r="A3" s="47" t="s">
        <v>41</v>
      </c>
      <c r="B3" s="47" t="s">
        <v>1272</v>
      </c>
    </row>
    <row r="4" spans="1:2" ht="14.25">
      <c r="A4" s="47" t="s">
        <v>64</v>
      </c>
      <c r="B4" s="47" t="s">
        <v>42</v>
      </c>
    </row>
    <row r="5" spans="1:2" ht="14.25">
      <c r="A5" s="47" t="s">
        <v>181</v>
      </c>
      <c r="B5" s="47" t="s">
        <v>223</v>
      </c>
    </row>
    <row r="6" spans="1:2" ht="14.25">
      <c r="A6" s="47" t="s">
        <v>237</v>
      </c>
      <c r="B6" s="47" t="s">
        <v>65</v>
      </c>
    </row>
    <row r="7" spans="1:2" ht="14.25">
      <c r="A7" s="47" t="s">
        <v>251</v>
      </c>
      <c r="B7" s="47" t="s">
        <v>428</v>
      </c>
    </row>
    <row r="8" spans="1:2" ht="14.25">
      <c r="A8" s="47" t="s">
        <v>98</v>
      </c>
      <c r="B8" s="47" t="s">
        <v>748</v>
      </c>
    </row>
    <row r="9" spans="1:2" ht="14.25">
      <c r="B9" s="47" t="s">
        <v>404</v>
      </c>
    </row>
    <row r="10" spans="1:2" ht="14.25">
      <c r="B10" s="47" t="s">
        <v>474</v>
      </c>
    </row>
    <row r="11" spans="1:2" ht="14.25">
      <c r="B11" s="47" t="s">
        <v>643</v>
      </c>
    </row>
    <row r="12" spans="1:2" ht="14.25">
      <c r="B12" s="47" t="s">
        <v>1273</v>
      </c>
    </row>
    <row r="13" spans="1:2" ht="14.25">
      <c r="B13" s="47" t="s">
        <v>81</v>
      </c>
    </row>
    <row r="14" spans="1:2" ht="14.25">
      <c r="B14" s="47" t="s">
        <v>182</v>
      </c>
    </row>
    <row r="15" spans="1:2" ht="14.25">
      <c r="B15" s="47" t="s">
        <v>814</v>
      </c>
    </row>
    <row r="16" spans="1:2" ht="14.25">
      <c r="B16" s="47" t="s">
        <v>252</v>
      </c>
    </row>
    <row r="17" spans="2:2" ht="14.25">
      <c r="B17" s="47" t="s">
        <v>99</v>
      </c>
    </row>
    <row r="18" spans="2:2" ht="14.25">
      <c r="B18" s="47" t="s">
        <v>395</v>
      </c>
    </row>
    <row r="19" spans="2:2" ht="14.25">
      <c r="B19" s="47" t="s">
        <v>450</v>
      </c>
    </row>
    <row r="21" spans="2:2" ht="15.75" customHeight="1"/>
    <row r="22" spans="2:2" ht="15.75" customHeight="1"/>
    <row r="23" spans="2:2" ht="15.75" customHeight="1"/>
    <row r="24" spans="2:2" ht="15.75" customHeight="1"/>
    <row r="25" spans="2:2" ht="15.75" customHeight="1"/>
    <row r="26" spans="2:2" ht="15.75" customHeight="1"/>
    <row r="27" spans="2:2" ht="15.75" customHeight="1"/>
    <row r="28" spans="2:2" ht="15.75" customHeight="1"/>
    <row r="29" spans="2:2" ht="15.75" customHeight="1"/>
    <row r="30" spans="2:2" ht="15.75" customHeight="1"/>
    <row r="31" spans="2:2" ht="15.75" customHeight="1"/>
    <row r="32" spans="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2.625" defaultRowHeight="15" customHeight="1"/>
  <cols>
    <col min="1" max="1" width="61.125" customWidth="1"/>
    <col min="2" max="26" width="9.375" customWidth="1"/>
  </cols>
  <sheetData>
    <row r="1" spans="1:1">
      <c r="A1" s="44" t="s">
        <v>1274</v>
      </c>
    </row>
    <row r="2" spans="1:1">
      <c r="A2" s="31" t="s">
        <v>816</v>
      </c>
    </row>
    <row r="3" spans="1:1">
      <c r="A3" s="31" t="s">
        <v>224</v>
      </c>
    </row>
    <row r="4" spans="1:1">
      <c r="A4" s="31" t="s">
        <v>615</v>
      </c>
    </row>
    <row r="5" spans="1:1">
      <c r="A5" s="31" t="s">
        <v>585</v>
      </c>
    </row>
    <row r="6" spans="1:1">
      <c r="A6" s="31" t="s">
        <v>563</v>
      </c>
    </row>
    <row r="7" spans="1:1">
      <c r="A7" s="31" t="s">
        <v>575</v>
      </c>
    </row>
    <row r="8" spans="1:1">
      <c r="A8" s="31" t="s">
        <v>569</v>
      </c>
    </row>
    <row r="9" spans="1:1">
      <c r="A9" s="31" t="s">
        <v>580</v>
      </c>
    </row>
    <row r="10" spans="1:1">
      <c r="A10" s="31" t="s">
        <v>173</v>
      </c>
    </row>
    <row r="11" spans="1:1">
      <c r="A11" s="31" t="s">
        <v>1275</v>
      </c>
    </row>
    <row r="12" spans="1:1">
      <c r="A12" s="31" t="s">
        <v>1276</v>
      </c>
    </row>
    <row r="13" spans="1:1">
      <c r="A13" s="31" t="s">
        <v>1277</v>
      </c>
    </row>
    <row r="14" spans="1:1">
      <c r="A14" s="31" t="s">
        <v>40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00"/>
  <sheetViews>
    <sheetView workbookViewId="0"/>
  </sheetViews>
  <sheetFormatPr baseColWidth="10" defaultColWidth="12.625" defaultRowHeight="15" customHeight="1"/>
  <cols>
    <col min="1" max="1" width="2.625" customWidth="1"/>
    <col min="2" max="2" width="43.75" customWidth="1"/>
    <col min="3" max="26" width="9.375" customWidth="1"/>
  </cols>
  <sheetData>
    <row r="1" spans="1:6">
      <c r="B1" s="48" t="s">
        <v>1278</v>
      </c>
    </row>
    <row r="2" spans="1:6">
      <c r="A2" s="49"/>
      <c r="B2" s="31" t="s">
        <v>44</v>
      </c>
      <c r="F2" s="49"/>
    </row>
    <row r="3" spans="1:6">
      <c r="A3" s="49"/>
      <c r="B3" s="31" t="s">
        <v>677</v>
      </c>
      <c r="F3" s="49"/>
    </row>
    <row r="4" spans="1:6">
      <c r="A4" s="49"/>
      <c r="B4" s="31" t="s">
        <v>430</v>
      </c>
      <c r="F4" s="49"/>
    </row>
    <row r="5" spans="1:6">
      <c r="A5" s="49"/>
      <c r="B5" s="31" t="s">
        <v>935</v>
      </c>
      <c r="F5" s="49"/>
    </row>
    <row r="6" spans="1:6">
      <c r="A6" s="49"/>
      <c r="B6" s="31" t="s">
        <v>846</v>
      </c>
      <c r="F6" s="49"/>
    </row>
    <row r="7" spans="1:6">
      <c r="A7" s="49"/>
      <c r="B7" s="31" t="s">
        <v>496</v>
      </c>
      <c r="F7" s="49"/>
    </row>
    <row r="8" spans="1:6">
      <c r="A8" s="49"/>
      <c r="B8" s="31" t="s">
        <v>704</v>
      </c>
      <c r="F8" s="49"/>
    </row>
    <row r="9" spans="1:6">
      <c r="A9" s="49"/>
      <c r="B9" s="31" t="s">
        <v>475</v>
      </c>
      <c r="F9" s="49"/>
    </row>
    <row r="10" spans="1:6">
      <c r="A10" s="49"/>
      <c r="B10" s="31" t="s">
        <v>1279</v>
      </c>
      <c r="F10" s="49"/>
    </row>
    <row r="11" spans="1:6">
      <c r="A11" s="49"/>
      <c r="B11" s="31" t="s">
        <v>693</v>
      </c>
      <c r="F11" s="49"/>
    </row>
    <row r="12" spans="1:6">
      <c r="A12" s="49"/>
      <c r="B12" s="31" t="s">
        <v>562</v>
      </c>
      <c r="F12" s="49"/>
    </row>
    <row r="13" spans="1:6">
      <c r="A13" s="49"/>
      <c r="B13" s="31" t="s">
        <v>333</v>
      </c>
      <c r="F13" s="49"/>
    </row>
    <row r="14" spans="1:6">
      <c r="A14" s="49"/>
      <c r="B14" s="31" t="s">
        <v>644</v>
      </c>
      <c r="F14" s="49"/>
    </row>
    <row r="15" spans="1:6">
      <c r="A15" s="49"/>
      <c r="B15" s="31" t="s">
        <v>719</v>
      </c>
      <c r="F15" s="49"/>
    </row>
    <row r="16" spans="1:6">
      <c r="A16" s="49"/>
      <c r="B16" s="31" t="s">
        <v>414</v>
      </c>
      <c r="F16" s="49"/>
    </row>
    <row r="17" spans="1:6">
      <c r="A17" s="49"/>
      <c r="B17" s="31" t="s">
        <v>396</v>
      </c>
      <c r="F17" s="49"/>
    </row>
    <row r="18" spans="1:6">
      <c r="A18" s="49"/>
      <c r="B18" s="31" t="s">
        <v>832</v>
      </c>
      <c r="F18" s="49"/>
    </row>
    <row r="19" spans="1:6">
      <c r="A19" s="49"/>
      <c r="B19" s="31" t="s">
        <v>815</v>
      </c>
      <c r="F19" s="49"/>
    </row>
    <row r="20" spans="1:6">
      <c r="A20" s="49"/>
      <c r="B20" s="31" t="s">
        <v>101</v>
      </c>
      <c r="F20" s="49"/>
    </row>
    <row r="21" spans="1:6" ht="15.75" customHeight="1">
      <c r="A21" s="49"/>
      <c r="B21" s="31" t="s">
        <v>1280</v>
      </c>
      <c r="F21" s="49"/>
    </row>
    <row r="22" spans="1:6" ht="15.75" customHeight="1">
      <c r="A22" s="49"/>
      <c r="B22" s="31" t="s">
        <v>264</v>
      </c>
      <c r="F22" s="49"/>
    </row>
    <row r="23" spans="1:6" ht="15.75" customHeight="1"/>
    <row r="24" spans="1:6" ht="15.75" customHeight="1"/>
    <row r="25" spans="1:6" ht="15.75" customHeight="1"/>
    <row r="26" spans="1:6" ht="15.75" customHeight="1"/>
    <row r="27" spans="1:6" ht="15.75" customHeight="1"/>
    <row r="28" spans="1:6" ht="15.75" customHeight="1"/>
    <row r="29" spans="1:6" ht="15.75" customHeight="1"/>
    <row r="30" spans="1:6" ht="15.75" customHeight="1"/>
    <row r="31" spans="1:6" ht="15.75" customHeight="1"/>
    <row r="32" spans="1:6"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2.625" defaultRowHeight="15" customHeight="1"/>
  <cols>
    <col min="1" max="1" width="103.125" customWidth="1"/>
    <col min="2" max="26" width="9.375" customWidth="1"/>
  </cols>
  <sheetData>
    <row r="1" spans="1:1">
      <c r="A1" s="48" t="s">
        <v>1281</v>
      </c>
    </row>
    <row r="2" spans="1:1">
      <c r="A2" s="31" t="s">
        <v>429</v>
      </c>
    </row>
    <row r="3" spans="1:1">
      <c r="A3" s="31" t="s">
        <v>100</v>
      </c>
    </row>
    <row r="4" spans="1:1">
      <c r="A4" s="31" t="s">
        <v>443</v>
      </c>
    </row>
    <row r="5" spans="1:1">
      <c r="A5" s="31" t="s">
        <v>495</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1:A1000"/>
  <sheetViews>
    <sheetView workbookViewId="0"/>
  </sheetViews>
  <sheetFormatPr baseColWidth="10" defaultColWidth="12.625" defaultRowHeight="15" customHeight="1"/>
  <cols>
    <col min="1" max="26" width="9.375"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1000"/>
  <sheetViews>
    <sheetView workbookViewId="0"/>
  </sheetViews>
  <sheetFormatPr baseColWidth="10" defaultColWidth="12.625" defaultRowHeight="15" customHeight="1"/>
  <cols>
    <col min="1" max="26" width="9.375" customWidth="1"/>
  </cols>
  <sheetData>
    <row r="2" spans="1:1">
      <c r="A2" s="31" t="s">
        <v>1166</v>
      </c>
    </row>
    <row r="3" spans="1:1">
      <c r="A3" s="31" t="s">
        <v>845</v>
      </c>
    </row>
    <row r="4" spans="1:1">
      <c r="A4" s="31" t="s">
        <v>442</v>
      </c>
    </row>
    <row r="5" spans="1:1">
      <c r="A5" s="31" t="s">
        <v>957</v>
      </c>
    </row>
    <row r="6" spans="1:1">
      <c r="A6" s="31" t="s">
        <v>193</v>
      </c>
    </row>
    <row r="7" spans="1:1">
      <c r="A7" s="31" t="s">
        <v>1282</v>
      </c>
    </row>
    <row r="8" spans="1:1">
      <c r="A8" s="31" t="s">
        <v>494</v>
      </c>
    </row>
    <row r="9" spans="1:1">
      <c r="A9" s="31" t="s">
        <v>40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41"/>
  <sheetViews>
    <sheetView tabSelected="1" view="pageBreakPreview" zoomScale="55" zoomScaleNormal="100" zoomScaleSheetLayoutView="55" workbookViewId="0">
      <pane ySplit="3" topLeftCell="A4" activePane="bottomLeft" state="frozen"/>
      <selection pane="bottomLeft" sqref="A1:T1"/>
    </sheetView>
  </sheetViews>
  <sheetFormatPr baseColWidth="10" defaultColWidth="12.625" defaultRowHeight="14.25"/>
  <cols>
    <col min="1" max="1" width="19.25" style="40" customWidth="1"/>
    <col min="2" max="2" width="13.625" style="40" customWidth="1"/>
    <col min="3" max="3" width="31.75" style="40" customWidth="1"/>
    <col min="4" max="4" width="15.125" style="40" customWidth="1"/>
    <col min="5" max="5" width="14.125" style="40" customWidth="1"/>
    <col min="6" max="6" width="35.875" style="40" customWidth="1"/>
    <col min="7" max="11" width="27.375" style="40" customWidth="1"/>
    <col min="12" max="12" width="31.625" style="40" customWidth="1"/>
    <col min="13" max="13" width="20.5" style="40" customWidth="1"/>
    <col min="14" max="14" width="42.875" style="40" customWidth="1"/>
    <col min="15" max="15" width="31.125" style="40" customWidth="1"/>
    <col min="16" max="16" width="51.875" style="40" customWidth="1"/>
    <col min="17" max="17" width="45.625" style="40" customWidth="1"/>
    <col min="18" max="18" width="27.25" style="40" customWidth="1"/>
    <col min="19" max="19" width="18.875" style="40" customWidth="1"/>
    <col min="20" max="20" width="18.375" style="40" customWidth="1"/>
    <col min="21" max="22" width="55.75" style="40" customWidth="1"/>
    <col min="23" max="35" width="9.375" style="40" customWidth="1"/>
    <col min="36" max="16384" width="12.625" style="40"/>
  </cols>
  <sheetData>
    <row r="1" spans="1:35" ht="31.5">
      <c r="A1" s="117" t="s">
        <v>0</v>
      </c>
      <c r="B1" s="118"/>
      <c r="C1" s="118"/>
      <c r="D1" s="118"/>
      <c r="E1" s="118"/>
      <c r="F1" s="118"/>
      <c r="G1" s="118"/>
      <c r="H1" s="118"/>
      <c r="I1" s="118"/>
      <c r="J1" s="118"/>
      <c r="K1" s="118"/>
      <c r="L1" s="118"/>
      <c r="M1" s="118"/>
      <c r="N1" s="118"/>
      <c r="O1" s="118"/>
      <c r="P1" s="118"/>
      <c r="Q1" s="118"/>
      <c r="R1" s="118"/>
      <c r="S1" s="118"/>
      <c r="T1" s="119"/>
      <c r="U1" s="69"/>
      <c r="V1" s="69"/>
      <c r="W1" s="70"/>
      <c r="X1" s="70"/>
      <c r="Y1" s="70"/>
      <c r="Z1" s="70"/>
      <c r="AA1" s="70"/>
      <c r="AB1" s="70"/>
      <c r="AC1" s="70"/>
      <c r="AD1" s="70"/>
      <c r="AE1" s="70"/>
      <c r="AF1" s="70"/>
      <c r="AG1" s="70"/>
      <c r="AH1" s="70"/>
      <c r="AI1" s="70"/>
    </row>
    <row r="2" spans="1:35" ht="32.25" thickBot="1">
      <c r="A2" s="120" t="s">
        <v>1</v>
      </c>
      <c r="B2" s="118"/>
      <c r="C2" s="118"/>
      <c r="D2" s="118"/>
      <c r="E2" s="118"/>
      <c r="F2" s="118"/>
      <c r="G2" s="118"/>
      <c r="H2" s="118"/>
      <c r="I2" s="118"/>
      <c r="J2" s="118"/>
      <c r="K2" s="119"/>
      <c r="L2" s="121" t="s">
        <v>2</v>
      </c>
      <c r="M2" s="122"/>
      <c r="N2" s="122"/>
      <c r="O2" s="122"/>
      <c r="P2" s="122"/>
      <c r="Q2" s="122"/>
      <c r="R2" s="123"/>
      <c r="S2" s="124" t="s">
        <v>3</v>
      </c>
      <c r="T2" s="123"/>
      <c r="U2" s="69"/>
      <c r="V2" s="69"/>
      <c r="W2" s="70"/>
      <c r="X2" s="70"/>
      <c r="Y2" s="70"/>
      <c r="Z2" s="70"/>
      <c r="AA2" s="70"/>
      <c r="AB2" s="70"/>
      <c r="AC2" s="70"/>
      <c r="AD2" s="70"/>
      <c r="AE2" s="70"/>
      <c r="AF2" s="70"/>
      <c r="AG2" s="70"/>
      <c r="AH2" s="70"/>
      <c r="AI2" s="70"/>
    </row>
    <row r="3" spans="1:35" ht="30">
      <c r="A3" s="86" t="s">
        <v>4</v>
      </c>
      <c r="B3" s="87" t="s">
        <v>5</v>
      </c>
      <c r="C3" s="87" t="s">
        <v>6</v>
      </c>
      <c r="D3" s="87" t="s">
        <v>7</v>
      </c>
      <c r="E3" s="87" t="s">
        <v>8</v>
      </c>
      <c r="F3" s="87" t="s">
        <v>9</v>
      </c>
      <c r="G3" s="87" t="s">
        <v>10</v>
      </c>
      <c r="H3" s="87" t="s">
        <v>11</v>
      </c>
      <c r="I3" s="87" t="s">
        <v>12</v>
      </c>
      <c r="J3" s="87" t="s">
        <v>13</v>
      </c>
      <c r="K3" s="88" t="s">
        <v>14</v>
      </c>
      <c r="L3" s="89" t="s">
        <v>15</v>
      </c>
      <c r="M3" s="90" t="s">
        <v>16</v>
      </c>
      <c r="N3" s="90" t="s">
        <v>17</v>
      </c>
      <c r="O3" s="90" t="s">
        <v>18</v>
      </c>
      <c r="P3" s="90" t="s">
        <v>19</v>
      </c>
      <c r="Q3" s="90" t="s">
        <v>20</v>
      </c>
      <c r="R3" s="91" t="s">
        <v>21</v>
      </c>
      <c r="S3" s="92" t="s">
        <v>22</v>
      </c>
      <c r="T3" s="93" t="s">
        <v>23</v>
      </c>
      <c r="U3" s="71" t="s">
        <v>24</v>
      </c>
      <c r="V3" s="71" t="s">
        <v>25</v>
      </c>
      <c r="W3" s="72" t="s">
        <v>26</v>
      </c>
      <c r="X3" s="72" t="s">
        <v>27</v>
      </c>
      <c r="Y3" s="72" t="s">
        <v>28</v>
      </c>
      <c r="Z3" s="72" t="s">
        <v>29</v>
      </c>
      <c r="AA3" s="72" t="s">
        <v>30</v>
      </c>
      <c r="AB3" s="72" t="s">
        <v>30</v>
      </c>
      <c r="AC3" s="72" t="s">
        <v>31</v>
      </c>
      <c r="AD3" s="72" t="s">
        <v>26</v>
      </c>
      <c r="AE3" s="72"/>
      <c r="AF3" s="72"/>
      <c r="AG3" s="72"/>
      <c r="AH3" s="72"/>
      <c r="AI3" s="72"/>
    </row>
    <row r="4" spans="1:35" ht="75">
      <c r="A4" s="94" t="s">
        <v>32</v>
      </c>
      <c r="B4" s="94">
        <v>1</v>
      </c>
      <c r="C4" s="95" t="s">
        <v>33</v>
      </c>
      <c r="D4" s="96">
        <f t="shared" ref="D4:D17" si="0">1/4</f>
        <v>0.25</v>
      </c>
      <c r="E4" s="94" t="s">
        <v>34</v>
      </c>
      <c r="F4" s="97" t="s">
        <v>35</v>
      </c>
      <c r="G4" s="98">
        <f t="shared" ref="G4:G7" si="1">D4/4</f>
        <v>6.25E-2</v>
      </c>
      <c r="H4" s="95" t="s">
        <v>36</v>
      </c>
      <c r="I4" s="94" t="s">
        <v>37</v>
      </c>
      <c r="J4" s="94" t="s">
        <v>38</v>
      </c>
      <c r="K4" s="94" t="s">
        <v>39</v>
      </c>
      <c r="L4" s="94" t="s">
        <v>40</v>
      </c>
      <c r="M4" s="94" t="s">
        <v>40</v>
      </c>
      <c r="N4" s="94" t="s">
        <v>41</v>
      </c>
      <c r="O4" s="94" t="s">
        <v>42</v>
      </c>
      <c r="P4" s="99" t="s">
        <v>43</v>
      </c>
      <c r="Q4" s="94" t="s">
        <v>44</v>
      </c>
      <c r="R4" s="94" t="s">
        <v>40</v>
      </c>
      <c r="S4" s="98">
        <v>1.5599999999999999E-2</v>
      </c>
      <c r="T4" s="94" t="s">
        <v>45</v>
      </c>
      <c r="U4" s="94" t="s">
        <v>46</v>
      </c>
      <c r="V4" s="73"/>
      <c r="W4" s="73" t="str">
        <f t="shared" ref="W4:W507" si="2">IF($K4="Enero","X",IF($K4="Febrero","X",IF($K4="Marzo","X","")))</f>
        <v/>
      </c>
      <c r="X4" s="73" t="str">
        <f t="shared" ref="X4:X507" si="3">IF($K4="Abril","X",IF($K4="Mayo","X",IF($K4="Junio","X","")))</f>
        <v/>
      </c>
      <c r="Y4" s="73" t="str">
        <f t="shared" ref="Y4:Y507" si="4">IF($K4="Julio","X",IF($K4="Agosto","X",IF($K4="Septiembre","X","")))</f>
        <v/>
      </c>
      <c r="Z4" s="73" t="str">
        <f t="shared" ref="Z4:Z507" si="5">IF($K4="Octubre","X",IF($K4="Noviembre","X",IF($K4="Diciembre","X",IF($K4="*Enero 2022","X",""))))</f>
        <v>X</v>
      </c>
      <c r="AA4" s="73" t="s">
        <v>29</v>
      </c>
      <c r="AB4" s="73" t="str">
        <f t="shared" ref="AB4:AB414" si="6">IF(W4="X","Trim 1",IF(X4="X","Trim 2",IF(Y4="X","Trim 3",IF(Z4="X","Trim 4",""))))</f>
        <v>Trim 4</v>
      </c>
      <c r="AC4" s="73">
        <f t="shared" ref="AC4:AC507" si="7">IF(AND(S4=G4,AB4="Trim 1"),1,0)</f>
        <v>0</v>
      </c>
      <c r="AD4" s="73">
        <f t="shared" ref="AD4:AD507" si="8">IF(AB4="TRim 1",1,0)</f>
        <v>0</v>
      </c>
      <c r="AE4" s="73"/>
      <c r="AF4" s="73"/>
      <c r="AG4" s="73"/>
      <c r="AH4" s="73"/>
      <c r="AI4" s="73"/>
    </row>
    <row r="5" spans="1:35" ht="75">
      <c r="A5" s="94" t="s">
        <v>32</v>
      </c>
      <c r="B5" s="94">
        <v>1</v>
      </c>
      <c r="C5" s="95" t="s">
        <v>33</v>
      </c>
      <c r="D5" s="96">
        <f t="shared" si="0"/>
        <v>0.25</v>
      </c>
      <c r="E5" s="94" t="s">
        <v>47</v>
      </c>
      <c r="F5" s="97" t="s">
        <v>1288</v>
      </c>
      <c r="G5" s="98">
        <f t="shared" si="1"/>
        <v>6.25E-2</v>
      </c>
      <c r="H5" s="95" t="s">
        <v>36</v>
      </c>
      <c r="I5" s="94" t="s">
        <v>37</v>
      </c>
      <c r="J5" s="94" t="s">
        <v>38</v>
      </c>
      <c r="K5" s="94" t="s">
        <v>39</v>
      </c>
      <c r="L5" s="94" t="s">
        <v>40</v>
      </c>
      <c r="M5" s="94" t="s">
        <v>40</v>
      </c>
      <c r="N5" s="94" t="s">
        <v>41</v>
      </c>
      <c r="O5" s="94" t="s">
        <v>42</v>
      </c>
      <c r="P5" s="99" t="s">
        <v>43</v>
      </c>
      <c r="Q5" s="94" t="s">
        <v>44</v>
      </c>
      <c r="R5" s="94" t="s">
        <v>40</v>
      </c>
      <c r="S5" s="98">
        <v>1.5599999999999999E-2</v>
      </c>
      <c r="T5" s="94" t="s">
        <v>45</v>
      </c>
      <c r="U5" s="94" t="s">
        <v>48</v>
      </c>
      <c r="V5" s="73"/>
      <c r="W5" s="73" t="str">
        <f t="shared" si="2"/>
        <v/>
      </c>
      <c r="X5" s="73" t="str">
        <f t="shared" si="3"/>
        <v/>
      </c>
      <c r="Y5" s="73" t="str">
        <f t="shared" si="4"/>
        <v/>
      </c>
      <c r="Z5" s="73" t="str">
        <f t="shared" si="5"/>
        <v>X</v>
      </c>
      <c r="AA5" s="73" t="s">
        <v>29</v>
      </c>
      <c r="AB5" s="73" t="str">
        <f t="shared" si="6"/>
        <v>Trim 4</v>
      </c>
      <c r="AC5" s="73">
        <f t="shared" si="7"/>
        <v>0</v>
      </c>
      <c r="AD5" s="73">
        <f t="shared" si="8"/>
        <v>0</v>
      </c>
      <c r="AE5" s="73"/>
      <c r="AF5" s="73"/>
      <c r="AG5" s="73"/>
      <c r="AH5" s="73"/>
      <c r="AI5" s="73"/>
    </row>
    <row r="6" spans="1:35" ht="75">
      <c r="A6" s="94" t="s">
        <v>32</v>
      </c>
      <c r="B6" s="94">
        <v>1</v>
      </c>
      <c r="C6" s="95" t="s">
        <v>33</v>
      </c>
      <c r="D6" s="96">
        <f t="shared" si="0"/>
        <v>0.25</v>
      </c>
      <c r="E6" s="94" t="s">
        <v>49</v>
      </c>
      <c r="F6" s="97" t="s">
        <v>50</v>
      </c>
      <c r="G6" s="98">
        <f t="shared" si="1"/>
        <v>6.25E-2</v>
      </c>
      <c r="H6" s="95" t="s">
        <v>36</v>
      </c>
      <c r="I6" s="94" t="s">
        <v>37</v>
      </c>
      <c r="J6" s="94" t="s">
        <v>38</v>
      </c>
      <c r="K6" s="94" t="s">
        <v>39</v>
      </c>
      <c r="L6" s="94" t="s">
        <v>40</v>
      </c>
      <c r="M6" s="94" t="s">
        <v>40</v>
      </c>
      <c r="N6" s="94" t="s">
        <v>41</v>
      </c>
      <c r="O6" s="94" t="s">
        <v>42</v>
      </c>
      <c r="P6" s="99" t="s">
        <v>43</v>
      </c>
      <c r="Q6" s="94" t="s">
        <v>44</v>
      </c>
      <c r="R6" s="94" t="s">
        <v>40</v>
      </c>
      <c r="S6" s="98">
        <v>1.5599999999999999E-2</v>
      </c>
      <c r="T6" s="94" t="s">
        <v>45</v>
      </c>
      <c r="U6" s="94" t="s">
        <v>51</v>
      </c>
      <c r="V6" s="73"/>
      <c r="W6" s="73" t="str">
        <f t="shared" si="2"/>
        <v/>
      </c>
      <c r="X6" s="73" t="str">
        <f t="shared" si="3"/>
        <v/>
      </c>
      <c r="Y6" s="73" t="str">
        <f t="shared" si="4"/>
        <v/>
      </c>
      <c r="Z6" s="73" t="str">
        <f t="shared" si="5"/>
        <v>X</v>
      </c>
      <c r="AA6" s="73" t="s">
        <v>29</v>
      </c>
      <c r="AB6" s="73" t="str">
        <f t="shared" si="6"/>
        <v>Trim 4</v>
      </c>
      <c r="AC6" s="73">
        <f t="shared" si="7"/>
        <v>0</v>
      </c>
      <c r="AD6" s="73">
        <f t="shared" si="8"/>
        <v>0</v>
      </c>
      <c r="AE6" s="73"/>
      <c r="AF6" s="73"/>
      <c r="AG6" s="73"/>
      <c r="AH6" s="73"/>
      <c r="AI6" s="73"/>
    </row>
    <row r="7" spans="1:35" ht="75">
      <c r="A7" s="94" t="s">
        <v>32</v>
      </c>
      <c r="B7" s="94">
        <v>1</v>
      </c>
      <c r="C7" s="95" t="s">
        <v>33</v>
      </c>
      <c r="D7" s="96">
        <f t="shared" si="0"/>
        <v>0.25</v>
      </c>
      <c r="E7" s="94" t="s">
        <v>52</v>
      </c>
      <c r="F7" s="97" t="s">
        <v>53</v>
      </c>
      <c r="G7" s="98">
        <f t="shared" si="1"/>
        <v>6.25E-2</v>
      </c>
      <c r="H7" s="95" t="s">
        <v>36</v>
      </c>
      <c r="I7" s="94" t="s">
        <v>37</v>
      </c>
      <c r="J7" s="94" t="s">
        <v>38</v>
      </c>
      <c r="K7" s="94" t="s">
        <v>39</v>
      </c>
      <c r="L7" s="94" t="s">
        <v>40</v>
      </c>
      <c r="M7" s="94" t="s">
        <v>40</v>
      </c>
      <c r="N7" s="94" t="s">
        <v>41</v>
      </c>
      <c r="O7" s="94" t="s">
        <v>42</v>
      </c>
      <c r="P7" s="99" t="s">
        <v>43</v>
      </c>
      <c r="Q7" s="94" t="s">
        <v>44</v>
      </c>
      <c r="R7" s="94" t="s">
        <v>40</v>
      </c>
      <c r="S7" s="98">
        <v>1.5599999999999999E-2</v>
      </c>
      <c r="T7" s="94" t="s">
        <v>45</v>
      </c>
      <c r="U7" s="94" t="s">
        <v>54</v>
      </c>
      <c r="V7" s="73"/>
      <c r="W7" s="73" t="str">
        <f t="shared" si="2"/>
        <v/>
      </c>
      <c r="X7" s="73" t="str">
        <f t="shared" si="3"/>
        <v/>
      </c>
      <c r="Y7" s="73" t="str">
        <f t="shared" si="4"/>
        <v/>
      </c>
      <c r="Z7" s="73" t="str">
        <f t="shared" si="5"/>
        <v>X</v>
      </c>
      <c r="AA7" s="73" t="s">
        <v>29</v>
      </c>
      <c r="AB7" s="73" t="str">
        <f t="shared" si="6"/>
        <v>Trim 4</v>
      </c>
      <c r="AC7" s="73">
        <f t="shared" si="7"/>
        <v>0</v>
      </c>
      <c r="AD7" s="73">
        <f t="shared" si="8"/>
        <v>0</v>
      </c>
      <c r="AE7" s="73"/>
      <c r="AF7" s="73"/>
      <c r="AG7" s="73"/>
      <c r="AH7" s="73"/>
      <c r="AI7" s="73"/>
    </row>
    <row r="8" spans="1:35" ht="90">
      <c r="A8" s="94" t="s">
        <v>32</v>
      </c>
      <c r="B8" s="94">
        <v>2</v>
      </c>
      <c r="C8" s="95" t="s">
        <v>55</v>
      </c>
      <c r="D8" s="96">
        <f t="shared" si="0"/>
        <v>0.25</v>
      </c>
      <c r="E8" s="94" t="s">
        <v>56</v>
      </c>
      <c r="F8" s="97" t="s">
        <v>57</v>
      </c>
      <c r="G8" s="98">
        <f t="shared" ref="G8:G13" si="9">D8/3</f>
        <v>8.3333333333333329E-2</v>
      </c>
      <c r="H8" s="95" t="s">
        <v>36</v>
      </c>
      <c r="I8" s="94" t="s">
        <v>37</v>
      </c>
      <c r="J8" s="94" t="s">
        <v>38</v>
      </c>
      <c r="K8" s="94" t="s">
        <v>39</v>
      </c>
      <c r="L8" s="94" t="s">
        <v>40</v>
      </c>
      <c r="M8" s="94" t="s">
        <v>40</v>
      </c>
      <c r="N8" s="94" t="s">
        <v>41</v>
      </c>
      <c r="O8" s="94" t="s">
        <v>42</v>
      </c>
      <c r="P8" s="99" t="s">
        <v>58</v>
      </c>
      <c r="Q8" s="94" t="s">
        <v>44</v>
      </c>
      <c r="R8" s="94" t="s">
        <v>40</v>
      </c>
      <c r="S8" s="98">
        <v>1.5599999999999999E-2</v>
      </c>
      <c r="T8" s="94" t="s">
        <v>45</v>
      </c>
      <c r="U8" s="94" t="s">
        <v>59</v>
      </c>
      <c r="V8" s="74"/>
      <c r="W8" s="73" t="str">
        <f t="shared" si="2"/>
        <v/>
      </c>
      <c r="X8" s="73" t="str">
        <f t="shared" si="3"/>
        <v/>
      </c>
      <c r="Y8" s="73" t="str">
        <f t="shared" si="4"/>
        <v/>
      </c>
      <c r="Z8" s="73" t="str">
        <f t="shared" si="5"/>
        <v>X</v>
      </c>
      <c r="AA8" s="73" t="s">
        <v>29</v>
      </c>
      <c r="AB8" s="73" t="str">
        <f t="shared" si="6"/>
        <v>Trim 4</v>
      </c>
      <c r="AC8" s="73">
        <f t="shared" si="7"/>
        <v>0</v>
      </c>
      <c r="AD8" s="73">
        <f t="shared" si="8"/>
        <v>0</v>
      </c>
      <c r="AE8" s="73"/>
      <c r="AF8" s="73"/>
      <c r="AG8" s="73"/>
      <c r="AH8" s="73"/>
      <c r="AI8" s="73"/>
    </row>
    <row r="9" spans="1:35" ht="90">
      <c r="A9" s="94" t="s">
        <v>32</v>
      </c>
      <c r="B9" s="94">
        <v>2</v>
      </c>
      <c r="C9" s="95" t="s">
        <v>55</v>
      </c>
      <c r="D9" s="96">
        <f t="shared" si="0"/>
        <v>0.25</v>
      </c>
      <c r="E9" s="94" t="s">
        <v>60</v>
      </c>
      <c r="F9" s="97" t="s">
        <v>61</v>
      </c>
      <c r="G9" s="98">
        <f t="shared" si="9"/>
        <v>8.3333333333333329E-2</v>
      </c>
      <c r="H9" s="95" t="s">
        <v>36</v>
      </c>
      <c r="I9" s="94" t="s">
        <v>37</v>
      </c>
      <c r="J9" s="94" t="s">
        <v>38</v>
      </c>
      <c r="K9" s="94" t="s">
        <v>39</v>
      </c>
      <c r="L9" s="94" t="s">
        <v>40</v>
      </c>
      <c r="M9" s="94" t="s">
        <v>40</v>
      </c>
      <c r="N9" s="94" t="s">
        <v>41</v>
      </c>
      <c r="O9" s="94" t="s">
        <v>42</v>
      </c>
      <c r="P9" s="99" t="s">
        <v>58</v>
      </c>
      <c r="Q9" s="94" t="s">
        <v>44</v>
      </c>
      <c r="R9" s="94" t="s">
        <v>40</v>
      </c>
      <c r="S9" s="98">
        <v>1.5599999999999999E-2</v>
      </c>
      <c r="T9" s="94" t="s">
        <v>45</v>
      </c>
      <c r="U9" s="94" t="s">
        <v>62</v>
      </c>
      <c r="V9" s="74"/>
      <c r="W9" s="73" t="str">
        <f t="shared" si="2"/>
        <v/>
      </c>
      <c r="X9" s="73" t="str">
        <f t="shared" si="3"/>
        <v/>
      </c>
      <c r="Y9" s="73" t="str">
        <f t="shared" si="4"/>
        <v/>
      </c>
      <c r="Z9" s="73" t="str">
        <f t="shared" si="5"/>
        <v>X</v>
      </c>
      <c r="AA9" s="73" t="s">
        <v>29</v>
      </c>
      <c r="AB9" s="73" t="str">
        <f t="shared" si="6"/>
        <v>Trim 4</v>
      </c>
      <c r="AC9" s="73">
        <f t="shared" si="7"/>
        <v>0</v>
      </c>
      <c r="AD9" s="73">
        <f t="shared" si="8"/>
        <v>0</v>
      </c>
      <c r="AE9" s="73"/>
      <c r="AF9" s="73"/>
      <c r="AG9" s="73"/>
      <c r="AH9" s="73"/>
      <c r="AI9" s="73"/>
    </row>
    <row r="10" spans="1:35" ht="90">
      <c r="A10" s="94" t="s">
        <v>32</v>
      </c>
      <c r="B10" s="94">
        <v>2</v>
      </c>
      <c r="C10" s="95" t="s">
        <v>55</v>
      </c>
      <c r="D10" s="96">
        <f t="shared" si="0"/>
        <v>0.25</v>
      </c>
      <c r="E10" s="94" t="s">
        <v>63</v>
      </c>
      <c r="F10" s="97" t="s">
        <v>1289</v>
      </c>
      <c r="G10" s="98">
        <f t="shared" si="9"/>
        <v>8.3333333333333329E-2</v>
      </c>
      <c r="H10" s="95" t="s">
        <v>36</v>
      </c>
      <c r="I10" s="94" t="s">
        <v>37</v>
      </c>
      <c r="J10" s="94" t="s">
        <v>38</v>
      </c>
      <c r="K10" s="94" t="s">
        <v>39</v>
      </c>
      <c r="L10" s="94" t="s">
        <v>40</v>
      </c>
      <c r="M10" s="94" t="s">
        <v>40</v>
      </c>
      <c r="N10" s="94" t="s">
        <v>64</v>
      </c>
      <c r="O10" s="94" t="s">
        <v>65</v>
      </c>
      <c r="P10" s="99" t="s">
        <v>58</v>
      </c>
      <c r="Q10" s="94" t="s">
        <v>44</v>
      </c>
      <c r="R10" s="94" t="s">
        <v>40</v>
      </c>
      <c r="S10" s="98">
        <v>1.5599999999999999E-2</v>
      </c>
      <c r="T10" s="94" t="s">
        <v>45</v>
      </c>
      <c r="U10" s="94" t="s">
        <v>66</v>
      </c>
      <c r="V10" s="74"/>
      <c r="W10" s="73" t="str">
        <f t="shared" si="2"/>
        <v/>
      </c>
      <c r="X10" s="73" t="str">
        <f t="shared" si="3"/>
        <v/>
      </c>
      <c r="Y10" s="73" t="str">
        <f t="shared" si="4"/>
        <v/>
      </c>
      <c r="Z10" s="73" t="str">
        <f t="shared" si="5"/>
        <v>X</v>
      </c>
      <c r="AA10" s="73" t="s">
        <v>29</v>
      </c>
      <c r="AB10" s="73" t="str">
        <f t="shared" si="6"/>
        <v>Trim 4</v>
      </c>
      <c r="AC10" s="73">
        <f t="shared" si="7"/>
        <v>0</v>
      </c>
      <c r="AD10" s="73">
        <f t="shared" si="8"/>
        <v>0</v>
      </c>
      <c r="AE10" s="73"/>
      <c r="AF10" s="73"/>
      <c r="AG10" s="73"/>
      <c r="AH10" s="73"/>
      <c r="AI10" s="73"/>
    </row>
    <row r="11" spans="1:35" ht="67.5">
      <c r="A11" s="94" t="s">
        <v>32</v>
      </c>
      <c r="B11" s="94">
        <v>3</v>
      </c>
      <c r="C11" s="95" t="s">
        <v>67</v>
      </c>
      <c r="D11" s="96">
        <f t="shared" si="0"/>
        <v>0.25</v>
      </c>
      <c r="E11" s="94" t="s">
        <v>68</v>
      </c>
      <c r="F11" s="97" t="s">
        <v>69</v>
      </c>
      <c r="G11" s="98">
        <f t="shared" si="9"/>
        <v>8.3333333333333329E-2</v>
      </c>
      <c r="H11" s="95" t="s">
        <v>36</v>
      </c>
      <c r="I11" s="94" t="s">
        <v>37</v>
      </c>
      <c r="J11" s="94" t="s">
        <v>38</v>
      </c>
      <c r="K11" s="94" t="s">
        <v>39</v>
      </c>
      <c r="L11" s="94" t="s">
        <v>40</v>
      </c>
      <c r="M11" s="94" t="s">
        <v>40</v>
      </c>
      <c r="N11" s="94" t="s">
        <v>41</v>
      </c>
      <c r="O11" s="94" t="s">
        <v>42</v>
      </c>
      <c r="P11" s="99" t="s">
        <v>70</v>
      </c>
      <c r="Q11" s="94" t="s">
        <v>44</v>
      </c>
      <c r="R11" s="94" t="s">
        <v>40</v>
      </c>
      <c r="S11" s="94" t="s">
        <v>71</v>
      </c>
      <c r="T11" s="94" t="s">
        <v>45</v>
      </c>
      <c r="U11" s="94" t="s">
        <v>72</v>
      </c>
      <c r="V11" s="75"/>
      <c r="W11" s="73" t="str">
        <f t="shared" si="2"/>
        <v/>
      </c>
      <c r="X11" s="73" t="str">
        <f t="shared" si="3"/>
        <v/>
      </c>
      <c r="Y11" s="73" t="str">
        <f t="shared" si="4"/>
        <v/>
      </c>
      <c r="Z11" s="73" t="str">
        <f t="shared" si="5"/>
        <v>X</v>
      </c>
      <c r="AA11" s="73" t="s">
        <v>29</v>
      </c>
      <c r="AB11" s="73" t="str">
        <f t="shared" si="6"/>
        <v>Trim 4</v>
      </c>
      <c r="AC11" s="73">
        <f t="shared" si="7"/>
        <v>0</v>
      </c>
      <c r="AD11" s="73">
        <f t="shared" si="8"/>
        <v>0</v>
      </c>
      <c r="AE11" s="73"/>
      <c r="AF11" s="73"/>
      <c r="AG11" s="73"/>
      <c r="AH11" s="73"/>
      <c r="AI11" s="73"/>
    </row>
    <row r="12" spans="1:35" ht="67.5">
      <c r="A12" s="94" t="s">
        <v>32</v>
      </c>
      <c r="B12" s="94">
        <v>3</v>
      </c>
      <c r="C12" s="95" t="s">
        <v>67</v>
      </c>
      <c r="D12" s="96">
        <f t="shared" si="0"/>
        <v>0.25</v>
      </c>
      <c r="E12" s="94" t="s">
        <v>73</v>
      </c>
      <c r="F12" s="97" t="s">
        <v>1290</v>
      </c>
      <c r="G12" s="98">
        <f t="shared" si="9"/>
        <v>8.3333333333333329E-2</v>
      </c>
      <c r="H12" s="95" t="s">
        <v>36</v>
      </c>
      <c r="I12" s="94" t="s">
        <v>37</v>
      </c>
      <c r="J12" s="94" t="s">
        <v>38</v>
      </c>
      <c r="K12" s="94" t="s">
        <v>39</v>
      </c>
      <c r="L12" s="94" t="s">
        <v>40</v>
      </c>
      <c r="M12" s="94" t="s">
        <v>40</v>
      </c>
      <c r="N12" s="94" t="s">
        <v>41</v>
      </c>
      <c r="O12" s="94" t="s">
        <v>42</v>
      </c>
      <c r="P12" s="99" t="s">
        <v>70</v>
      </c>
      <c r="Q12" s="94" t="s">
        <v>44</v>
      </c>
      <c r="R12" s="94" t="s">
        <v>40</v>
      </c>
      <c r="S12" s="94" t="s">
        <v>71</v>
      </c>
      <c r="T12" s="94" t="s">
        <v>45</v>
      </c>
      <c r="U12" s="94" t="s">
        <v>74</v>
      </c>
      <c r="V12" s="76"/>
      <c r="W12" s="73" t="str">
        <f t="shared" si="2"/>
        <v/>
      </c>
      <c r="X12" s="73" t="str">
        <f t="shared" si="3"/>
        <v/>
      </c>
      <c r="Y12" s="73" t="str">
        <f t="shared" si="4"/>
        <v/>
      </c>
      <c r="Z12" s="73" t="str">
        <f t="shared" si="5"/>
        <v>X</v>
      </c>
      <c r="AA12" s="73" t="s">
        <v>29</v>
      </c>
      <c r="AB12" s="73" t="str">
        <f t="shared" si="6"/>
        <v>Trim 4</v>
      </c>
      <c r="AC12" s="73">
        <f t="shared" si="7"/>
        <v>0</v>
      </c>
      <c r="AD12" s="73">
        <f t="shared" si="8"/>
        <v>0</v>
      </c>
      <c r="AE12" s="73"/>
      <c r="AF12" s="73"/>
      <c r="AG12" s="73"/>
      <c r="AH12" s="73"/>
      <c r="AI12" s="73"/>
    </row>
    <row r="13" spans="1:35" ht="67.5">
      <c r="A13" s="94" t="s">
        <v>32</v>
      </c>
      <c r="B13" s="94">
        <v>3</v>
      </c>
      <c r="C13" s="95" t="s">
        <v>67</v>
      </c>
      <c r="D13" s="96">
        <f t="shared" si="0"/>
        <v>0.25</v>
      </c>
      <c r="E13" s="94" t="s">
        <v>75</v>
      </c>
      <c r="F13" s="97" t="s">
        <v>76</v>
      </c>
      <c r="G13" s="98">
        <f t="shared" si="9"/>
        <v>8.3333333333333329E-2</v>
      </c>
      <c r="H13" s="95" t="s">
        <v>36</v>
      </c>
      <c r="I13" s="94" t="s">
        <v>37</v>
      </c>
      <c r="J13" s="94" t="s">
        <v>38</v>
      </c>
      <c r="K13" s="94" t="s">
        <v>39</v>
      </c>
      <c r="L13" s="94" t="s">
        <v>40</v>
      </c>
      <c r="M13" s="94" t="s">
        <v>40</v>
      </c>
      <c r="N13" s="94" t="s">
        <v>41</v>
      </c>
      <c r="O13" s="94" t="s">
        <v>42</v>
      </c>
      <c r="P13" s="99" t="s">
        <v>70</v>
      </c>
      <c r="Q13" s="94" t="s">
        <v>44</v>
      </c>
      <c r="R13" s="94" t="s">
        <v>40</v>
      </c>
      <c r="S13" s="94" t="s">
        <v>71</v>
      </c>
      <c r="T13" s="94" t="s">
        <v>45</v>
      </c>
      <c r="U13" s="94" t="s">
        <v>77</v>
      </c>
      <c r="V13" s="76"/>
      <c r="W13" s="73" t="str">
        <f t="shared" si="2"/>
        <v/>
      </c>
      <c r="X13" s="73" t="str">
        <f t="shared" si="3"/>
        <v/>
      </c>
      <c r="Y13" s="73" t="str">
        <f t="shared" si="4"/>
        <v/>
      </c>
      <c r="Z13" s="73" t="str">
        <f t="shared" si="5"/>
        <v>X</v>
      </c>
      <c r="AA13" s="73" t="s">
        <v>29</v>
      </c>
      <c r="AB13" s="73" t="str">
        <f t="shared" si="6"/>
        <v>Trim 4</v>
      </c>
      <c r="AC13" s="73">
        <f t="shared" si="7"/>
        <v>0</v>
      </c>
      <c r="AD13" s="73">
        <f t="shared" si="8"/>
        <v>0</v>
      </c>
      <c r="AE13" s="73"/>
      <c r="AF13" s="73"/>
      <c r="AG13" s="73"/>
      <c r="AH13" s="73"/>
      <c r="AI13" s="73"/>
    </row>
    <row r="14" spans="1:35" ht="90">
      <c r="A14" s="94" t="s">
        <v>32</v>
      </c>
      <c r="B14" s="94">
        <v>4</v>
      </c>
      <c r="C14" s="95" t="s">
        <v>78</v>
      </c>
      <c r="D14" s="96">
        <f t="shared" si="0"/>
        <v>0.25</v>
      </c>
      <c r="E14" s="94" t="s">
        <v>79</v>
      </c>
      <c r="F14" s="97" t="s">
        <v>80</v>
      </c>
      <c r="G14" s="98">
        <f t="shared" ref="G14:G17" si="10">D14/4</f>
        <v>6.25E-2</v>
      </c>
      <c r="H14" s="95" t="s">
        <v>36</v>
      </c>
      <c r="I14" s="94" t="s">
        <v>37</v>
      </c>
      <c r="J14" s="94" t="s">
        <v>38</v>
      </c>
      <c r="K14" s="94" t="s">
        <v>39</v>
      </c>
      <c r="L14" s="94" t="s">
        <v>40</v>
      </c>
      <c r="M14" s="94" t="s">
        <v>40</v>
      </c>
      <c r="N14" s="94" t="s">
        <v>64</v>
      </c>
      <c r="O14" s="94" t="s">
        <v>81</v>
      </c>
      <c r="P14" s="99" t="s">
        <v>58</v>
      </c>
      <c r="Q14" s="94" t="s">
        <v>44</v>
      </c>
      <c r="R14" s="94" t="s">
        <v>40</v>
      </c>
      <c r="S14" s="94" t="s">
        <v>71</v>
      </c>
      <c r="T14" s="94" t="s">
        <v>45</v>
      </c>
      <c r="U14" s="94" t="s">
        <v>82</v>
      </c>
      <c r="V14" s="76"/>
      <c r="W14" s="73" t="str">
        <f t="shared" si="2"/>
        <v/>
      </c>
      <c r="X14" s="73" t="str">
        <f t="shared" si="3"/>
        <v/>
      </c>
      <c r="Y14" s="73" t="str">
        <f t="shared" si="4"/>
        <v/>
      </c>
      <c r="Z14" s="73" t="str">
        <f t="shared" si="5"/>
        <v>X</v>
      </c>
      <c r="AA14" s="73" t="s">
        <v>29</v>
      </c>
      <c r="AB14" s="73" t="str">
        <f t="shared" si="6"/>
        <v>Trim 4</v>
      </c>
      <c r="AC14" s="73">
        <f t="shared" si="7"/>
        <v>0</v>
      </c>
      <c r="AD14" s="73">
        <f t="shared" si="8"/>
        <v>0</v>
      </c>
      <c r="AE14" s="73"/>
      <c r="AF14" s="73"/>
      <c r="AG14" s="73"/>
      <c r="AH14" s="73"/>
      <c r="AI14" s="73"/>
    </row>
    <row r="15" spans="1:35" ht="90">
      <c r="A15" s="94" t="s">
        <v>32</v>
      </c>
      <c r="B15" s="94">
        <v>4</v>
      </c>
      <c r="C15" s="95" t="s">
        <v>78</v>
      </c>
      <c r="D15" s="96">
        <f t="shared" si="0"/>
        <v>0.25</v>
      </c>
      <c r="E15" s="94" t="s">
        <v>83</v>
      </c>
      <c r="F15" s="97" t="s">
        <v>84</v>
      </c>
      <c r="G15" s="98">
        <f t="shared" si="10"/>
        <v>6.25E-2</v>
      </c>
      <c r="H15" s="95" t="s">
        <v>36</v>
      </c>
      <c r="I15" s="94" t="s">
        <v>37</v>
      </c>
      <c r="J15" s="94" t="s">
        <v>38</v>
      </c>
      <c r="K15" s="94" t="s">
        <v>39</v>
      </c>
      <c r="L15" s="94" t="s">
        <v>40</v>
      </c>
      <c r="M15" s="94" t="s">
        <v>40</v>
      </c>
      <c r="N15" s="94" t="s">
        <v>64</v>
      </c>
      <c r="O15" s="94" t="s">
        <v>81</v>
      </c>
      <c r="P15" s="99" t="s">
        <v>58</v>
      </c>
      <c r="Q15" s="94" t="s">
        <v>44</v>
      </c>
      <c r="R15" s="94" t="s">
        <v>40</v>
      </c>
      <c r="S15" s="98">
        <v>1.5599999999999999E-2</v>
      </c>
      <c r="T15" s="94" t="s">
        <v>45</v>
      </c>
      <c r="U15" s="94" t="s">
        <v>85</v>
      </c>
      <c r="V15" s="70"/>
      <c r="W15" s="73" t="str">
        <f t="shared" si="2"/>
        <v/>
      </c>
      <c r="X15" s="73" t="str">
        <f t="shared" si="3"/>
        <v/>
      </c>
      <c r="Y15" s="73" t="str">
        <f t="shared" si="4"/>
        <v/>
      </c>
      <c r="Z15" s="73" t="str">
        <f t="shared" si="5"/>
        <v>X</v>
      </c>
      <c r="AA15" s="73" t="s">
        <v>29</v>
      </c>
      <c r="AB15" s="73" t="str">
        <f t="shared" si="6"/>
        <v>Trim 4</v>
      </c>
      <c r="AC15" s="73">
        <f t="shared" si="7"/>
        <v>0</v>
      </c>
      <c r="AD15" s="73">
        <f t="shared" si="8"/>
        <v>0</v>
      </c>
      <c r="AE15" s="73"/>
      <c r="AF15" s="73"/>
      <c r="AG15" s="73"/>
      <c r="AH15" s="73"/>
      <c r="AI15" s="73"/>
    </row>
    <row r="16" spans="1:35" ht="90">
      <c r="A16" s="94" t="s">
        <v>32</v>
      </c>
      <c r="B16" s="94">
        <v>4</v>
      </c>
      <c r="C16" s="95" t="s">
        <v>78</v>
      </c>
      <c r="D16" s="96">
        <f t="shared" si="0"/>
        <v>0.25</v>
      </c>
      <c r="E16" s="94" t="s">
        <v>86</v>
      </c>
      <c r="F16" s="97" t="s">
        <v>87</v>
      </c>
      <c r="G16" s="98">
        <f t="shared" si="10"/>
        <v>6.25E-2</v>
      </c>
      <c r="H16" s="95" t="s">
        <v>36</v>
      </c>
      <c r="I16" s="94" t="s">
        <v>37</v>
      </c>
      <c r="J16" s="94" t="s">
        <v>38</v>
      </c>
      <c r="K16" s="94" t="s">
        <v>39</v>
      </c>
      <c r="L16" s="94" t="s">
        <v>40</v>
      </c>
      <c r="M16" s="94" t="s">
        <v>40</v>
      </c>
      <c r="N16" s="94" t="s">
        <v>64</v>
      </c>
      <c r="O16" s="94" t="s">
        <v>81</v>
      </c>
      <c r="P16" s="99" t="s">
        <v>58</v>
      </c>
      <c r="Q16" s="94" t="s">
        <v>44</v>
      </c>
      <c r="R16" s="94" t="s">
        <v>40</v>
      </c>
      <c r="S16" s="98">
        <v>1.5599999999999999E-2</v>
      </c>
      <c r="T16" s="94" t="s">
        <v>45</v>
      </c>
      <c r="U16" s="94" t="s">
        <v>88</v>
      </c>
      <c r="V16" s="70"/>
      <c r="W16" s="73" t="str">
        <f t="shared" si="2"/>
        <v/>
      </c>
      <c r="X16" s="73" t="str">
        <f t="shared" si="3"/>
        <v/>
      </c>
      <c r="Y16" s="73" t="str">
        <f t="shared" si="4"/>
        <v/>
      </c>
      <c r="Z16" s="73" t="str">
        <f t="shared" si="5"/>
        <v>X</v>
      </c>
      <c r="AA16" s="73" t="s">
        <v>29</v>
      </c>
      <c r="AB16" s="73" t="str">
        <f t="shared" si="6"/>
        <v>Trim 4</v>
      </c>
      <c r="AC16" s="73">
        <f t="shared" si="7"/>
        <v>0</v>
      </c>
      <c r="AD16" s="73">
        <f t="shared" si="8"/>
        <v>0</v>
      </c>
      <c r="AE16" s="73"/>
      <c r="AF16" s="73"/>
      <c r="AG16" s="73"/>
      <c r="AH16" s="73"/>
      <c r="AI16" s="73"/>
    </row>
    <row r="17" spans="1:35" ht="120">
      <c r="A17" s="94" t="s">
        <v>32</v>
      </c>
      <c r="B17" s="94">
        <v>4</v>
      </c>
      <c r="C17" s="95" t="s">
        <v>78</v>
      </c>
      <c r="D17" s="96">
        <f t="shared" si="0"/>
        <v>0.25</v>
      </c>
      <c r="E17" s="94" t="s">
        <v>89</v>
      </c>
      <c r="F17" s="97" t="s">
        <v>90</v>
      </c>
      <c r="G17" s="98">
        <f t="shared" si="10"/>
        <v>6.25E-2</v>
      </c>
      <c r="H17" s="95" t="s">
        <v>36</v>
      </c>
      <c r="I17" s="94" t="s">
        <v>37</v>
      </c>
      <c r="J17" s="94" t="s">
        <v>38</v>
      </c>
      <c r="K17" s="94" t="s">
        <v>39</v>
      </c>
      <c r="L17" s="94" t="s">
        <v>40</v>
      </c>
      <c r="M17" s="94" t="s">
        <v>40</v>
      </c>
      <c r="N17" s="94" t="s">
        <v>64</v>
      </c>
      <c r="O17" s="94" t="s">
        <v>81</v>
      </c>
      <c r="P17" s="99" t="s">
        <v>58</v>
      </c>
      <c r="Q17" s="94" t="s">
        <v>44</v>
      </c>
      <c r="R17" s="94" t="s">
        <v>40</v>
      </c>
      <c r="S17" s="98">
        <v>1.5599999999999999E-2</v>
      </c>
      <c r="T17" s="94" t="s">
        <v>45</v>
      </c>
      <c r="U17" s="94" t="s">
        <v>91</v>
      </c>
      <c r="V17" s="70"/>
      <c r="W17" s="73" t="str">
        <f t="shared" si="2"/>
        <v/>
      </c>
      <c r="X17" s="73" t="str">
        <f t="shared" si="3"/>
        <v/>
      </c>
      <c r="Y17" s="73" t="str">
        <f t="shared" si="4"/>
        <v/>
      </c>
      <c r="Z17" s="73" t="str">
        <f t="shared" si="5"/>
        <v>X</v>
      </c>
      <c r="AA17" s="73" t="s">
        <v>29</v>
      </c>
      <c r="AB17" s="73" t="str">
        <f t="shared" si="6"/>
        <v>Trim 4</v>
      </c>
      <c r="AC17" s="73">
        <f t="shared" si="7"/>
        <v>0</v>
      </c>
      <c r="AD17" s="73">
        <f t="shared" si="8"/>
        <v>0</v>
      </c>
      <c r="AE17" s="73"/>
      <c r="AF17" s="73"/>
      <c r="AG17" s="73"/>
      <c r="AH17" s="73"/>
      <c r="AI17" s="73"/>
    </row>
    <row r="18" spans="1:35" ht="45">
      <c r="A18" s="94" t="s">
        <v>92</v>
      </c>
      <c r="B18" s="94">
        <v>1</v>
      </c>
      <c r="C18" s="94" t="s">
        <v>93</v>
      </c>
      <c r="D18" s="96">
        <v>0.1</v>
      </c>
      <c r="E18" s="94" t="s">
        <v>34</v>
      </c>
      <c r="F18" s="94" t="s">
        <v>93</v>
      </c>
      <c r="G18" s="98">
        <v>0.05</v>
      </c>
      <c r="H18" s="94" t="s">
        <v>94</v>
      </c>
      <c r="I18" s="94" t="s">
        <v>95</v>
      </c>
      <c r="J18" s="94" t="s">
        <v>96</v>
      </c>
      <c r="K18" s="94" t="s">
        <v>97</v>
      </c>
      <c r="L18" s="100" t="s">
        <v>40</v>
      </c>
      <c r="M18" s="94" t="s">
        <v>40</v>
      </c>
      <c r="N18" s="94" t="s">
        <v>98</v>
      </c>
      <c r="O18" s="94" t="s">
        <v>99</v>
      </c>
      <c r="P18" s="94" t="s">
        <v>100</v>
      </c>
      <c r="Q18" s="94" t="s">
        <v>101</v>
      </c>
      <c r="R18" s="94" t="s">
        <v>40</v>
      </c>
      <c r="S18" s="98">
        <v>0.05</v>
      </c>
      <c r="T18" s="94" t="s">
        <v>97</v>
      </c>
      <c r="U18" s="94"/>
      <c r="V18" s="70"/>
      <c r="W18" s="73" t="str">
        <f t="shared" si="2"/>
        <v>X</v>
      </c>
      <c r="X18" s="73" t="str">
        <f t="shared" si="3"/>
        <v/>
      </c>
      <c r="Y18" s="73" t="str">
        <f t="shared" si="4"/>
        <v/>
      </c>
      <c r="Z18" s="73" t="str">
        <f t="shared" si="5"/>
        <v/>
      </c>
      <c r="AA18" s="73" t="s">
        <v>26</v>
      </c>
      <c r="AB18" s="73" t="str">
        <f t="shared" si="6"/>
        <v>Trim 1</v>
      </c>
      <c r="AC18" s="73">
        <f t="shared" si="7"/>
        <v>1</v>
      </c>
      <c r="AD18" s="73">
        <f t="shared" si="8"/>
        <v>1</v>
      </c>
      <c r="AE18" s="73"/>
      <c r="AF18" s="73"/>
      <c r="AG18" s="73"/>
      <c r="AH18" s="73"/>
      <c r="AI18" s="73"/>
    </row>
    <row r="19" spans="1:35" ht="45">
      <c r="A19" s="94" t="s">
        <v>92</v>
      </c>
      <c r="B19" s="94">
        <v>1</v>
      </c>
      <c r="C19" s="94" t="s">
        <v>93</v>
      </c>
      <c r="D19" s="96">
        <v>0.1</v>
      </c>
      <c r="E19" s="94" t="s">
        <v>47</v>
      </c>
      <c r="F19" s="94" t="s">
        <v>102</v>
      </c>
      <c r="G19" s="98">
        <v>0.05</v>
      </c>
      <c r="H19" s="94" t="s">
        <v>103</v>
      </c>
      <c r="I19" s="94" t="s">
        <v>95</v>
      </c>
      <c r="J19" s="94" t="s">
        <v>96</v>
      </c>
      <c r="K19" s="94" t="s">
        <v>97</v>
      </c>
      <c r="L19" s="100" t="s">
        <v>40</v>
      </c>
      <c r="M19" s="94" t="s">
        <v>40</v>
      </c>
      <c r="N19" s="94" t="s">
        <v>98</v>
      </c>
      <c r="O19" s="94" t="s">
        <v>99</v>
      </c>
      <c r="P19" s="94" t="s">
        <v>100</v>
      </c>
      <c r="Q19" s="94" t="s">
        <v>101</v>
      </c>
      <c r="R19" s="94" t="s">
        <v>40</v>
      </c>
      <c r="S19" s="98">
        <v>0.05</v>
      </c>
      <c r="T19" s="94" t="s">
        <v>97</v>
      </c>
      <c r="U19" s="94"/>
      <c r="V19" s="70"/>
      <c r="W19" s="73" t="str">
        <f t="shared" si="2"/>
        <v>X</v>
      </c>
      <c r="X19" s="73" t="str">
        <f t="shared" si="3"/>
        <v/>
      </c>
      <c r="Y19" s="73" t="str">
        <f t="shared" si="4"/>
        <v/>
      </c>
      <c r="Z19" s="73" t="str">
        <f t="shared" si="5"/>
        <v/>
      </c>
      <c r="AA19" s="73" t="s">
        <v>26</v>
      </c>
      <c r="AB19" s="73" t="str">
        <f t="shared" si="6"/>
        <v>Trim 1</v>
      </c>
      <c r="AC19" s="73">
        <f t="shared" si="7"/>
        <v>1</v>
      </c>
      <c r="AD19" s="73">
        <f t="shared" si="8"/>
        <v>1</v>
      </c>
      <c r="AE19" s="73"/>
      <c r="AF19" s="73"/>
      <c r="AG19" s="73"/>
      <c r="AH19" s="73"/>
      <c r="AI19" s="73"/>
    </row>
    <row r="20" spans="1:35" ht="75">
      <c r="A20" s="94" t="s">
        <v>92</v>
      </c>
      <c r="B20" s="94">
        <v>2</v>
      </c>
      <c r="C20" s="94" t="s">
        <v>104</v>
      </c>
      <c r="D20" s="96">
        <v>0.6</v>
      </c>
      <c r="E20" s="94" t="s">
        <v>56</v>
      </c>
      <c r="F20" s="94" t="s">
        <v>105</v>
      </c>
      <c r="G20" s="98">
        <v>0.04</v>
      </c>
      <c r="H20" s="94" t="s">
        <v>106</v>
      </c>
      <c r="I20" s="95" t="s">
        <v>107</v>
      </c>
      <c r="J20" s="94" t="s">
        <v>96</v>
      </c>
      <c r="K20" s="100" t="s">
        <v>108</v>
      </c>
      <c r="L20" s="100" t="s">
        <v>40</v>
      </c>
      <c r="M20" s="94" t="s">
        <v>40</v>
      </c>
      <c r="N20" s="94" t="s">
        <v>98</v>
      </c>
      <c r="O20" s="94" t="s">
        <v>99</v>
      </c>
      <c r="P20" s="94" t="s">
        <v>100</v>
      </c>
      <c r="Q20" s="94" t="s">
        <v>101</v>
      </c>
      <c r="R20" s="94" t="s">
        <v>40</v>
      </c>
      <c r="S20" s="98">
        <v>0.04</v>
      </c>
      <c r="T20" s="94" t="s">
        <v>108</v>
      </c>
      <c r="U20" s="94"/>
      <c r="V20" s="70"/>
      <c r="W20" s="73" t="str">
        <f t="shared" si="2"/>
        <v>X</v>
      </c>
      <c r="X20" s="73" t="str">
        <f t="shared" si="3"/>
        <v/>
      </c>
      <c r="Y20" s="73" t="str">
        <f t="shared" si="4"/>
        <v/>
      </c>
      <c r="Z20" s="73" t="str">
        <f t="shared" si="5"/>
        <v/>
      </c>
      <c r="AA20" s="73" t="s">
        <v>26</v>
      </c>
      <c r="AB20" s="73" t="str">
        <f t="shared" si="6"/>
        <v>Trim 1</v>
      </c>
      <c r="AC20" s="73">
        <f t="shared" si="7"/>
        <v>1</v>
      </c>
      <c r="AD20" s="73">
        <f t="shared" si="8"/>
        <v>1</v>
      </c>
      <c r="AE20" s="73"/>
      <c r="AF20" s="73"/>
      <c r="AG20" s="73"/>
      <c r="AH20" s="73"/>
      <c r="AI20" s="73"/>
    </row>
    <row r="21" spans="1:35" ht="75">
      <c r="A21" s="94" t="s">
        <v>92</v>
      </c>
      <c r="B21" s="94">
        <v>2</v>
      </c>
      <c r="C21" s="94" t="s">
        <v>104</v>
      </c>
      <c r="D21" s="96">
        <v>0.6</v>
      </c>
      <c r="E21" s="94" t="s">
        <v>60</v>
      </c>
      <c r="F21" s="94" t="s">
        <v>105</v>
      </c>
      <c r="G21" s="98">
        <v>0.04</v>
      </c>
      <c r="H21" s="94" t="s">
        <v>106</v>
      </c>
      <c r="I21" s="95" t="s">
        <v>107</v>
      </c>
      <c r="J21" s="94" t="s">
        <v>96</v>
      </c>
      <c r="K21" s="100" t="s">
        <v>45</v>
      </c>
      <c r="L21" s="100" t="s">
        <v>40</v>
      </c>
      <c r="M21" s="94" t="s">
        <v>40</v>
      </c>
      <c r="N21" s="94" t="s">
        <v>98</v>
      </c>
      <c r="O21" s="94" t="s">
        <v>99</v>
      </c>
      <c r="P21" s="94" t="s">
        <v>100</v>
      </c>
      <c r="Q21" s="94" t="s">
        <v>101</v>
      </c>
      <c r="R21" s="94" t="s">
        <v>40</v>
      </c>
      <c r="S21" s="98">
        <v>0.04</v>
      </c>
      <c r="T21" s="94" t="s">
        <v>45</v>
      </c>
      <c r="U21" s="94"/>
      <c r="V21" s="70"/>
      <c r="W21" s="73" t="str">
        <f t="shared" si="2"/>
        <v>X</v>
      </c>
      <c r="X21" s="73" t="str">
        <f t="shared" si="3"/>
        <v/>
      </c>
      <c r="Y21" s="73" t="str">
        <f t="shared" si="4"/>
        <v/>
      </c>
      <c r="Z21" s="73" t="str">
        <f t="shared" si="5"/>
        <v/>
      </c>
      <c r="AA21" s="73" t="s">
        <v>26</v>
      </c>
      <c r="AB21" s="73" t="str">
        <f t="shared" si="6"/>
        <v>Trim 1</v>
      </c>
      <c r="AC21" s="73">
        <f t="shared" si="7"/>
        <v>1</v>
      </c>
      <c r="AD21" s="73">
        <f t="shared" si="8"/>
        <v>1</v>
      </c>
      <c r="AE21" s="73"/>
      <c r="AF21" s="73"/>
      <c r="AG21" s="73"/>
      <c r="AH21" s="73"/>
      <c r="AI21" s="73"/>
    </row>
    <row r="22" spans="1:35" ht="75">
      <c r="A22" s="94" t="s">
        <v>92</v>
      </c>
      <c r="B22" s="94">
        <v>2</v>
      </c>
      <c r="C22" s="94" t="s">
        <v>104</v>
      </c>
      <c r="D22" s="96">
        <v>0.6</v>
      </c>
      <c r="E22" s="94" t="s">
        <v>63</v>
      </c>
      <c r="F22" s="94" t="s">
        <v>105</v>
      </c>
      <c r="G22" s="98">
        <v>0.04</v>
      </c>
      <c r="H22" s="94" t="s">
        <v>106</v>
      </c>
      <c r="I22" s="95" t="s">
        <v>107</v>
      </c>
      <c r="J22" s="94" t="s">
        <v>96</v>
      </c>
      <c r="K22" s="100" t="s">
        <v>109</v>
      </c>
      <c r="L22" s="100" t="s">
        <v>40</v>
      </c>
      <c r="M22" s="94" t="s">
        <v>40</v>
      </c>
      <c r="N22" s="94" t="s">
        <v>98</v>
      </c>
      <c r="O22" s="94" t="s">
        <v>99</v>
      </c>
      <c r="P22" s="94" t="s">
        <v>100</v>
      </c>
      <c r="Q22" s="94" t="s">
        <v>101</v>
      </c>
      <c r="R22" s="94" t="s">
        <v>40</v>
      </c>
      <c r="S22" s="98"/>
      <c r="T22" s="94"/>
      <c r="U22" s="94"/>
      <c r="V22" s="70"/>
      <c r="W22" s="73" t="str">
        <f t="shared" si="2"/>
        <v/>
      </c>
      <c r="X22" s="73" t="str">
        <f t="shared" si="3"/>
        <v>X</v>
      </c>
      <c r="Y22" s="73" t="str">
        <f t="shared" si="4"/>
        <v/>
      </c>
      <c r="Z22" s="73" t="str">
        <f t="shared" si="5"/>
        <v/>
      </c>
      <c r="AA22" s="73" t="s">
        <v>27</v>
      </c>
      <c r="AB22" s="73" t="str">
        <f t="shared" si="6"/>
        <v>Trim 2</v>
      </c>
      <c r="AC22" s="73">
        <f t="shared" si="7"/>
        <v>0</v>
      </c>
      <c r="AD22" s="73">
        <f t="shared" si="8"/>
        <v>0</v>
      </c>
      <c r="AE22" s="73"/>
      <c r="AF22" s="73"/>
      <c r="AG22" s="73"/>
      <c r="AH22" s="73"/>
      <c r="AI22" s="73"/>
    </row>
    <row r="23" spans="1:35" ht="75">
      <c r="A23" s="94" t="s">
        <v>92</v>
      </c>
      <c r="B23" s="94">
        <v>2</v>
      </c>
      <c r="C23" s="94" t="s">
        <v>104</v>
      </c>
      <c r="D23" s="96">
        <v>0.6</v>
      </c>
      <c r="E23" s="94" t="s">
        <v>110</v>
      </c>
      <c r="F23" s="94" t="s">
        <v>105</v>
      </c>
      <c r="G23" s="98">
        <v>0.04</v>
      </c>
      <c r="H23" s="94" t="s">
        <v>106</v>
      </c>
      <c r="I23" s="95" t="s">
        <v>107</v>
      </c>
      <c r="J23" s="94" t="s">
        <v>96</v>
      </c>
      <c r="K23" s="100" t="s">
        <v>111</v>
      </c>
      <c r="L23" s="100" t="s">
        <v>40</v>
      </c>
      <c r="M23" s="94" t="s">
        <v>40</v>
      </c>
      <c r="N23" s="94" t="s">
        <v>98</v>
      </c>
      <c r="O23" s="94" t="s">
        <v>99</v>
      </c>
      <c r="P23" s="94" t="s">
        <v>100</v>
      </c>
      <c r="Q23" s="94" t="s">
        <v>101</v>
      </c>
      <c r="R23" s="94" t="s">
        <v>40</v>
      </c>
      <c r="S23" s="98"/>
      <c r="T23" s="94"/>
      <c r="U23" s="94"/>
      <c r="V23" s="70"/>
      <c r="W23" s="73" t="str">
        <f t="shared" si="2"/>
        <v/>
      </c>
      <c r="X23" s="73" t="str">
        <f t="shared" si="3"/>
        <v>X</v>
      </c>
      <c r="Y23" s="73" t="str">
        <f t="shared" si="4"/>
        <v/>
      </c>
      <c r="Z23" s="73" t="str">
        <f t="shared" si="5"/>
        <v/>
      </c>
      <c r="AA23" s="73" t="s">
        <v>27</v>
      </c>
      <c r="AB23" s="73" t="str">
        <f t="shared" si="6"/>
        <v>Trim 2</v>
      </c>
      <c r="AC23" s="73">
        <f t="shared" si="7"/>
        <v>0</v>
      </c>
      <c r="AD23" s="73">
        <f t="shared" si="8"/>
        <v>0</v>
      </c>
      <c r="AE23" s="73"/>
      <c r="AF23" s="73"/>
      <c r="AG23" s="73"/>
      <c r="AH23" s="73"/>
      <c r="AI23" s="73"/>
    </row>
    <row r="24" spans="1:35" ht="75">
      <c r="A24" s="94" t="s">
        <v>92</v>
      </c>
      <c r="B24" s="94">
        <v>2</v>
      </c>
      <c r="C24" s="94" t="s">
        <v>104</v>
      </c>
      <c r="D24" s="96">
        <v>0.6</v>
      </c>
      <c r="E24" s="94" t="s">
        <v>112</v>
      </c>
      <c r="F24" s="94" t="s">
        <v>105</v>
      </c>
      <c r="G24" s="98">
        <v>0.04</v>
      </c>
      <c r="H24" s="94" t="s">
        <v>106</v>
      </c>
      <c r="I24" s="95" t="s">
        <v>107</v>
      </c>
      <c r="J24" s="94" t="s">
        <v>96</v>
      </c>
      <c r="K24" s="100" t="s">
        <v>113</v>
      </c>
      <c r="L24" s="100" t="s">
        <v>40</v>
      </c>
      <c r="M24" s="94" t="s">
        <v>40</v>
      </c>
      <c r="N24" s="94" t="s">
        <v>98</v>
      </c>
      <c r="O24" s="94" t="s">
        <v>99</v>
      </c>
      <c r="P24" s="94" t="s">
        <v>100</v>
      </c>
      <c r="Q24" s="94" t="s">
        <v>101</v>
      </c>
      <c r="R24" s="94" t="s">
        <v>40</v>
      </c>
      <c r="S24" s="98"/>
      <c r="T24" s="94"/>
      <c r="U24" s="94"/>
      <c r="V24" s="70"/>
      <c r="W24" s="73" t="str">
        <f t="shared" si="2"/>
        <v/>
      </c>
      <c r="X24" s="73" t="str">
        <f t="shared" si="3"/>
        <v/>
      </c>
      <c r="Y24" s="73" t="str">
        <f t="shared" si="4"/>
        <v>X</v>
      </c>
      <c r="Z24" s="73" t="str">
        <f t="shared" si="5"/>
        <v/>
      </c>
      <c r="AA24" s="73" t="s">
        <v>28</v>
      </c>
      <c r="AB24" s="73" t="str">
        <f t="shared" si="6"/>
        <v>Trim 3</v>
      </c>
      <c r="AC24" s="73">
        <f t="shared" si="7"/>
        <v>0</v>
      </c>
      <c r="AD24" s="73">
        <f t="shared" si="8"/>
        <v>0</v>
      </c>
      <c r="AE24" s="73"/>
      <c r="AF24" s="73"/>
      <c r="AG24" s="73"/>
      <c r="AH24" s="73"/>
      <c r="AI24" s="73"/>
    </row>
    <row r="25" spans="1:35" ht="75">
      <c r="A25" s="94" t="s">
        <v>92</v>
      </c>
      <c r="B25" s="94">
        <v>2</v>
      </c>
      <c r="C25" s="94" t="s">
        <v>104</v>
      </c>
      <c r="D25" s="96">
        <v>0.6</v>
      </c>
      <c r="E25" s="94" t="s">
        <v>114</v>
      </c>
      <c r="F25" s="94" t="s">
        <v>105</v>
      </c>
      <c r="G25" s="98">
        <v>0.04</v>
      </c>
      <c r="H25" s="94" t="s">
        <v>106</v>
      </c>
      <c r="I25" s="95" t="s">
        <v>107</v>
      </c>
      <c r="J25" s="94" t="s">
        <v>96</v>
      </c>
      <c r="K25" s="100" t="s">
        <v>115</v>
      </c>
      <c r="L25" s="100" t="s">
        <v>40</v>
      </c>
      <c r="M25" s="94" t="s">
        <v>40</v>
      </c>
      <c r="N25" s="94" t="s">
        <v>98</v>
      </c>
      <c r="O25" s="94" t="s">
        <v>99</v>
      </c>
      <c r="P25" s="94" t="s">
        <v>100</v>
      </c>
      <c r="Q25" s="94" t="s">
        <v>101</v>
      </c>
      <c r="R25" s="94" t="s">
        <v>40</v>
      </c>
      <c r="S25" s="98"/>
      <c r="T25" s="94"/>
      <c r="U25" s="94"/>
      <c r="V25" s="70"/>
      <c r="W25" s="73" t="str">
        <f t="shared" si="2"/>
        <v/>
      </c>
      <c r="X25" s="73" t="str">
        <f t="shared" si="3"/>
        <v/>
      </c>
      <c r="Y25" s="73" t="str">
        <f t="shared" si="4"/>
        <v>X</v>
      </c>
      <c r="Z25" s="73" t="str">
        <f t="shared" si="5"/>
        <v/>
      </c>
      <c r="AA25" s="73" t="s">
        <v>28</v>
      </c>
      <c r="AB25" s="73" t="str">
        <f t="shared" si="6"/>
        <v>Trim 3</v>
      </c>
      <c r="AC25" s="73">
        <f t="shared" si="7"/>
        <v>0</v>
      </c>
      <c r="AD25" s="73">
        <f t="shared" si="8"/>
        <v>0</v>
      </c>
      <c r="AE25" s="73"/>
      <c r="AF25" s="73"/>
      <c r="AG25" s="73"/>
      <c r="AH25" s="73"/>
      <c r="AI25" s="73"/>
    </row>
    <row r="26" spans="1:35" ht="75">
      <c r="A26" s="94" t="s">
        <v>92</v>
      </c>
      <c r="B26" s="94">
        <v>2</v>
      </c>
      <c r="C26" s="94" t="s">
        <v>104</v>
      </c>
      <c r="D26" s="96">
        <v>0.6</v>
      </c>
      <c r="E26" s="94" t="s">
        <v>116</v>
      </c>
      <c r="F26" s="94" t="s">
        <v>105</v>
      </c>
      <c r="G26" s="98">
        <v>0.04</v>
      </c>
      <c r="H26" s="94" t="s">
        <v>106</v>
      </c>
      <c r="I26" s="95" t="s">
        <v>107</v>
      </c>
      <c r="J26" s="94" t="s">
        <v>96</v>
      </c>
      <c r="K26" s="100" t="s">
        <v>117</v>
      </c>
      <c r="L26" s="100" t="s">
        <v>40</v>
      </c>
      <c r="M26" s="94" t="s">
        <v>40</v>
      </c>
      <c r="N26" s="94" t="s">
        <v>98</v>
      </c>
      <c r="O26" s="94" t="s">
        <v>99</v>
      </c>
      <c r="P26" s="94" t="s">
        <v>100</v>
      </c>
      <c r="Q26" s="94" t="s">
        <v>101</v>
      </c>
      <c r="R26" s="94" t="s">
        <v>40</v>
      </c>
      <c r="S26" s="98"/>
      <c r="T26" s="94"/>
      <c r="U26" s="94"/>
      <c r="V26" s="70"/>
      <c r="W26" s="73" t="str">
        <f t="shared" si="2"/>
        <v/>
      </c>
      <c r="X26" s="73" t="str">
        <f t="shared" si="3"/>
        <v/>
      </c>
      <c r="Y26" s="73" t="str">
        <f t="shared" si="4"/>
        <v/>
      </c>
      <c r="Z26" s="73" t="str">
        <f t="shared" si="5"/>
        <v>X</v>
      </c>
      <c r="AA26" s="73" t="s">
        <v>29</v>
      </c>
      <c r="AB26" s="73" t="str">
        <f t="shared" si="6"/>
        <v>Trim 4</v>
      </c>
      <c r="AC26" s="73">
        <f t="shared" si="7"/>
        <v>0</v>
      </c>
      <c r="AD26" s="73">
        <f t="shared" si="8"/>
        <v>0</v>
      </c>
      <c r="AE26" s="73"/>
      <c r="AF26" s="73"/>
      <c r="AG26" s="73"/>
      <c r="AH26" s="73"/>
      <c r="AI26" s="73"/>
    </row>
    <row r="27" spans="1:35" ht="75">
      <c r="A27" s="94" t="s">
        <v>92</v>
      </c>
      <c r="B27" s="94">
        <v>2</v>
      </c>
      <c r="C27" s="94" t="s">
        <v>104</v>
      </c>
      <c r="D27" s="96">
        <v>0.6</v>
      </c>
      <c r="E27" s="94" t="s">
        <v>118</v>
      </c>
      <c r="F27" s="94" t="s">
        <v>119</v>
      </c>
      <c r="G27" s="98">
        <v>0.05</v>
      </c>
      <c r="H27" s="94" t="s">
        <v>120</v>
      </c>
      <c r="I27" s="95" t="s">
        <v>107</v>
      </c>
      <c r="J27" s="94" t="s">
        <v>96</v>
      </c>
      <c r="K27" s="94" t="s">
        <v>97</v>
      </c>
      <c r="L27" s="100" t="s">
        <v>40</v>
      </c>
      <c r="M27" s="94" t="s">
        <v>40</v>
      </c>
      <c r="N27" s="94" t="s">
        <v>98</v>
      </c>
      <c r="O27" s="94" t="s">
        <v>99</v>
      </c>
      <c r="P27" s="94" t="s">
        <v>100</v>
      </c>
      <c r="Q27" s="94" t="s">
        <v>101</v>
      </c>
      <c r="R27" s="94" t="s">
        <v>40</v>
      </c>
      <c r="S27" s="98">
        <v>0.05</v>
      </c>
      <c r="T27" s="94" t="s">
        <v>97</v>
      </c>
      <c r="U27" s="94"/>
      <c r="V27" s="70"/>
      <c r="W27" s="73" t="str">
        <f t="shared" si="2"/>
        <v>X</v>
      </c>
      <c r="X27" s="73" t="str">
        <f t="shared" si="3"/>
        <v/>
      </c>
      <c r="Y27" s="73" t="str">
        <f t="shared" si="4"/>
        <v/>
      </c>
      <c r="Z27" s="73" t="str">
        <f t="shared" si="5"/>
        <v/>
      </c>
      <c r="AA27" s="73" t="s">
        <v>26</v>
      </c>
      <c r="AB27" s="73" t="str">
        <f t="shared" si="6"/>
        <v>Trim 1</v>
      </c>
      <c r="AC27" s="73">
        <f t="shared" si="7"/>
        <v>1</v>
      </c>
      <c r="AD27" s="73">
        <f t="shared" si="8"/>
        <v>1</v>
      </c>
      <c r="AE27" s="73"/>
      <c r="AF27" s="73"/>
      <c r="AG27" s="73"/>
      <c r="AH27" s="73"/>
      <c r="AI27" s="73"/>
    </row>
    <row r="28" spans="1:35" ht="75">
      <c r="A28" s="94" t="s">
        <v>92</v>
      </c>
      <c r="B28" s="94">
        <v>2</v>
      </c>
      <c r="C28" s="94" t="s">
        <v>104</v>
      </c>
      <c r="D28" s="96">
        <v>0.6</v>
      </c>
      <c r="E28" s="94" t="s">
        <v>121</v>
      </c>
      <c r="F28" s="94" t="s">
        <v>122</v>
      </c>
      <c r="G28" s="98">
        <v>0.02</v>
      </c>
      <c r="H28" s="94" t="s">
        <v>120</v>
      </c>
      <c r="I28" s="95" t="s">
        <v>107</v>
      </c>
      <c r="J28" s="94" t="s">
        <v>96</v>
      </c>
      <c r="K28" s="94" t="s">
        <v>108</v>
      </c>
      <c r="L28" s="100" t="s">
        <v>40</v>
      </c>
      <c r="M28" s="94" t="s">
        <v>40</v>
      </c>
      <c r="N28" s="94" t="s">
        <v>98</v>
      </c>
      <c r="O28" s="94" t="s">
        <v>99</v>
      </c>
      <c r="P28" s="94" t="s">
        <v>100</v>
      </c>
      <c r="Q28" s="94" t="s">
        <v>101</v>
      </c>
      <c r="R28" s="94" t="s">
        <v>40</v>
      </c>
      <c r="S28" s="98">
        <v>0.02</v>
      </c>
      <c r="T28" s="94" t="s">
        <v>108</v>
      </c>
      <c r="U28" s="94"/>
      <c r="V28" s="70"/>
      <c r="W28" s="73" t="str">
        <f t="shared" si="2"/>
        <v>X</v>
      </c>
      <c r="X28" s="73" t="str">
        <f t="shared" si="3"/>
        <v/>
      </c>
      <c r="Y28" s="73" t="str">
        <f t="shared" si="4"/>
        <v/>
      </c>
      <c r="Z28" s="73" t="str">
        <f t="shared" si="5"/>
        <v/>
      </c>
      <c r="AA28" s="73" t="s">
        <v>26</v>
      </c>
      <c r="AB28" s="73" t="str">
        <f t="shared" si="6"/>
        <v>Trim 1</v>
      </c>
      <c r="AC28" s="73">
        <f t="shared" si="7"/>
        <v>1</v>
      </c>
      <c r="AD28" s="73">
        <f t="shared" si="8"/>
        <v>1</v>
      </c>
      <c r="AE28" s="73"/>
      <c r="AF28" s="73"/>
      <c r="AG28" s="73"/>
      <c r="AH28" s="73"/>
      <c r="AI28" s="73"/>
    </row>
    <row r="29" spans="1:35" ht="75">
      <c r="A29" s="94" t="s">
        <v>92</v>
      </c>
      <c r="B29" s="94">
        <v>2</v>
      </c>
      <c r="C29" s="94" t="s">
        <v>104</v>
      </c>
      <c r="D29" s="96">
        <v>0.6</v>
      </c>
      <c r="E29" s="94" t="s">
        <v>123</v>
      </c>
      <c r="F29" s="94" t="s">
        <v>124</v>
      </c>
      <c r="G29" s="98">
        <v>0.03</v>
      </c>
      <c r="H29" s="94" t="s">
        <v>120</v>
      </c>
      <c r="I29" s="95" t="s">
        <v>107</v>
      </c>
      <c r="J29" s="94" t="s">
        <v>96</v>
      </c>
      <c r="K29" s="94" t="s">
        <v>45</v>
      </c>
      <c r="L29" s="100" t="s">
        <v>40</v>
      </c>
      <c r="M29" s="94" t="s">
        <v>40</v>
      </c>
      <c r="N29" s="94" t="s">
        <v>98</v>
      </c>
      <c r="O29" s="94" t="s">
        <v>99</v>
      </c>
      <c r="P29" s="94" t="s">
        <v>100</v>
      </c>
      <c r="Q29" s="94" t="s">
        <v>101</v>
      </c>
      <c r="R29" s="94" t="s">
        <v>40</v>
      </c>
      <c r="S29" s="98">
        <v>0.03</v>
      </c>
      <c r="T29" s="94" t="s">
        <v>45</v>
      </c>
      <c r="U29" s="94"/>
      <c r="V29" s="70"/>
      <c r="W29" s="73" t="str">
        <f t="shared" si="2"/>
        <v>X</v>
      </c>
      <c r="X29" s="73" t="str">
        <f t="shared" si="3"/>
        <v/>
      </c>
      <c r="Y29" s="73" t="str">
        <f t="shared" si="4"/>
        <v/>
      </c>
      <c r="Z29" s="73" t="str">
        <f t="shared" si="5"/>
        <v/>
      </c>
      <c r="AA29" s="73" t="s">
        <v>26</v>
      </c>
      <c r="AB29" s="73" t="str">
        <f t="shared" si="6"/>
        <v>Trim 1</v>
      </c>
      <c r="AC29" s="73">
        <f t="shared" si="7"/>
        <v>1</v>
      </c>
      <c r="AD29" s="73">
        <f t="shared" si="8"/>
        <v>1</v>
      </c>
      <c r="AE29" s="73"/>
      <c r="AF29" s="73"/>
      <c r="AG29" s="73"/>
      <c r="AH29" s="73"/>
      <c r="AI29" s="73"/>
    </row>
    <row r="30" spans="1:35" ht="75">
      <c r="A30" s="94" t="s">
        <v>92</v>
      </c>
      <c r="B30" s="94">
        <v>2</v>
      </c>
      <c r="C30" s="94" t="s">
        <v>104</v>
      </c>
      <c r="D30" s="96">
        <v>0.6</v>
      </c>
      <c r="E30" s="94" t="s">
        <v>125</v>
      </c>
      <c r="F30" s="94" t="s">
        <v>126</v>
      </c>
      <c r="G30" s="98">
        <v>5.0000000000000001E-3</v>
      </c>
      <c r="H30" s="94" t="s">
        <v>120</v>
      </c>
      <c r="I30" s="95" t="s">
        <v>107</v>
      </c>
      <c r="J30" s="94" t="s">
        <v>96</v>
      </c>
      <c r="K30" s="94" t="s">
        <v>109</v>
      </c>
      <c r="L30" s="100" t="s">
        <v>40</v>
      </c>
      <c r="M30" s="94" t="s">
        <v>40</v>
      </c>
      <c r="N30" s="94" t="s">
        <v>98</v>
      </c>
      <c r="O30" s="94" t="s">
        <v>99</v>
      </c>
      <c r="P30" s="94" t="s">
        <v>100</v>
      </c>
      <c r="Q30" s="94" t="s">
        <v>101</v>
      </c>
      <c r="R30" s="94" t="s">
        <v>40</v>
      </c>
      <c r="S30" s="98"/>
      <c r="T30" s="94"/>
      <c r="U30" s="94"/>
      <c r="V30" s="70"/>
      <c r="W30" s="73" t="str">
        <f t="shared" si="2"/>
        <v/>
      </c>
      <c r="X30" s="73" t="str">
        <f t="shared" si="3"/>
        <v>X</v>
      </c>
      <c r="Y30" s="73" t="str">
        <f t="shared" si="4"/>
        <v/>
      </c>
      <c r="Z30" s="73" t="str">
        <f t="shared" si="5"/>
        <v/>
      </c>
      <c r="AA30" s="73" t="s">
        <v>27</v>
      </c>
      <c r="AB30" s="73" t="str">
        <f t="shared" si="6"/>
        <v>Trim 2</v>
      </c>
      <c r="AC30" s="73">
        <f t="shared" si="7"/>
        <v>0</v>
      </c>
      <c r="AD30" s="73">
        <f t="shared" si="8"/>
        <v>0</v>
      </c>
      <c r="AE30" s="73"/>
      <c r="AF30" s="73"/>
      <c r="AG30" s="73"/>
      <c r="AH30" s="73"/>
      <c r="AI30" s="73"/>
    </row>
    <row r="31" spans="1:35" ht="75">
      <c r="A31" s="94" t="s">
        <v>92</v>
      </c>
      <c r="B31" s="94">
        <v>2</v>
      </c>
      <c r="C31" s="94" t="s">
        <v>104</v>
      </c>
      <c r="D31" s="96">
        <v>0.6</v>
      </c>
      <c r="E31" s="94" t="s">
        <v>127</v>
      </c>
      <c r="F31" s="94" t="s">
        <v>126</v>
      </c>
      <c r="G31" s="98">
        <v>5.0000000000000001E-3</v>
      </c>
      <c r="H31" s="94" t="s">
        <v>120</v>
      </c>
      <c r="I31" s="95" t="s">
        <v>107</v>
      </c>
      <c r="J31" s="94" t="s">
        <v>96</v>
      </c>
      <c r="K31" s="94" t="s">
        <v>128</v>
      </c>
      <c r="L31" s="100" t="s">
        <v>40</v>
      </c>
      <c r="M31" s="94" t="s">
        <v>40</v>
      </c>
      <c r="N31" s="94" t="s">
        <v>98</v>
      </c>
      <c r="O31" s="94" t="s">
        <v>99</v>
      </c>
      <c r="P31" s="94" t="s">
        <v>100</v>
      </c>
      <c r="Q31" s="94" t="s">
        <v>101</v>
      </c>
      <c r="R31" s="94" t="s">
        <v>40</v>
      </c>
      <c r="S31" s="98"/>
      <c r="T31" s="94"/>
      <c r="U31" s="94"/>
      <c r="V31" s="70"/>
      <c r="W31" s="73" t="str">
        <f t="shared" si="2"/>
        <v/>
      </c>
      <c r="X31" s="73" t="str">
        <f t="shared" si="3"/>
        <v>X</v>
      </c>
      <c r="Y31" s="73" t="str">
        <f t="shared" si="4"/>
        <v/>
      </c>
      <c r="Z31" s="73" t="str">
        <f t="shared" si="5"/>
        <v/>
      </c>
      <c r="AA31" s="73" t="s">
        <v>27</v>
      </c>
      <c r="AB31" s="73" t="str">
        <f t="shared" si="6"/>
        <v>Trim 2</v>
      </c>
      <c r="AC31" s="73">
        <f t="shared" si="7"/>
        <v>0</v>
      </c>
      <c r="AD31" s="73">
        <f t="shared" si="8"/>
        <v>0</v>
      </c>
      <c r="AE31" s="73"/>
      <c r="AF31" s="73"/>
      <c r="AG31" s="73"/>
      <c r="AH31" s="73"/>
      <c r="AI31" s="73"/>
    </row>
    <row r="32" spans="1:35" ht="75">
      <c r="A32" s="94" t="s">
        <v>92</v>
      </c>
      <c r="B32" s="94">
        <v>2</v>
      </c>
      <c r="C32" s="94" t="s">
        <v>104</v>
      </c>
      <c r="D32" s="96">
        <v>0.6</v>
      </c>
      <c r="E32" s="94" t="s">
        <v>129</v>
      </c>
      <c r="F32" s="94" t="s">
        <v>126</v>
      </c>
      <c r="G32" s="98">
        <v>5.0000000000000001E-3</v>
      </c>
      <c r="H32" s="94" t="s">
        <v>120</v>
      </c>
      <c r="I32" s="95" t="s">
        <v>107</v>
      </c>
      <c r="J32" s="94" t="s">
        <v>96</v>
      </c>
      <c r="K32" s="94" t="s">
        <v>111</v>
      </c>
      <c r="L32" s="100" t="s">
        <v>40</v>
      </c>
      <c r="M32" s="94" t="s">
        <v>40</v>
      </c>
      <c r="N32" s="94" t="s">
        <v>98</v>
      </c>
      <c r="O32" s="94" t="s">
        <v>99</v>
      </c>
      <c r="P32" s="94" t="s">
        <v>100</v>
      </c>
      <c r="Q32" s="94" t="s">
        <v>101</v>
      </c>
      <c r="R32" s="94" t="s">
        <v>40</v>
      </c>
      <c r="S32" s="98"/>
      <c r="T32" s="94"/>
      <c r="U32" s="94"/>
      <c r="V32" s="70"/>
      <c r="W32" s="73" t="str">
        <f t="shared" si="2"/>
        <v/>
      </c>
      <c r="X32" s="73" t="str">
        <f t="shared" si="3"/>
        <v>X</v>
      </c>
      <c r="Y32" s="73" t="str">
        <f t="shared" si="4"/>
        <v/>
      </c>
      <c r="Z32" s="73" t="str">
        <f t="shared" si="5"/>
        <v/>
      </c>
      <c r="AA32" s="73" t="s">
        <v>27</v>
      </c>
      <c r="AB32" s="73" t="str">
        <f t="shared" si="6"/>
        <v>Trim 2</v>
      </c>
      <c r="AC32" s="73">
        <f t="shared" si="7"/>
        <v>0</v>
      </c>
      <c r="AD32" s="73">
        <f t="shared" si="8"/>
        <v>0</v>
      </c>
      <c r="AE32" s="73"/>
      <c r="AF32" s="73"/>
      <c r="AG32" s="73"/>
      <c r="AH32" s="73"/>
      <c r="AI32" s="73"/>
    </row>
    <row r="33" spans="1:35" ht="75">
      <c r="A33" s="94" t="s">
        <v>92</v>
      </c>
      <c r="B33" s="94">
        <v>2</v>
      </c>
      <c r="C33" s="94" t="s">
        <v>104</v>
      </c>
      <c r="D33" s="96">
        <v>0.6</v>
      </c>
      <c r="E33" s="94" t="s">
        <v>130</v>
      </c>
      <c r="F33" s="94" t="s">
        <v>131</v>
      </c>
      <c r="G33" s="98">
        <v>0.04</v>
      </c>
      <c r="H33" s="94" t="s">
        <v>120</v>
      </c>
      <c r="I33" s="95" t="s">
        <v>107</v>
      </c>
      <c r="J33" s="94" t="s">
        <v>96</v>
      </c>
      <c r="K33" s="94" t="s">
        <v>113</v>
      </c>
      <c r="L33" s="100" t="s">
        <v>40</v>
      </c>
      <c r="M33" s="94" t="s">
        <v>40</v>
      </c>
      <c r="N33" s="94" t="s">
        <v>98</v>
      </c>
      <c r="O33" s="94" t="s">
        <v>99</v>
      </c>
      <c r="P33" s="94" t="s">
        <v>100</v>
      </c>
      <c r="Q33" s="94" t="s">
        <v>101</v>
      </c>
      <c r="R33" s="94" t="s">
        <v>40</v>
      </c>
      <c r="S33" s="98"/>
      <c r="T33" s="94"/>
      <c r="U33" s="94"/>
      <c r="V33" s="70"/>
      <c r="W33" s="73" t="str">
        <f t="shared" si="2"/>
        <v/>
      </c>
      <c r="X33" s="73" t="str">
        <f t="shared" si="3"/>
        <v/>
      </c>
      <c r="Y33" s="73" t="str">
        <f t="shared" si="4"/>
        <v>X</v>
      </c>
      <c r="Z33" s="73" t="str">
        <f t="shared" si="5"/>
        <v/>
      </c>
      <c r="AA33" s="73" t="s">
        <v>28</v>
      </c>
      <c r="AB33" s="73" t="str">
        <f t="shared" si="6"/>
        <v>Trim 3</v>
      </c>
      <c r="AC33" s="73">
        <f t="shared" si="7"/>
        <v>0</v>
      </c>
      <c r="AD33" s="73">
        <f t="shared" si="8"/>
        <v>0</v>
      </c>
      <c r="AE33" s="73"/>
      <c r="AF33" s="73"/>
      <c r="AG33" s="73"/>
      <c r="AH33" s="73"/>
      <c r="AI33" s="73"/>
    </row>
    <row r="34" spans="1:35" ht="75">
      <c r="A34" s="94" t="s">
        <v>92</v>
      </c>
      <c r="B34" s="94">
        <v>2</v>
      </c>
      <c r="C34" s="94" t="s">
        <v>104</v>
      </c>
      <c r="D34" s="96">
        <v>0.6</v>
      </c>
      <c r="E34" s="94" t="s">
        <v>132</v>
      </c>
      <c r="F34" s="94" t="s">
        <v>126</v>
      </c>
      <c r="G34" s="98">
        <v>5.0000000000000001E-3</v>
      </c>
      <c r="H34" s="94" t="s">
        <v>120</v>
      </c>
      <c r="I34" s="95" t="s">
        <v>107</v>
      </c>
      <c r="J34" s="94" t="s">
        <v>96</v>
      </c>
      <c r="K34" s="94" t="s">
        <v>133</v>
      </c>
      <c r="L34" s="100" t="s">
        <v>40</v>
      </c>
      <c r="M34" s="94" t="s">
        <v>40</v>
      </c>
      <c r="N34" s="94" t="s">
        <v>98</v>
      </c>
      <c r="O34" s="94" t="s">
        <v>99</v>
      </c>
      <c r="P34" s="94" t="s">
        <v>100</v>
      </c>
      <c r="Q34" s="94" t="s">
        <v>101</v>
      </c>
      <c r="R34" s="94" t="s">
        <v>40</v>
      </c>
      <c r="S34" s="98"/>
      <c r="T34" s="94"/>
      <c r="U34" s="94"/>
      <c r="V34" s="70"/>
      <c r="W34" s="73" t="str">
        <f t="shared" si="2"/>
        <v/>
      </c>
      <c r="X34" s="73" t="str">
        <f t="shared" si="3"/>
        <v/>
      </c>
      <c r="Y34" s="73" t="str">
        <f t="shared" si="4"/>
        <v>X</v>
      </c>
      <c r="Z34" s="73" t="str">
        <f t="shared" si="5"/>
        <v/>
      </c>
      <c r="AA34" s="73" t="s">
        <v>28</v>
      </c>
      <c r="AB34" s="73" t="str">
        <f t="shared" si="6"/>
        <v>Trim 3</v>
      </c>
      <c r="AC34" s="73">
        <f t="shared" si="7"/>
        <v>0</v>
      </c>
      <c r="AD34" s="73">
        <f t="shared" si="8"/>
        <v>0</v>
      </c>
      <c r="AE34" s="73"/>
      <c r="AF34" s="73"/>
      <c r="AG34" s="73"/>
      <c r="AH34" s="73"/>
      <c r="AI34" s="73"/>
    </row>
    <row r="35" spans="1:35" ht="75">
      <c r="A35" s="94" t="s">
        <v>92</v>
      </c>
      <c r="B35" s="94">
        <v>2</v>
      </c>
      <c r="C35" s="94" t="s">
        <v>104</v>
      </c>
      <c r="D35" s="96">
        <v>0.6</v>
      </c>
      <c r="E35" s="94" t="s">
        <v>134</v>
      </c>
      <c r="F35" s="94" t="s">
        <v>135</v>
      </c>
      <c r="G35" s="98">
        <v>0.01</v>
      </c>
      <c r="H35" s="94" t="s">
        <v>120</v>
      </c>
      <c r="I35" s="95" t="s">
        <v>107</v>
      </c>
      <c r="J35" s="94" t="s">
        <v>96</v>
      </c>
      <c r="K35" s="94" t="s">
        <v>115</v>
      </c>
      <c r="L35" s="100" t="s">
        <v>40</v>
      </c>
      <c r="M35" s="94" t="s">
        <v>40</v>
      </c>
      <c r="N35" s="94" t="s">
        <v>98</v>
      </c>
      <c r="O35" s="94" t="s">
        <v>99</v>
      </c>
      <c r="P35" s="94" t="s">
        <v>100</v>
      </c>
      <c r="Q35" s="94" t="s">
        <v>101</v>
      </c>
      <c r="R35" s="94" t="s">
        <v>40</v>
      </c>
      <c r="S35" s="98"/>
      <c r="T35" s="94"/>
      <c r="U35" s="94"/>
      <c r="V35" s="70"/>
      <c r="W35" s="73" t="str">
        <f t="shared" si="2"/>
        <v/>
      </c>
      <c r="X35" s="73" t="str">
        <f t="shared" si="3"/>
        <v/>
      </c>
      <c r="Y35" s="73" t="str">
        <f t="shared" si="4"/>
        <v>X</v>
      </c>
      <c r="Z35" s="73" t="str">
        <f t="shared" si="5"/>
        <v/>
      </c>
      <c r="AA35" s="73" t="s">
        <v>28</v>
      </c>
      <c r="AB35" s="73" t="str">
        <f t="shared" si="6"/>
        <v>Trim 3</v>
      </c>
      <c r="AC35" s="73">
        <f t="shared" si="7"/>
        <v>0</v>
      </c>
      <c r="AD35" s="73">
        <f t="shared" si="8"/>
        <v>0</v>
      </c>
      <c r="AE35" s="73"/>
      <c r="AF35" s="73"/>
      <c r="AG35" s="73"/>
      <c r="AH35" s="73"/>
      <c r="AI35" s="73"/>
    </row>
    <row r="36" spans="1:35" ht="75">
      <c r="A36" s="94" t="s">
        <v>92</v>
      </c>
      <c r="B36" s="94">
        <v>2</v>
      </c>
      <c r="C36" s="94" t="s">
        <v>104</v>
      </c>
      <c r="D36" s="96">
        <v>0.6</v>
      </c>
      <c r="E36" s="94" t="s">
        <v>136</v>
      </c>
      <c r="F36" s="94" t="s">
        <v>126</v>
      </c>
      <c r="G36" s="98">
        <v>5.0000000000000001E-3</v>
      </c>
      <c r="H36" s="94" t="s">
        <v>120</v>
      </c>
      <c r="I36" s="95" t="s">
        <v>107</v>
      </c>
      <c r="J36" s="94" t="s">
        <v>96</v>
      </c>
      <c r="K36" s="94" t="s">
        <v>117</v>
      </c>
      <c r="L36" s="100" t="s">
        <v>40</v>
      </c>
      <c r="M36" s="94" t="s">
        <v>40</v>
      </c>
      <c r="N36" s="94" t="s">
        <v>98</v>
      </c>
      <c r="O36" s="94" t="s">
        <v>99</v>
      </c>
      <c r="P36" s="94" t="s">
        <v>100</v>
      </c>
      <c r="Q36" s="94" t="s">
        <v>101</v>
      </c>
      <c r="R36" s="94" t="s">
        <v>40</v>
      </c>
      <c r="S36" s="98"/>
      <c r="T36" s="94"/>
      <c r="U36" s="94"/>
      <c r="V36" s="70"/>
      <c r="W36" s="73" t="str">
        <f t="shared" si="2"/>
        <v/>
      </c>
      <c r="X36" s="73" t="str">
        <f t="shared" si="3"/>
        <v/>
      </c>
      <c r="Y36" s="73" t="str">
        <f t="shared" si="4"/>
        <v/>
      </c>
      <c r="Z36" s="73" t="str">
        <f t="shared" si="5"/>
        <v>X</v>
      </c>
      <c r="AA36" s="73" t="s">
        <v>29</v>
      </c>
      <c r="AB36" s="73" t="str">
        <f t="shared" si="6"/>
        <v>Trim 4</v>
      </c>
      <c r="AC36" s="73">
        <f t="shared" si="7"/>
        <v>0</v>
      </c>
      <c r="AD36" s="73">
        <f t="shared" si="8"/>
        <v>0</v>
      </c>
      <c r="AE36" s="73"/>
      <c r="AF36" s="73"/>
      <c r="AG36" s="73"/>
      <c r="AH36" s="73"/>
      <c r="AI36" s="73"/>
    </row>
    <row r="37" spans="1:35" ht="75">
      <c r="A37" s="94" t="s">
        <v>92</v>
      </c>
      <c r="B37" s="94">
        <v>2</v>
      </c>
      <c r="C37" s="94" t="s">
        <v>104</v>
      </c>
      <c r="D37" s="96">
        <v>0.6</v>
      </c>
      <c r="E37" s="94" t="s">
        <v>137</v>
      </c>
      <c r="F37" s="94" t="s">
        <v>126</v>
      </c>
      <c r="G37" s="98">
        <v>5.0000000000000001E-3</v>
      </c>
      <c r="H37" s="94" t="s">
        <v>120</v>
      </c>
      <c r="I37" s="95" t="s">
        <v>107</v>
      </c>
      <c r="J37" s="94" t="s">
        <v>96</v>
      </c>
      <c r="K37" s="94" t="s">
        <v>138</v>
      </c>
      <c r="L37" s="100" t="s">
        <v>40</v>
      </c>
      <c r="M37" s="94" t="s">
        <v>40</v>
      </c>
      <c r="N37" s="94" t="s">
        <v>98</v>
      </c>
      <c r="O37" s="94" t="s">
        <v>99</v>
      </c>
      <c r="P37" s="94" t="s">
        <v>100</v>
      </c>
      <c r="Q37" s="94" t="s">
        <v>101</v>
      </c>
      <c r="R37" s="94" t="s">
        <v>40</v>
      </c>
      <c r="S37" s="98"/>
      <c r="T37" s="94"/>
      <c r="U37" s="94"/>
      <c r="V37" s="70"/>
      <c r="W37" s="73" t="str">
        <f t="shared" si="2"/>
        <v/>
      </c>
      <c r="X37" s="73" t="str">
        <f t="shared" si="3"/>
        <v/>
      </c>
      <c r="Y37" s="73" t="str">
        <f t="shared" si="4"/>
        <v/>
      </c>
      <c r="Z37" s="73" t="str">
        <f t="shared" si="5"/>
        <v>X</v>
      </c>
      <c r="AA37" s="73" t="s">
        <v>29</v>
      </c>
      <c r="AB37" s="73" t="str">
        <f t="shared" si="6"/>
        <v>Trim 4</v>
      </c>
      <c r="AC37" s="73">
        <f t="shared" si="7"/>
        <v>0</v>
      </c>
      <c r="AD37" s="73">
        <f t="shared" si="8"/>
        <v>0</v>
      </c>
      <c r="AE37" s="73"/>
      <c r="AF37" s="73"/>
      <c r="AG37" s="73"/>
      <c r="AH37" s="73"/>
      <c r="AI37" s="73"/>
    </row>
    <row r="38" spans="1:35" ht="75">
      <c r="A38" s="94" t="s">
        <v>92</v>
      </c>
      <c r="B38" s="94">
        <v>2</v>
      </c>
      <c r="C38" s="94" t="s">
        <v>104</v>
      </c>
      <c r="D38" s="96">
        <v>0.6</v>
      </c>
      <c r="E38" s="94" t="s">
        <v>139</v>
      </c>
      <c r="F38" s="94" t="s">
        <v>126</v>
      </c>
      <c r="G38" s="98">
        <v>5.0000000000000001E-3</v>
      </c>
      <c r="H38" s="94" t="s">
        <v>120</v>
      </c>
      <c r="I38" s="95" t="s">
        <v>107</v>
      </c>
      <c r="J38" s="94" t="s">
        <v>96</v>
      </c>
      <c r="K38" s="94" t="s">
        <v>39</v>
      </c>
      <c r="L38" s="100" t="s">
        <v>40</v>
      </c>
      <c r="M38" s="94" t="s">
        <v>40</v>
      </c>
      <c r="N38" s="94" t="s">
        <v>98</v>
      </c>
      <c r="O38" s="94" t="s">
        <v>99</v>
      </c>
      <c r="P38" s="94" t="s">
        <v>100</v>
      </c>
      <c r="Q38" s="94" t="s">
        <v>101</v>
      </c>
      <c r="R38" s="94" t="s">
        <v>40</v>
      </c>
      <c r="S38" s="98"/>
      <c r="T38" s="94"/>
      <c r="U38" s="94"/>
      <c r="V38" s="70"/>
      <c r="W38" s="73" t="str">
        <f t="shared" si="2"/>
        <v/>
      </c>
      <c r="X38" s="73" t="str">
        <f t="shared" si="3"/>
        <v/>
      </c>
      <c r="Y38" s="73" t="str">
        <f t="shared" si="4"/>
        <v/>
      </c>
      <c r="Z38" s="73" t="str">
        <f t="shared" si="5"/>
        <v>X</v>
      </c>
      <c r="AA38" s="73" t="s">
        <v>29</v>
      </c>
      <c r="AB38" s="73" t="str">
        <f t="shared" si="6"/>
        <v>Trim 4</v>
      </c>
      <c r="AC38" s="73">
        <f t="shared" si="7"/>
        <v>0</v>
      </c>
      <c r="AD38" s="73">
        <f t="shared" si="8"/>
        <v>0</v>
      </c>
      <c r="AE38" s="73"/>
      <c r="AF38" s="73"/>
      <c r="AG38" s="73"/>
      <c r="AH38" s="73"/>
      <c r="AI38" s="73"/>
    </row>
    <row r="39" spans="1:35" ht="75">
      <c r="A39" s="94" t="s">
        <v>92</v>
      </c>
      <c r="B39" s="94">
        <v>2</v>
      </c>
      <c r="C39" s="94" t="s">
        <v>104</v>
      </c>
      <c r="D39" s="96">
        <v>0.6</v>
      </c>
      <c r="E39" s="94" t="s">
        <v>140</v>
      </c>
      <c r="F39" s="94" t="s">
        <v>141</v>
      </c>
      <c r="G39" s="98">
        <v>0.01</v>
      </c>
      <c r="H39" s="94" t="s">
        <v>120</v>
      </c>
      <c r="I39" s="95" t="s">
        <v>107</v>
      </c>
      <c r="J39" s="94" t="s">
        <v>96</v>
      </c>
      <c r="K39" s="94" t="s">
        <v>97</v>
      </c>
      <c r="L39" s="100" t="s">
        <v>40</v>
      </c>
      <c r="M39" s="94" t="s">
        <v>40</v>
      </c>
      <c r="N39" s="94" t="s">
        <v>98</v>
      </c>
      <c r="O39" s="94" t="s">
        <v>99</v>
      </c>
      <c r="P39" s="94" t="s">
        <v>100</v>
      </c>
      <c r="Q39" s="94" t="s">
        <v>101</v>
      </c>
      <c r="R39" s="94" t="s">
        <v>40</v>
      </c>
      <c r="S39" s="98">
        <v>0.01</v>
      </c>
      <c r="T39" s="94" t="s">
        <v>97</v>
      </c>
      <c r="U39" s="94"/>
      <c r="V39" s="70"/>
      <c r="W39" s="73" t="str">
        <f t="shared" si="2"/>
        <v>X</v>
      </c>
      <c r="X39" s="73" t="str">
        <f t="shared" si="3"/>
        <v/>
      </c>
      <c r="Y39" s="73" t="str">
        <f t="shared" si="4"/>
        <v/>
      </c>
      <c r="Z39" s="73" t="str">
        <f t="shared" si="5"/>
        <v/>
      </c>
      <c r="AA39" s="73" t="s">
        <v>26</v>
      </c>
      <c r="AB39" s="73" t="str">
        <f t="shared" si="6"/>
        <v>Trim 1</v>
      </c>
      <c r="AC39" s="73">
        <f t="shared" si="7"/>
        <v>1</v>
      </c>
      <c r="AD39" s="73">
        <f t="shared" si="8"/>
        <v>1</v>
      </c>
      <c r="AE39" s="73"/>
      <c r="AF39" s="73"/>
      <c r="AG39" s="73"/>
      <c r="AH39" s="73"/>
      <c r="AI39" s="73"/>
    </row>
    <row r="40" spans="1:35" ht="75">
      <c r="A40" s="94" t="s">
        <v>92</v>
      </c>
      <c r="B40" s="94">
        <v>2</v>
      </c>
      <c r="C40" s="94" t="s">
        <v>104</v>
      </c>
      <c r="D40" s="96">
        <v>0.6</v>
      </c>
      <c r="E40" s="94" t="s">
        <v>142</v>
      </c>
      <c r="F40" s="94" t="s">
        <v>141</v>
      </c>
      <c r="G40" s="98">
        <v>0.01</v>
      </c>
      <c r="H40" s="94" t="s">
        <v>120</v>
      </c>
      <c r="I40" s="95" t="s">
        <v>107</v>
      </c>
      <c r="J40" s="94" t="s">
        <v>96</v>
      </c>
      <c r="K40" s="94" t="s">
        <v>108</v>
      </c>
      <c r="L40" s="100" t="s">
        <v>40</v>
      </c>
      <c r="M40" s="94" t="s">
        <v>40</v>
      </c>
      <c r="N40" s="94" t="s">
        <v>98</v>
      </c>
      <c r="O40" s="94" t="s">
        <v>99</v>
      </c>
      <c r="P40" s="94" t="s">
        <v>100</v>
      </c>
      <c r="Q40" s="94" t="s">
        <v>101</v>
      </c>
      <c r="R40" s="94" t="s">
        <v>40</v>
      </c>
      <c r="S40" s="98">
        <v>0.01</v>
      </c>
      <c r="T40" s="94" t="s">
        <v>108</v>
      </c>
      <c r="U40" s="94"/>
      <c r="V40" s="70"/>
      <c r="W40" s="73" t="str">
        <f t="shared" si="2"/>
        <v>X</v>
      </c>
      <c r="X40" s="73" t="str">
        <f t="shared" si="3"/>
        <v/>
      </c>
      <c r="Y40" s="73" t="str">
        <f t="shared" si="4"/>
        <v/>
      </c>
      <c r="Z40" s="73" t="str">
        <f t="shared" si="5"/>
        <v/>
      </c>
      <c r="AA40" s="73" t="s">
        <v>26</v>
      </c>
      <c r="AB40" s="73" t="str">
        <f t="shared" si="6"/>
        <v>Trim 1</v>
      </c>
      <c r="AC40" s="73">
        <f t="shared" si="7"/>
        <v>1</v>
      </c>
      <c r="AD40" s="73">
        <f t="shared" si="8"/>
        <v>1</v>
      </c>
      <c r="AE40" s="73"/>
      <c r="AF40" s="73"/>
      <c r="AG40" s="73"/>
      <c r="AH40" s="73"/>
      <c r="AI40" s="73"/>
    </row>
    <row r="41" spans="1:35" ht="75">
      <c r="A41" s="94" t="s">
        <v>92</v>
      </c>
      <c r="B41" s="94">
        <v>2</v>
      </c>
      <c r="C41" s="94" t="s">
        <v>104</v>
      </c>
      <c r="D41" s="96">
        <v>0.6</v>
      </c>
      <c r="E41" s="94" t="s">
        <v>143</v>
      </c>
      <c r="F41" s="94" t="s">
        <v>141</v>
      </c>
      <c r="G41" s="98">
        <v>0.01</v>
      </c>
      <c r="H41" s="94" t="s">
        <v>120</v>
      </c>
      <c r="I41" s="95" t="s">
        <v>107</v>
      </c>
      <c r="J41" s="94" t="s">
        <v>96</v>
      </c>
      <c r="K41" s="94" t="s">
        <v>45</v>
      </c>
      <c r="L41" s="100" t="s">
        <v>40</v>
      </c>
      <c r="M41" s="94" t="s">
        <v>40</v>
      </c>
      <c r="N41" s="94" t="s">
        <v>98</v>
      </c>
      <c r="O41" s="94" t="s">
        <v>99</v>
      </c>
      <c r="P41" s="94" t="s">
        <v>100</v>
      </c>
      <c r="Q41" s="94" t="s">
        <v>101</v>
      </c>
      <c r="R41" s="94" t="s">
        <v>40</v>
      </c>
      <c r="S41" s="98">
        <v>0.01</v>
      </c>
      <c r="T41" s="94" t="s">
        <v>45</v>
      </c>
      <c r="U41" s="94"/>
      <c r="V41" s="70"/>
      <c r="W41" s="73" t="str">
        <f t="shared" si="2"/>
        <v>X</v>
      </c>
      <c r="X41" s="73" t="str">
        <f t="shared" si="3"/>
        <v/>
      </c>
      <c r="Y41" s="73" t="str">
        <f t="shared" si="4"/>
        <v/>
      </c>
      <c r="Z41" s="73" t="str">
        <f t="shared" si="5"/>
        <v/>
      </c>
      <c r="AA41" s="73" t="s">
        <v>26</v>
      </c>
      <c r="AB41" s="73" t="str">
        <f t="shared" si="6"/>
        <v>Trim 1</v>
      </c>
      <c r="AC41" s="73">
        <f t="shared" si="7"/>
        <v>1</v>
      </c>
      <c r="AD41" s="73">
        <f t="shared" si="8"/>
        <v>1</v>
      </c>
      <c r="AE41" s="73"/>
      <c r="AF41" s="73"/>
      <c r="AG41" s="73"/>
      <c r="AH41" s="73"/>
      <c r="AI41" s="73"/>
    </row>
    <row r="42" spans="1:35" ht="75">
      <c r="A42" s="94" t="s">
        <v>92</v>
      </c>
      <c r="B42" s="94">
        <v>2</v>
      </c>
      <c r="C42" s="94" t="s">
        <v>104</v>
      </c>
      <c r="D42" s="96">
        <v>0.6</v>
      </c>
      <c r="E42" s="94" t="s">
        <v>144</v>
      </c>
      <c r="F42" s="94" t="s">
        <v>145</v>
      </c>
      <c r="G42" s="98">
        <v>1.4999999999999999E-2</v>
      </c>
      <c r="H42" s="94" t="s">
        <v>120</v>
      </c>
      <c r="I42" s="95" t="s">
        <v>107</v>
      </c>
      <c r="J42" s="94" t="s">
        <v>96</v>
      </c>
      <c r="K42" s="94" t="s">
        <v>109</v>
      </c>
      <c r="L42" s="100" t="s">
        <v>40</v>
      </c>
      <c r="M42" s="94" t="s">
        <v>40</v>
      </c>
      <c r="N42" s="94" t="s">
        <v>98</v>
      </c>
      <c r="O42" s="94" t="s">
        <v>99</v>
      </c>
      <c r="P42" s="94" t="s">
        <v>100</v>
      </c>
      <c r="Q42" s="94" t="s">
        <v>101</v>
      </c>
      <c r="R42" s="94" t="s">
        <v>40</v>
      </c>
      <c r="S42" s="98"/>
      <c r="T42" s="94"/>
      <c r="U42" s="94"/>
      <c r="V42" s="70"/>
      <c r="W42" s="73" t="str">
        <f t="shared" si="2"/>
        <v/>
      </c>
      <c r="X42" s="73" t="str">
        <f t="shared" si="3"/>
        <v>X</v>
      </c>
      <c r="Y42" s="73" t="str">
        <f t="shared" si="4"/>
        <v/>
      </c>
      <c r="Z42" s="73" t="str">
        <f t="shared" si="5"/>
        <v/>
      </c>
      <c r="AA42" s="73" t="s">
        <v>27</v>
      </c>
      <c r="AB42" s="73" t="str">
        <f t="shared" si="6"/>
        <v>Trim 2</v>
      </c>
      <c r="AC42" s="73">
        <f t="shared" si="7"/>
        <v>0</v>
      </c>
      <c r="AD42" s="73">
        <f t="shared" si="8"/>
        <v>0</v>
      </c>
      <c r="AE42" s="73"/>
      <c r="AF42" s="73"/>
      <c r="AG42" s="73"/>
      <c r="AH42" s="73"/>
      <c r="AI42" s="73"/>
    </row>
    <row r="43" spans="1:35" ht="75">
      <c r="A43" s="94" t="s">
        <v>92</v>
      </c>
      <c r="B43" s="94">
        <v>2</v>
      </c>
      <c r="C43" s="94" t="s">
        <v>104</v>
      </c>
      <c r="D43" s="96">
        <v>0.6</v>
      </c>
      <c r="E43" s="94" t="s">
        <v>146</v>
      </c>
      <c r="F43" s="94" t="s">
        <v>141</v>
      </c>
      <c r="G43" s="98">
        <v>0.01</v>
      </c>
      <c r="H43" s="94" t="s">
        <v>120</v>
      </c>
      <c r="I43" s="95" t="s">
        <v>107</v>
      </c>
      <c r="J43" s="94" t="s">
        <v>96</v>
      </c>
      <c r="K43" s="94" t="s">
        <v>128</v>
      </c>
      <c r="L43" s="100" t="s">
        <v>40</v>
      </c>
      <c r="M43" s="94" t="s">
        <v>40</v>
      </c>
      <c r="N43" s="94" t="s">
        <v>98</v>
      </c>
      <c r="O43" s="94" t="s">
        <v>99</v>
      </c>
      <c r="P43" s="94" t="s">
        <v>100</v>
      </c>
      <c r="Q43" s="94" t="s">
        <v>101</v>
      </c>
      <c r="R43" s="94" t="s">
        <v>40</v>
      </c>
      <c r="S43" s="98"/>
      <c r="T43" s="94"/>
      <c r="U43" s="94"/>
      <c r="V43" s="70"/>
      <c r="W43" s="73" t="str">
        <f t="shared" si="2"/>
        <v/>
      </c>
      <c r="X43" s="73" t="str">
        <f t="shared" si="3"/>
        <v>X</v>
      </c>
      <c r="Y43" s="73" t="str">
        <f t="shared" si="4"/>
        <v/>
      </c>
      <c r="Z43" s="73" t="str">
        <f t="shared" si="5"/>
        <v/>
      </c>
      <c r="AA43" s="73" t="s">
        <v>27</v>
      </c>
      <c r="AB43" s="73" t="str">
        <f t="shared" si="6"/>
        <v>Trim 2</v>
      </c>
      <c r="AC43" s="73">
        <f t="shared" si="7"/>
        <v>0</v>
      </c>
      <c r="AD43" s="73">
        <f t="shared" si="8"/>
        <v>0</v>
      </c>
      <c r="AE43" s="73"/>
      <c r="AF43" s="73"/>
      <c r="AG43" s="73"/>
      <c r="AH43" s="73"/>
      <c r="AI43" s="73"/>
    </row>
    <row r="44" spans="1:35" ht="75">
      <c r="A44" s="94" t="s">
        <v>92</v>
      </c>
      <c r="B44" s="94">
        <v>2</v>
      </c>
      <c r="C44" s="94" t="s">
        <v>104</v>
      </c>
      <c r="D44" s="96">
        <v>0.6</v>
      </c>
      <c r="E44" s="94" t="s">
        <v>147</v>
      </c>
      <c r="F44" s="94" t="s">
        <v>148</v>
      </c>
      <c r="G44" s="98">
        <v>5.0000000000000001E-3</v>
      </c>
      <c r="H44" s="94" t="s">
        <v>120</v>
      </c>
      <c r="I44" s="95" t="s">
        <v>107</v>
      </c>
      <c r="J44" s="94" t="s">
        <v>96</v>
      </c>
      <c r="K44" s="94" t="s">
        <v>111</v>
      </c>
      <c r="L44" s="100" t="s">
        <v>40</v>
      </c>
      <c r="M44" s="94" t="s">
        <v>40</v>
      </c>
      <c r="N44" s="94" t="s">
        <v>98</v>
      </c>
      <c r="O44" s="94" t="s">
        <v>99</v>
      </c>
      <c r="P44" s="94" t="s">
        <v>100</v>
      </c>
      <c r="Q44" s="94" t="s">
        <v>101</v>
      </c>
      <c r="R44" s="94" t="s">
        <v>40</v>
      </c>
      <c r="S44" s="98"/>
      <c r="T44" s="94"/>
      <c r="U44" s="94"/>
      <c r="V44" s="70"/>
      <c r="W44" s="73" t="str">
        <f t="shared" si="2"/>
        <v/>
      </c>
      <c r="X44" s="73" t="str">
        <f t="shared" si="3"/>
        <v>X</v>
      </c>
      <c r="Y44" s="73" t="str">
        <f t="shared" si="4"/>
        <v/>
      </c>
      <c r="Z44" s="73" t="str">
        <f t="shared" si="5"/>
        <v/>
      </c>
      <c r="AA44" s="73" t="s">
        <v>27</v>
      </c>
      <c r="AB44" s="73" t="str">
        <f t="shared" si="6"/>
        <v>Trim 2</v>
      </c>
      <c r="AC44" s="73">
        <f t="shared" si="7"/>
        <v>0</v>
      </c>
      <c r="AD44" s="73">
        <f t="shared" si="8"/>
        <v>0</v>
      </c>
      <c r="AE44" s="73"/>
      <c r="AF44" s="73"/>
      <c r="AG44" s="73"/>
      <c r="AH44" s="73"/>
      <c r="AI44" s="73"/>
    </row>
    <row r="45" spans="1:35" ht="75">
      <c r="A45" s="94" t="s">
        <v>92</v>
      </c>
      <c r="B45" s="94">
        <v>2</v>
      </c>
      <c r="C45" s="94" t="s">
        <v>104</v>
      </c>
      <c r="D45" s="96">
        <v>0.6</v>
      </c>
      <c r="E45" s="94" t="s">
        <v>149</v>
      </c>
      <c r="F45" s="94" t="s">
        <v>148</v>
      </c>
      <c r="G45" s="98">
        <v>5.0000000000000001E-3</v>
      </c>
      <c r="H45" s="94" t="s">
        <v>120</v>
      </c>
      <c r="I45" s="95" t="s">
        <v>107</v>
      </c>
      <c r="J45" s="94" t="s">
        <v>96</v>
      </c>
      <c r="K45" s="94" t="s">
        <v>113</v>
      </c>
      <c r="L45" s="100" t="s">
        <v>40</v>
      </c>
      <c r="M45" s="94" t="s">
        <v>40</v>
      </c>
      <c r="N45" s="94" t="s">
        <v>98</v>
      </c>
      <c r="O45" s="94" t="s">
        <v>99</v>
      </c>
      <c r="P45" s="94" t="s">
        <v>100</v>
      </c>
      <c r="Q45" s="94" t="s">
        <v>101</v>
      </c>
      <c r="R45" s="94" t="s">
        <v>40</v>
      </c>
      <c r="S45" s="98"/>
      <c r="T45" s="94"/>
      <c r="U45" s="94"/>
      <c r="V45" s="70"/>
      <c r="W45" s="73" t="str">
        <f t="shared" si="2"/>
        <v/>
      </c>
      <c r="X45" s="73" t="str">
        <f t="shared" si="3"/>
        <v/>
      </c>
      <c r="Y45" s="73" t="str">
        <f t="shared" si="4"/>
        <v>X</v>
      </c>
      <c r="Z45" s="73" t="str">
        <f t="shared" si="5"/>
        <v/>
      </c>
      <c r="AA45" s="73" t="s">
        <v>28</v>
      </c>
      <c r="AB45" s="73" t="str">
        <f t="shared" si="6"/>
        <v>Trim 3</v>
      </c>
      <c r="AC45" s="73">
        <f t="shared" si="7"/>
        <v>0</v>
      </c>
      <c r="AD45" s="73">
        <f t="shared" si="8"/>
        <v>0</v>
      </c>
      <c r="AE45" s="73"/>
      <c r="AF45" s="73"/>
      <c r="AG45" s="73"/>
      <c r="AH45" s="73"/>
      <c r="AI45" s="73"/>
    </row>
    <row r="46" spans="1:35" ht="75">
      <c r="A46" s="94" t="s">
        <v>92</v>
      </c>
      <c r="B46" s="94">
        <v>2</v>
      </c>
      <c r="C46" s="94" t="s">
        <v>104</v>
      </c>
      <c r="D46" s="96">
        <v>0.6</v>
      </c>
      <c r="E46" s="94" t="s">
        <v>150</v>
      </c>
      <c r="F46" s="94" t="s">
        <v>141</v>
      </c>
      <c r="G46" s="98">
        <v>0.01</v>
      </c>
      <c r="H46" s="94" t="s">
        <v>120</v>
      </c>
      <c r="I46" s="95" t="s">
        <v>107</v>
      </c>
      <c r="J46" s="94" t="s">
        <v>96</v>
      </c>
      <c r="K46" s="94" t="s">
        <v>133</v>
      </c>
      <c r="L46" s="100" t="s">
        <v>40</v>
      </c>
      <c r="M46" s="94" t="s">
        <v>40</v>
      </c>
      <c r="N46" s="94" t="s">
        <v>98</v>
      </c>
      <c r="O46" s="94" t="s">
        <v>99</v>
      </c>
      <c r="P46" s="94" t="s">
        <v>100</v>
      </c>
      <c r="Q46" s="94" t="s">
        <v>101</v>
      </c>
      <c r="R46" s="94" t="s">
        <v>40</v>
      </c>
      <c r="S46" s="98"/>
      <c r="T46" s="94"/>
      <c r="U46" s="94"/>
      <c r="V46" s="70"/>
      <c r="W46" s="73" t="str">
        <f t="shared" si="2"/>
        <v/>
      </c>
      <c r="X46" s="73" t="str">
        <f t="shared" si="3"/>
        <v/>
      </c>
      <c r="Y46" s="73" t="str">
        <f t="shared" si="4"/>
        <v>X</v>
      </c>
      <c r="Z46" s="73" t="str">
        <f t="shared" si="5"/>
        <v/>
      </c>
      <c r="AA46" s="73" t="s">
        <v>28</v>
      </c>
      <c r="AB46" s="73" t="str">
        <f t="shared" si="6"/>
        <v>Trim 3</v>
      </c>
      <c r="AC46" s="73">
        <f t="shared" si="7"/>
        <v>0</v>
      </c>
      <c r="AD46" s="73">
        <f t="shared" si="8"/>
        <v>0</v>
      </c>
      <c r="AE46" s="73"/>
      <c r="AF46" s="73"/>
      <c r="AG46" s="73"/>
      <c r="AH46" s="73"/>
      <c r="AI46" s="73"/>
    </row>
    <row r="47" spans="1:35" ht="75">
      <c r="A47" s="94" t="s">
        <v>92</v>
      </c>
      <c r="B47" s="94">
        <v>2</v>
      </c>
      <c r="C47" s="94" t="s">
        <v>104</v>
      </c>
      <c r="D47" s="96">
        <v>0.6</v>
      </c>
      <c r="E47" s="94" t="s">
        <v>151</v>
      </c>
      <c r="F47" s="94" t="s">
        <v>152</v>
      </c>
      <c r="G47" s="98">
        <v>0.03</v>
      </c>
      <c r="H47" s="94" t="s">
        <v>120</v>
      </c>
      <c r="I47" s="95" t="s">
        <v>107</v>
      </c>
      <c r="J47" s="94" t="s">
        <v>96</v>
      </c>
      <c r="K47" s="94" t="s">
        <v>115</v>
      </c>
      <c r="L47" s="100" t="s">
        <v>40</v>
      </c>
      <c r="M47" s="94" t="s">
        <v>40</v>
      </c>
      <c r="N47" s="94" t="s">
        <v>98</v>
      </c>
      <c r="O47" s="94" t="s">
        <v>99</v>
      </c>
      <c r="P47" s="94" t="s">
        <v>100</v>
      </c>
      <c r="Q47" s="94" t="s">
        <v>101</v>
      </c>
      <c r="R47" s="94" t="s">
        <v>40</v>
      </c>
      <c r="S47" s="98"/>
      <c r="T47" s="94"/>
      <c r="U47" s="94"/>
      <c r="V47" s="70"/>
      <c r="W47" s="73" t="str">
        <f t="shared" si="2"/>
        <v/>
      </c>
      <c r="X47" s="73" t="str">
        <f t="shared" si="3"/>
        <v/>
      </c>
      <c r="Y47" s="73" t="str">
        <f t="shared" si="4"/>
        <v>X</v>
      </c>
      <c r="Z47" s="73" t="str">
        <f t="shared" si="5"/>
        <v/>
      </c>
      <c r="AA47" s="73" t="s">
        <v>28</v>
      </c>
      <c r="AB47" s="73" t="str">
        <f t="shared" si="6"/>
        <v>Trim 3</v>
      </c>
      <c r="AC47" s="73">
        <f t="shared" si="7"/>
        <v>0</v>
      </c>
      <c r="AD47" s="73">
        <f t="shared" si="8"/>
        <v>0</v>
      </c>
      <c r="AE47" s="73"/>
      <c r="AF47" s="73"/>
      <c r="AG47" s="73"/>
      <c r="AH47" s="73"/>
      <c r="AI47" s="73"/>
    </row>
    <row r="48" spans="1:35" ht="75">
      <c r="A48" s="94" t="s">
        <v>92</v>
      </c>
      <c r="B48" s="94">
        <v>2</v>
      </c>
      <c r="C48" s="94" t="s">
        <v>104</v>
      </c>
      <c r="D48" s="96">
        <v>0.6</v>
      </c>
      <c r="E48" s="94" t="s">
        <v>153</v>
      </c>
      <c r="F48" s="94" t="s">
        <v>141</v>
      </c>
      <c r="G48" s="98">
        <v>0.01</v>
      </c>
      <c r="H48" s="94" t="s">
        <v>120</v>
      </c>
      <c r="I48" s="95" t="s">
        <v>107</v>
      </c>
      <c r="J48" s="94" t="s">
        <v>96</v>
      </c>
      <c r="K48" s="94" t="s">
        <v>138</v>
      </c>
      <c r="L48" s="100" t="s">
        <v>40</v>
      </c>
      <c r="M48" s="94" t="s">
        <v>40</v>
      </c>
      <c r="N48" s="94" t="s">
        <v>98</v>
      </c>
      <c r="O48" s="94" t="s">
        <v>99</v>
      </c>
      <c r="P48" s="94" t="s">
        <v>100</v>
      </c>
      <c r="Q48" s="94" t="s">
        <v>101</v>
      </c>
      <c r="R48" s="94" t="s">
        <v>40</v>
      </c>
      <c r="S48" s="98"/>
      <c r="T48" s="94"/>
      <c r="U48" s="94"/>
      <c r="V48" s="70"/>
      <c r="W48" s="73" t="str">
        <f t="shared" si="2"/>
        <v/>
      </c>
      <c r="X48" s="73" t="str">
        <f t="shared" si="3"/>
        <v/>
      </c>
      <c r="Y48" s="73" t="str">
        <f t="shared" si="4"/>
        <v/>
      </c>
      <c r="Z48" s="73" t="str">
        <f t="shared" si="5"/>
        <v>X</v>
      </c>
      <c r="AA48" s="73" t="s">
        <v>29</v>
      </c>
      <c r="AB48" s="73" t="str">
        <f t="shared" si="6"/>
        <v>Trim 4</v>
      </c>
      <c r="AC48" s="73">
        <f t="shared" si="7"/>
        <v>0</v>
      </c>
      <c r="AD48" s="73">
        <f t="shared" si="8"/>
        <v>0</v>
      </c>
      <c r="AE48" s="73"/>
      <c r="AF48" s="73"/>
      <c r="AG48" s="73"/>
      <c r="AH48" s="73"/>
      <c r="AI48" s="73"/>
    </row>
    <row r="49" spans="1:35" ht="75">
      <c r="A49" s="94" t="s">
        <v>92</v>
      </c>
      <c r="B49" s="94">
        <v>2</v>
      </c>
      <c r="C49" s="94" t="s">
        <v>104</v>
      </c>
      <c r="D49" s="96">
        <v>0.6</v>
      </c>
      <c r="E49" s="94" t="s">
        <v>154</v>
      </c>
      <c r="F49" s="94" t="s">
        <v>141</v>
      </c>
      <c r="G49" s="98">
        <v>0.01</v>
      </c>
      <c r="H49" s="94" t="s">
        <v>120</v>
      </c>
      <c r="I49" s="95" t="s">
        <v>107</v>
      </c>
      <c r="J49" s="94" t="s">
        <v>96</v>
      </c>
      <c r="K49" s="94" t="s">
        <v>39</v>
      </c>
      <c r="L49" s="100" t="s">
        <v>40</v>
      </c>
      <c r="M49" s="94" t="s">
        <v>40</v>
      </c>
      <c r="N49" s="94" t="s">
        <v>98</v>
      </c>
      <c r="O49" s="94" t="s">
        <v>99</v>
      </c>
      <c r="P49" s="94" t="s">
        <v>100</v>
      </c>
      <c r="Q49" s="94" t="s">
        <v>101</v>
      </c>
      <c r="R49" s="94" t="s">
        <v>40</v>
      </c>
      <c r="S49" s="98"/>
      <c r="T49" s="94"/>
      <c r="U49" s="94"/>
      <c r="V49" s="70"/>
      <c r="W49" s="73" t="str">
        <f t="shared" si="2"/>
        <v/>
      </c>
      <c r="X49" s="73" t="str">
        <f t="shared" si="3"/>
        <v/>
      </c>
      <c r="Y49" s="73" t="str">
        <f t="shared" si="4"/>
        <v/>
      </c>
      <c r="Z49" s="73" t="str">
        <f t="shared" si="5"/>
        <v>X</v>
      </c>
      <c r="AA49" s="73" t="s">
        <v>29</v>
      </c>
      <c r="AB49" s="73" t="str">
        <f t="shared" si="6"/>
        <v>Trim 4</v>
      </c>
      <c r="AC49" s="73">
        <f t="shared" si="7"/>
        <v>0</v>
      </c>
      <c r="AD49" s="73">
        <f t="shared" si="8"/>
        <v>0</v>
      </c>
      <c r="AE49" s="73"/>
      <c r="AF49" s="73"/>
      <c r="AG49" s="73"/>
      <c r="AH49" s="73"/>
      <c r="AI49" s="73"/>
    </row>
    <row r="50" spans="1:35" ht="75">
      <c r="A50" s="94" t="s">
        <v>92</v>
      </c>
      <c r="B50" s="94">
        <v>2</v>
      </c>
      <c r="C50" s="94" t="s">
        <v>104</v>
      </c>
      <c r="D50" s="96">
        <v>0.6</v>
      </c>
      <c r="E50" s="94" t="s">
        <v>155</v>
      </c>
      <c r="F50" s="94" t="s">
        <v>156</v>
      </c>
      <c r="G50" s="98">
        <v>0.01</v>
      </c>
      <c r="H50" s="94" t="s">
        <v>157</v>
      </c>
      <c r="I50" s="95" t="s">
        <v>107</v>
      </c>
      <c r="J50" s="94" t="s">
        <v>96</v>
      </c>
      <c r="K50" s="94" t="s">
        <v>111</v>
      </c>
      <c r="L50" s="100" t="s">
        <v>40</v>
      </c>
      <c r="M50" s="94" t="s">
        <v>40</v>
      </c>
      <c r="N50" s="94" t="s">
        <v>98</v>
      </c>
      <c r="O50" s="94" t="s">
        <v>99</v>
      </c>
      <c r="P50" s="94" t="s">
        <v>100</v>
      </c>
      <c r="Q50" s="94" t="s">
        <v>101</v>
      </c>
      <c r="R50" s="94" t="s">
        <v>40</v>
      </c>
      <c r="S50" s="98"/>
      <c r="T50" s="94"/>
      <c r="U50" s="94"/>
      <c r="V50" s="70"/>
      <c r="W50" s="73" t="str">
        <f t="shared" si="2"/>
        <v/>
      </c>
      <c r="X50" s="73" t="str">
        <f t="shared" si="3"/>
        <v>X</v>
      </c>
      <c r="Y50" s="73" t="str">
        <f t="shared" si="4"/>
        <v/>
      </c>
      <c r="Z50" s="73" t="str">
        <f t="shared" si="5"/>
        <v/>
      </c>
      <c r="AA50" s="73" t="s">
        <v>27</v>
      </c>
      <c r="AB50" s="73" t="str">
        <f t="shared" si="6"/>
        <v>Trim 2</v>
      </c>
      <c r="AC50" s="73">
        <f t="shared" si="7"/>
        <v>0</v>
      </c>
      <c r="AD50" s="73">
        <f t="shared" si="8"/>
        <v>0</v>
      </c>
      <c r="AE50" s="73"/>
      <c r="AF50" s="73"/>
      <c r="AG50" s="73"/>
      <c r="AH50" s="73"/>
      <c r="AI50" s="73"/>
    </row>
    <row r="51" spans="1:35" ht="45">
      <c r="A51" s="94" t="s">
        <v>92</v>
      </c>
      <c r="B51" s="94">
        <v>3</v>
      </c>
      <c r="C51" s="94" t="s">
        <v>158</v>
      </c>
      <c r="D51" s="96">
        <v>0.1</v>
      </c>
      <c r="E51" s="94" t="s">
        <v>68</v>
      </c>
      <c r="F51" s="94" t="s">
        <v>159</v>
      </c>
      <c r="G51" s="98">
        <v>0.1</v>
      </c>
      <c r="H51" s="94" t="s">
        <v>160</v>
      </c>
      <c r="I51" s="94" t="s">
        <v>161</v>
      </c>
      <c r="J51" s="94" t="s">
        <v>96</v>
      </c>
      <c r="K51" s="94" t="s">
        <v>117</v>
      </c>
      <c r="L51" s="100" t="s">
        <v>40</v>
      </c>
      <c r="M51" s="94" t="s">
        <v>40</v>
      </c>
      <c r="N51" s="94" t="s">
        <v>98</v>
      </c>
      <c r="O51" s="94" t="s">
        <v>99</v>
      </c>
      <c r="P51" s="94" t="s">
        <v>100</v>
      </c>
      <c r="Q51" s="94" t="s">
        <v>101</v>
      </c>
      <c r="R51" s="94" t="s">
        <v>40</v>
      </c>
      <c r="S51" s="98"/>
      <c r="T51" s="94"/>
      <c r="U51" s="94"/>
      <c r="V51" s="70"/>
      <c r="W51" s="73" t="str">
        <f t="shared" si="2"/>
        <v/>
      </c>
      <c r="X51" s="73" t="str">
        <f t="shared" si="3"/>
        <v/>
      </c>
      <c r="Y51" s="73" t="str">
        <f t="shared" si="4"/>
        <v/>
      </c>
      <c r="Z51" s="73" t="str">
        <f t="shared" si="5"/>
        <v>X</v>
      </c>
      <c r="AA51" s="73" t="s">
        <v>29</v>
      </c>
      <c r="AB51" s="73" t="str">
        <f t="shared" si="6"/>
        <v>Trim 4</v>
      </c>
      <c r="AC51" s="73">
        <f t="shared" si="7"/>
        <v>0</v>
      </c>
      <c r="AD51" s="73">
        <f t="shared" si="8"/>
        <v>0</v>
      </c>
      <c r="AE51" s="73"/>
      <c r="AF51" s="73"/>
      <c r="AG51" s="73"/>
      <c r="AH51" s="73"/>
      <c r="AI51" s="73"/>
    </row>
    <row r="52" spans="1:35" ht="45">
      <c r="A52" s="94" t="s">
        <v>92</v>
      </c>
      <c r="B52" s="94">
        <v>4</v>
      </c>
      <c r="C52" s="94" t="s">
        <v>162</v>
      </c>
      <c r="D52" s="96">
        <v>0.2</v>
      </c>
      <c r="E52" s="94" t="s">
        <v>79</v>
      </c>
      <c r="F52" s="94" t="s">
        <v>163</v>
      </c>
      <c r="G52" s="98">
        <v>0.05</v>
      </c>
      <c r="H52" s="94" t="s">
        <v>164</v>
      </c>
      <c r="I52" s="94" t="s">
        <v>165</v>
      </c>
      <c r="J52" s="94" t="s">
        <v>96</v>
      </c>
      <c r="K52" s="94" t="s">
        <v>45</v>
      </c>
      <c r="L52" s="100" t="s">
        <v>40</v>
      </c>
      <c r="M52" s="94" t="s">
        <v>40</v>
      </c>
      <c r="N52" s="94" t="s">
        <v>98</v>
      </c>
      <c r="O52" s="94" t="s">
        <v>99</v>
      </c>
      <c r="P52" s="94" t="s">
        <v>100</v>
      </c>
      <c r="Q52" s="94" t="s">
        <v>101</v>
      </c>
      <c r="R52" s="94" t="s">
        <v>40</v>
      </c>
      <c r="S52" s="98">
        <v>0.05</v>
      </c>
      <c r="T52" s="94" t="s">
        <v>45</v>
      </c>
      <c r="U52" s="94"/>
      <c r="V52" s="70"/>
      <c r="W52" s="73" t="str">
        <f t="shared" si="2"/>
        <v>X</v>
      </c>
      <c r="X52" s="73" t="str">
        <f t="shared" si="3"/>
        <v/>
      </c>
      <c r="Y52" s="73" t="str">
        <f t="shared" si="4"/>
        <v/>
      </c>
      <c r="Z52" s="73" t="str">
        <f t="shared" si="5"/>
        <v/>
      </c>
      <c r="AA52" s="73" t="s">
        <v>26</v>
      </c>
      <c r="AB52" s="73" t="str">
        <f t="shared" si="6"/>
        <v>Trim 1</v>
      </c>
      <c r="AC52" s="73">
        <f t="shared" si="7"/>
        <v>1</v>
      </c>
      <c r="AD52" s="73">
        <f t="shared" si="8"/>
        <v>1</v>
      </c>
      <c r="AE52" s="73"/>
      <c r="AF52" s="73"/>
      <c r="AG52" s="73"/>
      <c r="AH52" s="73"/>
      <c r="AI52" s="73"/>
    </row>
    <row r="53" spans="1:35" ht="45">
      <c r="A53" s="94" t="s">
        <v>92</v>
      </c>
      <c r="B53" s="94">
        <v>4</v>
      </c>
      <c r="C53" s="94" t="s">
        <v>162</v>
      </c>
      <c r="D53" s="96">
        <v>0.2</v>
      </c>
      <c r="E53" s="94" t="s">
        <v>83</v>
      </c>
      <c r="F53" s="94" t="s">
        <v>163</v>
      </c>
      <c r="G53" s="98">
        <v>0.05</v>
      </c>
      <c r="H53" s="94" t="s">
        <v>164</v>
      </c>
      <c r="I53" s="94" t="s">
        <v>165</v>
      </c>
      <c r="J53" s="94" t="s">
        <v>96</v>
      </c>
      <c r="K53" s="94" t="s">
        <v>111</v>
      </c>
      <c r="L53" s="100" t="s">
        <v>40</v>
      </c>
      <c r="M53" s="94" t="s">
        <v>40</v>
      </c>
      <c r="N53" s="94" t="s">
        <v>98</v>
      </c>
      <c r="O53" s="94" t="s">
        <v>99</v>
      </c>
      <c r="P53" s="94" t="s">
        <v>100</v>
      </c>
      <c r="Q53" s="94" t="s">
        <v>101</v>
      </c>
      <c r="R53" s="94" t="s">
        <v>40</v>
      </c>
      <c r="S53" s="98"/>
      <c r="T53" s="94"/>
      <c r="U53" s="94"/>
      <c r="V53" s="70"/>
      <c r="W53" s="73" t="str">
        <f t="shared" si="2"/>
        <v/>
      </c>
      <c r="X53" s="73" t="str">
        <f t="shared" si="3"/>
        <v>X</v>
      </c>
      <c r="Y53" s="73" t="str">
        <f t="shared" si="4"/>
        <v/>
      </c>
      <c r="Z53" s="73" t="str">
        <f t="shared" si="5"/>
        <v/>
      </c>
      <c r="AA53" s="73" t="s">
        <v>27</v>
      </c>
      <c r="AB53" s="73" t="str">
        <f t="shared" si="6"/>
        <v>Trim 2</v>
      </c>
      <c r="AC53" s="73">
        <f t="shared" si="7"/>
        <v>0</v>
      </c>
      <c r="AD53" s="73">
        <f t="shared" si="8"/>
        <v>0</v>
      </c>
      <c r="AE53" s="73"/>
      <c r="AF53" s="73"/>
      <c r="AG53" s="73"/>
      <c r="AH53" s="73"/>
      <c r="AI53" s="73"/>
    </row>
    <row r="54" spans="1:35" ht="45">
      <c r="A54" s="94" t="s">
        <v>92</v>
      </c>
      <c r="B54" s="94">
        <v>4</v>
      </c>
      <c r="C54" s="94" t="s">
        <v>162</v>
      </c>
      <c r="D54" s="96">
        <v>0.2</v>
      </c>
      <c r="E54" s="94" t="s">
        <v>86</v>
      </c>
      <c r="F54" s="94" t="s">
        <v>163</v>
      </c>
      <c r="G54" s="98">
        <v>0.05</v>
      </c>
      <c r="H54" s="94" t="s">
        <v>164</v>
      </c>
      <c r="I54" s="94" t="s">
        <v>165</v>
      </c>
      <c r="J54" s="94" t="s">
        <v>96</v>
      </c>
      <c r="K54" s="94" t="s">
        <v>115</v>
      </c>
      <c r="L54" s="100" t="s">
        <v>40</v>
      </c>
      <c r="M54" s="94" t="s">
        <v>40</v>
      </c>
      <c r="N54" s="94" t="s">
        <v>98</v>
      </c>
      <c r="O54" s="94" t="s">
        <v>99</v>
      </c>
      <c r="P54" s="94" t="s">
        <v>100</v>
      </c>
      <c r="Q54" s="94" t="s">
        <v>101</v>
      </c>
      <c r="R54" s="94" t="s">
        <v>40</v>
      </c>
      <c r="S54" s="98"/>
      <c r="T54" s="94"/>
      <c r="U54" s="94"/>
      <c r="V54" s="70"/>
      <c r="W54" s="73" t="str">
        <f t="shared" si="2"/>
        <v/>
      </c>
      <c r="X54" s="73" t="str">
        <f t="shared" si="3"/>
        <v/>
      </c>
      <c r="Y54" s="73" t="str">
        <f t="shared" si="4"/>
        <v>X</v>
      </c>
      <c r="Z54" s="73" t="str">
        <f t="shared" si="5"/>
        <v/>
      </c>
      <c r="AA54" s="73" t="s">
        <v>28</v>
      </c>
      <c r="AB54" s="73" t="str">
        <f t="shared" si="6"/>
        <v>Trim 3</v>
      </c>
      <c r="AC54" s="73">
        <f t="shared" si="7"/>
        <v>0</v>
      </c>
      <c r="AD54" s="73">
        <f t="shared" si="8"/>
        <v>0</v>
      </c>
      <c r="AE54" s="73"/>
      <c r="AF54" s="73"/>
      <c r="AG54" s="73"/>
      <c r="AH54" s="73"/>
      <c r="AI54" s="73"/>
    </row>
    <row r="55" spans="1:35" ht="45">
      <c r="A55" s="94" t="s">
        <v>92</v>
      </c>
      <c r="B55" s="94">
        <v>4</v>
      </c>
      <c r="C55" s="94" t="s">
        <v>162</v>
      </c>
      <c r="D55" s="96">
        <v>0.2</v>
      </c>
      <c r="E55" s="94" t="s">
        <v>89</v>
      </c>
      <c r="F55" s="94" t="s">
        <v>163</v>
      </c>
      <c r="G55" s="98">
        <v>0.05</v>
      </c>
      <c r="H55" s="94" t="s">
        <v>164</v>
      </c>
      <c r="I55" s="94" t="s">
        <v>165</v>
      </c>
      <c r="J55" s="94" t="s">
        <v>96</v>
      </c>
      <c r="K55" s="94" t="s">
        <v>39</v>
      </c>
      <c r="L55" s="100" t="s">
        <v>40</v>
      </c>
      <c r="M55" s="94" t="s">
        <v>40</v>
      </c>
      <c r="N55" s="94" t="s">
        <v>98</v>
      </c>
      <c r="O55" s="94" t="s">
        <v>99</v>
      </c>
      <c r="P55" s="94" t="s">
        <v>100</v>
      </c>
      <c r="Q55" s="94" t="s">
        <v>101</v>
      </c>
      <c r="R55" s="94" t="s">
        <v>40</v>
      </c>
      <c r="S55" s="98"/>
      <c r="T55" s="94"/>
      <c r="U55" s="94"/>
      <c r="V55" s="70"/>
      <c r="W55" s="73" t="str">
        <f t="shared" si="2"/>
        <v/>
      </c>
      <c r="X55" s="73" t="str">
        <f t="shared" si="3"/>
        <v/>
      </c>
      <c r="Y55" s="73" t="str">
        <f t="shared" si="4"/>
        <v/>
      </c>
      <c r="Z55" s="73" t="str">
        <f t="shared" si="5"/>
        <v>X</v>
      </c>
      <c r="AA55" s="73" t="s">
        <v>29</v>
      </c>
      <c r="AB55" s="73" t="str">
        <f t="shared" si="6"/>
        <v>Trim 4</v>
      </c>
      <c r="AC55" s="73">
        <f t="shared" si="7"/>
        <v>0</v>
      </c>
      <c r="AD55" s="73">
        <f t="shared" si="8"/>
        <v>0</v>
      </c>
      <c r="AE55" s="73"/>
      <c r="AF55" s="73"/>
      <c r="AG55" s="73"/>
      <c r="AH55" s="73"/>
      <c r="AI55" s="73"/>
    </row>
    <row r="56" spans="1:35" ht="60">
      <c r="A56" s="94" t="s">
        <v>166</v>
      </c>
      <c r="B56" s="94">
        <v>1</v>
      </c>
      <c r="C56" s="94" t="s">
        <v>167</v>
      </c>
      <c r="D56" s="96">
        <v>0.3</v>
      </c>
      <c r="E56" s="94" t="s">
        <v>34</v>
      </c>
      <c r="F56" s="95" t="s">
        <v>168</v>
      </c>
      <c r="G56" s="98">
        <v>1.4999999999999999E-2</v>
      </c>
      <c r="H56" s="95" t="s">
        <v>169</v>
      </c>
      <c r="I56" s="94" t="s">
        <v>170</v>
      </c>
      <c r="J56" s="94" t="s">
        <v>171</v>
      </c>
      <c r="K56" s="94" t="s">
        <v>115</v>
      </c>
      <c r="L56" s="94" t="s">
        <v>172</v>
      </c>
      <c r="M56" s="94" t="s">
        <v>40</v>
      </c>
      <c r="N56" s="94" t="s">
        <v>41</v>
      </c>
      <c r="O56" s="94" t="s">
        <v>42</v>
      </c>
      <c r="P56" s="94" t="s">
        <v>100</v>
      </c>
      <c r="Q56" s="94" t="s">
        <v>44</v>
      </c>
      <c r="R56" s="94" t="s">
        <v>173</v>
      </c>
      <c r="S56" s="98"/>
      <c r="T56" s="96"/>
      <c r="U56" s="96"/>
      <c r="V56" s="77"/>
      <c r="W56" s="73" t="str">
        <f t="shared" si="2"/>
        <v/>
      </c>
      <c r="X56" s="73" t="str">
        <f t="shared" si="3"/>
        <v/>
      </c>
      <c r="Y56" s="73" t="str">
        <f t="shared" si="4"/>
        <v>X</v>
      </c>
      <c r="Z56" s="73" t="str">
        <f t="shared" si="5"/>
        <v/>
      </c>
      <c r="AA56" s="73" t="s">
        <v>28</v>
      </c>
      <c r="AB56" s="73" t="str">
        <f t="shared" si="6"/>
        <v>Trim 3</v>
      </c>
      <c r="AC56" s="73">
        <f t="shared" si="7"/>
        <v>0</v>
      </c>
      <c r="AD56" s="73">
        <f t="shared" si="8"/>
        <v>0</v>
      </c>
      <c r="AE56" s="73"/>
      <c r="AF56" s="73"/>
      <c r="AG56" s="73"/>
      <c r="AH56" s="73"/>
      <c r="AI56" s="73"/>
    </row>
    <row r="57" spans="1:35" ht="60">
      <c r="A57" s="94" t="s">
        <v>166</v>
      </c>
      <c r="B57" s="94">
        <v>1</v>
      </c>
      <c r="C57" s="94" t="s">
        <v>167</v>
      </c>
      <c r="D57" s="96">
        <v>0.3</v>
      </c>
      <c r="E57" s="94" t="s">
        <v>47</v>
      </c>
      <c r="F57" s="95" t="s">
        <v>174</v>
      </c>
      <c r="G57" s="98">
        <v>1.4999999999999999E-2</v>
      </c>
      <c r="H57" s="95" t="s">
        <v>169</v>
      </c>
      <c r="I57" s="94" t="s">
        <v>170</v>
      </c>
      <c r="J57" s="94" t="s">
        <v>171</v>
      </c>
      <c r="K57" s="94" t="s">
        <v>115</v>
      </c>
      <c r="L57" s="94" t="s">
        <v>172</v>
      </c>
      <c r="M57" s="94" t="s">
        <v>40</v>
      </c>
      <c r="N57" s="94" t="s">
        <v>41</v>
      </c>
      <c r="O57" s="94" t="s">
        <v>42</v>
      </c>
      <c r="P57" s="94" t="s">
        <v>100</v>
      </c>
      <c r="Q57" s="94" t="s">
        <v>44</v>
      </c>
      <c r="R57" s="94" t="s">
        <v>173</v>
      </c>
      <c r="S57" s="98"/>
      <c r="T57" s="96"/>
      <c r="U57" s="96"/>
      <c r="V57" s="77"/>
      <c r="W57" s="73" t="str">
        <f t="shared" si="2"/>
        <v/>
      </c>
      <c r="X57" s="73" t="str">
        <f t="shared" si="3"/>
        <v/>
      </c>
      <c r="Y57" s="73" t="str">
        <f t="shared" si="4"/>
        <v>X</v>
      </c>
      <c r="Z57" s="73" t="str">
        <f t="shared" si="5"/>
        <v/>
      </c>
      <c r="AA57" s="73" t="s">
        <v>28</v>
      </c>
      <c r="AB57" s="73" t="str">
        <f t="shared" si="6"/>
        <v>Trim 3</v>
      </c>
      <c r="AC57" s="73">
        <f t="shared" si="7"/>
        <v>0</v>
      </c>
      <c r="AD57" s="73">
        <f t="shared" si="8"/>
        <v>0</v>
      </c>
      <c r="AE57" s="73"/>
      <c r="AF57" s="73"/>
      <c r="AG57" s="73"/>
      <c r="AH57" s="73"/>
      <c r="AI57" s="73"/>
    </row>
    <row r="58" spans="1:35" ht="60">
      <c r="A58" s="94" t="s">
        <v>166</v>
      </c>
      <c r="B58" s="94">
        <v>1</v>
      </c>
      <c r="C58" s="94" t="s">
        <v>167</v>
      </c>
      <c r="D58" s="96">
        <v>0.3</v>
      </c>
      <c r="E58" s="94" t="s">
        <v>49</v>
      </c>
      <c r="F58" s="95" t="s">
        <v>175</v>
      </c>
      <c r="G58" s="98">
        <v>1.4999999999999999E-2</v>
      </c>
      <c r="H58" s="95" t="s">
        <v>169</v>
      </c>
      <c r="I58" s="94" t="s">
        <v>170</v>
      </c>
      <c r="J58" s="94" t="s">
        <v>171</v>
      </c>
      <c r="K58" s="94" t="s">
        <v>176</v>
      </c>
      <c r="L58" s="94" t="s">
        <v>172</v>
      </c>
      <c r="M58" s="94" t="s">
        <v>40</v>
      </c>
      <c r="N58" s="94" t="s">
        <v>41</v>
      </c>
      <c r="O58" s="94" t="s">
        <v>42</v>
      </c>
      <c r="P58" s="94" t="s">
        <v>100</v>
      </c>
      <c r="Q58" s="94" t="s">
        <v>44</v>
      </c>
      <c r="R58" s="94" t="s">
        <v>173</v>
      </c>
      <c r="S58" s="98"/>
      <c r="T58" s="96"/>
      <c r="U58" s="96"/>
      <c r="V58" s="77"/>
      <c r="W58" s="73" t="str">
        <f t="shared" si="2"/>
        <v/>
      </c>
      <c r="X58" s="73" t="str">
        <f t="shared" si="3"/>
        <v/>
      </c>
      <c r="Y58" s="73" t="str">
        <f t="shared" si="4"/>
        <v/>
      </c>
      <c r="Z58" s="73" t="str">
        <f t="shared" si="5"/>
        <v>X</v>
      </c>
      <c r="AA58" s="73" t="s">
        <v>29</v>
      </c>
      <c r="AB58" s="73" t="str">
        <f t="shared" si="6"/>
        <v>Trim 4</v>
      </c>
      <c r="AC58" s="73">
        <f t="shared" si="7"/>
        <v>0</v>
      </c>
      <c r="AD58" s="73">
        <f t="shared" si="8"/>
        <v>0</v>
      </c>
      <c r="AE58" s="73"/>
      <c r="AF58" s="73"/>
      <c r="AG58" s="73"/>
      <c r="AH58" s="73"/>
      <c r="AI58" s="73"/>
    </row>
    <row r="59" spans="1:35" ht="60">
      <c r="A59" s="94" t="s">
        <v>166</v>
      </c>
      <c r="B59" s="94">
        <v>1</v>
      </c>
      <c r="C59" s="94" t="s">
        <v>167</v>
      </c>
      <c r="D59" s="96">
        <v>0.3</v>
      </c>
      <c r="E59" s="94" t="s">
        <v>52</v>
      </c>
      <c r="F59" s="95" t="s">
        <v>177</v>
      </c>
      <c r="G59" s="98">
        <v>2.5000000000000001E-2</v>
      </c>
      <c r="H59" s="95" t="s">
        <v>178</v>
      </c>
      <c r="I59" s="94" t="s">
        <v>179</v>
      </c>
      <c r="J59" s="94" t="s">
        <v>180</v>
      </c>
      <c r="K59" s="94" t="s">
        <v>133</v>
      </c>
      <c r="L59" s="94" t="s">
        <v>40</v>
      </c>
      <c r="M59" s="94" t="s">
        <v>40</v>
      </c>
      <c r="N59" s="94" t="s">
        <v>181</v>
      </c>
      <c r="O59" s="94" t="s">
        <v>182</v>
      </c>
      <c r="P59" s="94" t="s">
        <v>100</v>
      </c>
      <c r="Q59" s="94" t="s">
        <v>44</v>
      </c>
      <c r="R59" s="94" t="s">
        <v>40</v>
      </c>
      <c r="S59" s="96">
        <v>0.2</v>
      </c>
      <c r="T59" s="94"/>
      <c r="U59" s="94" t="s">
        <v>183</v>
      </c>
      <c r="V59" s="70"/>
      <c r="W59" s="73" t="str">
        <f t="shared" si="2"/>
        <v/>
      </c>
      <c r="X59" s="73" t="str">
        <f t="shared" si="3"/>
        <v/>
      </c>
      <c r="Y59" s="73" t="str">
        <f t="shared" si="4"/>
        <v>X</v>
      </c>
      <c r="Z59" s="73" t="str">
        <f t="shared" si="5"/>
        <v/>
      </c>
      <c r="AA59" s="73" t="s">
        <v>28</v>
      </c>
      <c r="AB59" s="73" t="str">
        <f t="shared" si="6"/>
        <v>Trim 3</v>
      </c>
      <c r="AC59" s="73">
        <f t="shared" si="7"/>
        <v>0</v>
      </c>
      <c r="AD59" s="73">
        <f t="shared" si="8"/>
        <v>0</v>
      </c>
      <c r="AE59" s="73"/>
      <c r="AF59" s="73"/>
      <c r="AG59" s="73"/>
      <c r="AH59" s="73"/>
      <c r="AI59" s="73"/>
    </row>
    <row r="60" spans="1:35" ht="75">
      <c r="A60" s="94" t="s">
        <v>166</v>
      </c>
      <c r="B60" s="94">
        <v>1</v>
      </c>
      <c r="C60" s="94" t="s">
        <v>167</v>
      </c>
      <c r="D60" s="96">
        <v>0.3</v>
      </c>
      <c r="E60" s="94" t="s">
        <v>184</v>
      </c>
      <c r="F60" s="95" t="s">
        <v>185</v>
      </c>
      <c r="G60" s="98">
        <v>0.01</v>
      </c>
      <c r="H60" s="95" t="s">
        <v>186</v>
      </c>
      <c r="I60" s="94" t="s">
        <v>187</v>
      </c>
      <c r="J60" s="94" t="s">
        <v>180</v>
      </c>
      <c r="K60" s="94" t="s">
        <v>39</v>
      </c>
      <c r="L60" s="94" t="s">
        <v>40</v>
      </c>
      <c r="M60" s="94" t="s">
        <v>40</v>
      </c>
      <c r="N60" s="94" t="s">
        <v>181</v>
      </c>
      <c r="O60" s="94" t="s">
        <v>182</v>
      </c>
      <c r="P60" s="94" t="s">
        <v>100</v>
      </c>
      <c r="Q60" s="94" t="s">
        <v>44</v>
      </c>
      <c r="R60" s="94" t="s">
        <v>40</v>
      </c>
      <c r="S60" s="98">
        <v>0.25</v>
      </c>
      <c r="T60" s="94" t="s">
        <v>45</v>
      </c>
      <c r="U60" s="94" t="s">
        <v>188</v>
      </c>
      <c r="V60" s="70"/>
      <c r="W60" s="73" t="str">
        <f t="shared" si="2"/>
        <v/>
      </c>
      <c r="X60" s="73" t="str">
        <f t="shared" si="3"/>
        <v/>
      </c>
      <c r="Y60" s="73" t="str">
        <f t="shared" si="4"/>
        <v/>
      </c>
      <c r="Z60" s="73" t="str">
        <f t="shared" si="5"/>
        <v>X</v>
      </c>
      <c r="AA60" s="73" t="s">
        <v>29</v>
      </c>
      <c r="AB60" s="73" t="str">
        <f t="shared" si="6"/>
        <v>Trim 4</v>
      </c>
      <c r="AC60" s="73">
        <f t="shared" si="7"/>
        <v>0</v>
      </c>
      <c r="AD60" s="73">
        <f t="shared" si="8"/>
        <v>0</v>
      </c>
      <c r="AE60" s="73"/>
      <c r="AF60" s="73"/>
      <c r="AG60" s="73"/>
      <c r="AH60" s="73"/>
      <c r="AI60" s="73"/>
    </row>
    <row r="61" spans="1:35" ht="90">
      <c r="A61" s="94" t="s">
        <v>166</v>
      </c>
      <c r="B61" s="94">
        <v>1</v>
      </c>
      <c r="C61" s="94" t="s">
        <v>167</v>
      </c>
      <c r="D61" s="96">
        <v>0.3</v>
      </c>
      <c r="E61" s="94" t="s">
        <v>189</v>
      </c>
      <c r="F61" s="95" t="s">
        <v>190</v>
      </c>
      <c r="G61" s="98">
        <v>1.4999999999999999E-2</v>
      </c>
      <c r="H61" s="95" t="s">
        <v>191</v>
      </c>
      <c r="I61" s="94" t="s">
        <v>192</v>
      </c>
      <c r="J61" s="94" t="s">
        <v>180</v>
      </c>
      <c r="K61" s="94" t="s">
        <v>39</v>
      </c>
      <c r="L61" s="94" t="s">
        <v>40</v>
      </c>
      <c r="M61" s="94" t="s">
        <v>193</v>
      </c>
      <c r="N61" s="94" t="s">
        <v>181</v>
      </c>
      <c r="O61" s="94" t="s">
        <v>182</v>
      </c>
      <c r="P61" s="94" t="s">
        <v>100</v>
      </c>
      <c r="Q61" s="94" t="s">
        <v>44</v>
      </c>
      <c r="R61" s="94" t="s">
        <v>40</v>
      </c>
      <c r="S61" s="98">
        <v>0.25</v>
      </c>
      <c r="T61" s="94" t="s">
        <v>45</v>
      </c>
      <c r="U61" s="94" t="s">
        <v>194</v>
      </c>
      <c r="V61" s="70"/>
      <c r="W61" s="73" t="str">
        <f t="shared" si="2"/>
        <v/>
      </c>
      <c r="X61" s="73" t="str">
        <f t="shared" si="3"/>
        <v/>
      </c>
      <c r="Y61" s="73" t="str">
        <f t="shared" si="4"/>
        <v/>
      </c>
      <c r="Z61" s="73" t="str">
        <f t="shared" si="5"/>
        <v>X</v>
      </c>
      <c r="AA61" s="73" t="s">
        <v>29</v>
      </c>
      <c r="AB61" s="73" t="str">
        <f t="shared" si="6"/>
        <v>Trim 4</v>
      </c>
      <c r="AC61" s="73">
        <f t="shared" si="7"/>
        <v>0</v>
      </c>
      <c r="AD61" s="73">
        <f t="shared" si="8"/>
        <v>0</v>
      </c>
      <c r="AE61" s="73"/>
      <c r="AF61" s="73"/>
      <c r="AG61" s="73"/>
      <c r="AH61" s="73"/>
      <c r="AI61" s="73"/>
    </row>
    <row r="62" spans="1:35" ht="45">
      <c r="A62" s="94" t="s">
        <v>166</v>
      </c>
      <c r="B62" s="94">
        <v>1</v>
      </c>
      <c r="C62" s="94" t="s">
        <v>167</v>
      </c>
      <c r="D62" s="96">
        <v>0.3</v>
      </c>
      <c r="E62" s="94" t="s">
        <v>195</v>
      </c>
      <c r="F62" s="95" t="s">
        <v>196</v>
      </c>
      <c r="G62" s="98">
        <v>1.4999999999999999E-2</v>
      </c>
      <c r="H62" s="95" t="s">
        <v>197</v>
      </c>
      <c r="I62" s="94" t="s">
        <v>198</v>
      </c>
      <c r="J62" s="94" t="s">
        <v>199</v>
      </c>
      <c r="K62" s="94" t="s">
        <v>45</v>
      </c>
      <c r="L62" s="94" t="s">
        <v>40</v>
      </c>
      <c r="M62" s="94" t="s">
        <v>40</v>
      </c>
      <c r="N62" s="94" t="s">
        <v>41</v>
      </c>
      <c r="O62" s="94" t="s">
        <v>42</v>
      </c>
      <c r="P62" s="94" t="s">
        <v>100</v>
      </c>
      <c r="Q62" s="94" t="s">
        <v>44</v>
      </c>
      <c r="R62" s="94" t="s">
        <v>40</v>
      </c>
      <c r="S62" s="98">
        <v>1.4999999999999999E-2</v>
      </c>
      <c r="T62" s="94" t="s">
        <v>45</v>
      </c>
      <c r="U62" s="94" t="s">
        <v>200</v>
      </c>
      <c r="V62" s="70"/>
      <c r="W62" s="73" t="str">
        <f t="shared" si="2"/>
        <v>X</v>
      </c>
      <c r="X62" s="73" t="str">
        <f t="shared" si="3"/>
        <v/>
      </c>
      <c r="Y62" s="73" t="str">
        <f t="shared" si="4"/>
        <v/>
      </c>
      <c r="Z62" s="73" t="str">
        <f t="shared" si="5"/>
        <v/>
      </c>
      <c r="AA62" s="73" t="s">
        <v>26</v>
      </c>
      <c r="AB62" s="73" t="str">
        <f t="shared" si="6"/>
        <v>Trim 1</v>
      </c>
      <c r="AC62" s="73">
        <f t="shared" si="7"/>
        <v>1</v>
      </c>
      <c r="AD62" s="73">
        <f t="shared" si="8"/>
        <v>1</v>
      </c>
      <c r="AE62" s="73"/>
      <c r="AF62" s="73"/>
      <c r="AG62" s="73"/>
      <c r="AH62" s="73"/>
      <c r="AI62" s="73"/>
    </row>
    <row r="63" spans="1:35" ht="45">
      <c r="A63" s="94" t="s">
        <v>166</v>
      </c>
      <c r="B63" s="94">
        <v>1</v>
      </c>
      <c r="C63" s="94" t="s">
        <v>167</v>
      </c>
      <c r="D63" s="96">
        <v>0.3</v>
      </c>
      <c r="E63" s="94" t="s">
        <v>201</v>
      </c>
      <c r="F63" s="95" t="s">
        <v>202</v>
      </c>
      <c r="G63" s="98">
        <v>1.4999999999999999E-2</v>
      </c>
      <c r="H63" s="95" t="s">
        <v>197</v>
      </c>
      <c r="I63" s="94" t="s">
        <v>198</v>
      </c>
      <c r="J63" s="94" t="s">
        <v>199</v>
      </c>
      <c r="K63" s="94" t="s">
        <v>111</v>
      </c>
      <c r="L63" s="94" t="s">
        <v>40</v>
      </c>
      <c r="M63" s="94" t="s">
        <v>40</v>
      </c>
      <c r="N63" s="94" t="s">
        <v>41</v>
      </c>
      <c r="O63" s="94" t="s">
        <v>42</v>
      </c>
      <c r="P63" s="94" t="s">
        <v>100</v>
      </c>
      <c r="Q63" s="94" t="s">
        <v>44</v>
      </c>
      <c r="R63" s="94" t="s">
        <v>40</v>
      </c>
      <c r="S63" s="98"/>
      <c r="T63" s="94"/>
      <c r="U63" s="94"/>
      <c r="V63" s="70"/>
      <c r="W63" s="73" t="str">
        <f t="shared" si="2"/>
        <v/>
      </c>
      <c r="X63" s="73" t="str">
        <f t="shared" si="3"/>
        <v>X</v>
      </c>
      <c r="Y63" s="73" t="str">
        <f t="shared" si="4"/>
        <v/>
      </c>
      <c r="Z63" s="73" t="str">
        <f t="shared" si="5"/>
        <v/>
      </c>
      <c r="AA63" s="73" t="s">
        <v>27</v>
      </c>
      <c r="AB63" s="73" t="str">
        <f t="shared" si="6"/>
        <v>Trim 2</v>
      </c>
      <c r="AC63" s="73">
        <f t="shared" si="7"/>
        <v>0</v>
      </c>
      <c r="AD63" s="73">
        <f t="shared" si="8"/>
        <v>0</v>
      </c>
      <c r="AE63" s="73"/>
      <c r="AF63" s="73"/>
      <c r="AG63" s="73"/>
      <c r="AH63" s="73"/>
      <c r="AI63" s="73"/>
    </row>
    <row r="64" spans="1:35" ht="45">
      <c r="A64" s="94" t="s">
        <v>166</v>
      </c>
      <c r="B64" s="94">
        <v>1</v>
      </c>
      <c r="C64" s="94" t="s">
        <v>167</v>
      </c>
      <c r="D64" s="96">
        <v>0.3</v>
      </c>
      <c r="E64" s="94" t="s">
        <v>203</v>
      </c>
      <c r="F64" s="95" t="s">
        <v>204</v>
      </c>
      <c r="G64" s="98">
        <v>1.4999999999999999E-2</v>
      </c>
      <c r="H64" s="95" t="s">
        <v>197</v>
      </c>
      <c r="I64" s="94" t="s">
        <v>198</v>
      </c>
      <c r="J64" s="94" t="s">
        <v>199</v>
      </c>
      <c r="K64" s="94" t="s">
        <v>115</v>
      </c>
      <c r="L64" s="94" t="s">
        <v>40</v>
      </c>
      <c r="M64" s="94" t="s">
        <v>40</v>
      </c>
      <c r="N64" s="94" t="s">
        <v>41</v>
      </c>
      <c r="O64" s="94" t="s">
        <v>42</v>
      </c>
      <c r="P64" s="94" t="s">
        <v>100</v>
      </c>
      <c r="Q64" s="94" t="s">
        <v>44</v>
      </c>
      <c r="R64" s="94" t="s">
        <v>40</v>
      </c>
      <c r="S64" s="98"/>
      <c r="T64" s="94"/>
      <c r="U64" s="94"/>
      <c r="V64" s="70"/>
      <c r="W64" s="73" t="str">
        <f t="shared" si="2"/>
        <v/>
      </c>
      <c r="X64" s="73" t="str">
        <f t="shared" si="3"/>
        <v/>
      </c>
      <c r="Y64" s="73" t="str">
        <f t="shared" si="4"/>
        <v>X</v>
      </c>
      <c r="Z64" s="73" t="str">
        <f t="shared" si="5"/>
        <v/>
      </c>
      <c r="AA64" s="73" t="s">
        <v>28</v>
      </c>
      <c r="AB64" s="73" t="str">
        <f t="shared" si="6"/>
        <v>Trim 3</v>
      </c>
      <c r="AC64" s="73">
        <f t="shared" si="7"/>
        <v>0</v>
      </c>
      <c r="AD64" s="73">
        <f t="shared" si="8"/>
        <v>0</v>
      </c>
      <c r="AE64" s="73"/>
      <c r="AF64" s="73"/>
      <c r="AG64" s="73"/>
      <c r="AH64" s="73"/>
      <c r="AI64" s="73"/>
    </row>
    <row r="65" spans="1:35" ht="45">
      <c r="A65" s="94" t="s">
        <v>166</v>
      </c>
      <c r="B65" s="94">
        <v>1</v>
      </c>
      <c r="C65" s="94" t="s">
        <v>167</v>
      </c>
      <c r="D65" s="96">
        <v>0.3</v>
      </c>
      <c r="E65" s="94" t="s">
        <v>205</v>
      </c>
      <c r="F65" s="95" t="s">
        <v>206</v>
      </c>
      <c r="G65" s="98">
        <v>1.4999999999999999E-2</v>
      </c>
      <c r="H65" s="95" t="s">
        <v>197</v>
      </c>
      <c r="I65" s="94" t="s">
        <v>198</v>
      </c>
      <c r="J65" s="94" t="s">
        <v>199</v>
      </c>
      <c r="K65" s="94" t="s">
        <v>39</v>
      </c>
      <c r="L65" s="94" t="s">
        <v>40</v>
      </c>
      <c r="M65" s="94" t="s">
        <v>40</v>
      </c>
      <c r="N65" s="94" t="s">
        <v>41</v>
      </c>
      <c r="O65" s="94" t="s">
        <v>42</v>
      </c>
      <c r="P65" s="94" t="s">
        <v>100</v>
      </c>
      <c r="Q65" s="94" t="s">
        <v>44</v>
      </c>
      <c r="R65" s="94" t="s">
        <v>40</v>
      </c>
      <c r="S65" s="98"/>
      <c r="T65" s="94"/>
      <c r="U65" s="94"/>
      <c r="V65" s="70"/>
      <c r="W65" s="73" t="str">
        <f t="shared" si="2"/>
        <v/>
      </c>
      <c r="X65" s="73" t="str">
        <f t="shared" si="3"/>
        <v/>
      </c>
      <c r="Y65" s="73" t="str">
        <f t="shared" si="4"/>
        <v/>
      </c>
      <c r="Z65" s="73" t="str">
        <f t="shared" si="5"/>
        <v>X</v>
      </c>
      <c r="AA65" s="73" t="s">
        <v>29</v>
      </c>
      <c r="AB65" s="73" t="str">
        <f t="shared" si="6"/>
        <v>Trim 4</v>
      </c>
      <c r="AC65" s="73">
        <f t="shared" si="7"/>
        <v>0</v>
      </c>
      <c r="AD65" s="73">
        <f t="shared" si="8"/>
        <v>0</v>
      </c>
      <c r="AE65" s="73"/>
      <c r="AF65" s="73"/>
      <c r="AG65" s="73"/>
      <c r="AH65" s="73"/>
      <c r="AI65" s="73"/>
    </row>
    <row r="66" spans="1:35" ht="90">
      <c r="A66" s="94" t="s">
        <v>166</v>
      </c>
      <c r="B66" s="94">
        <v>1</v>
      </c>
      <c r="C66" s="94" t="s">
        <v>167</v>
      </c>
      <c r="D66" s="96">
        <v>0.3</v>
      </c>
      <c r="E66" s="94" t="s">
        <v>207</v>
      </c>
      <c r="F66" s="95" t="s">
        <v>208</v>
      </c>
      <c r="G66" s="98">
        <v>1.4999999999999999E-2</v>
      </c>
      <c r="H66" s="95" t="s">
        <v>209</v>
      </c>
      <c r="I66" s="94" t="s">
        <v>210</v>
      </c>
      <c r="J66" s="94" t="s">
        <v>199</v>
      </c>
      <c r="K66" s="94" t="s">
        <v>109</v>
      </c>
      <c r="L66" s="94" t="s">
        <v>40</v>
      </c>
      <c r="M66" s="94" t="s">
        <v>193</v>
      </c>
      <c r="N66" s="94" t="s">
        <v>41</v>
      </c>
      <c r="O66" s="94" t="s">
        <v>42</v>
      </c>
      <c r="P66" s="94" t="s">
        <v>100</v>
      </c>
      <c r="Q66" s="94" t="s">
        <v>44</v>
      </c>
      <c r="R66" s="94" t="s">
        <v>40</v>
      </c>
      <c r="S66" s="98">
        <v>0</v>
      </c>
      <c r="T66" s="94"/>
      <c r="U66" s="94" t="s">
        <v>211</v>
      </c>
      <c r="V66" s="70"/>
      <c r="W66" s="73" t="str">
        <f t="shared" si="2"/>
        <v/>
      </c>
      <c r="X66" s="73" t="str">
        <f t="shared" si="3"/>
        <v>X</v>
      </c>
      <c r="Y66" s="73" t="str">
        <f t="shared" si="4"/>
        <v/>
      </c>
      <c r="Z66" s="73" t="str">
        <f t="shared" si="5"/>
        <v/>
      </c>
      <c r="AA66" s="73" t="s">
        <v>27</v>
      </c>
      <c r="AB66" s="73" t="str">
        <f t="shared" si="6"/>
        <v>Trim 2</v>
      </c>
      <c r="AC66" s="73">
        <f t="shared" si="7"/>
        <v>0</v>
      </c>
      <c r="AD66" s="73">
        <f t="shared" si="8"/>
        <v>0</v>
      </c>
      <c r="AE66" s="73"/>
      <c r="AF66" s="73"/>
      <c r="AG66" s="73"/>
      <c r="AH66" s="73"/>
      <c r="AI66" s="73"/>
    </row>
    <row r="67" spans="1:35" ht="90">
      <c r="A67" s="94" t="s">
        <v>166</v>
      </c>
      <c r="B67" s="94">
        <v>1</v>
      </c>
      <c r="C67" s="94" t="s">
        <v>167</v>
      </c>
      <c r="D67" s="96">
        <v>0.3</v>
      </c>
      <c r="E67" s="94" t="s">
        <v>212</v>
      </c>
      <c r="F67" s="95" t="s">
        <v>213</v>
      </c>
      <c r="G67" s="98">
        <v>1.4999999999999999E-2</v>
      </c>
      <c r="H67" s="95" t="s">
        <v>209</v>
      </c>
      <c r="I67" s="94" t="s">
        <v>210</v>
      </c>
      <c r="J67" s="94" t="s">
        <v>199</v>
      </c>
      <c r="K67" s="94" t="s">
        <v>113</v>
      </c>
      <c r="L67" s="94" t="s">
        <v>40</v>
      </c>
      <c r="M67" s="94" t="s">
        <v>193</v>
      </c>
      <c r="N67" s="94" t="s">
        <v>41</v>
      </c>
      <c r="O67" s="94" t="s">
        <v>42</v>
      </c>
      <c r="P67" s="94" t="s">
        <v>100</v>
      </c>
      <c r="Q67" s="94" t="s">
        <v>44</v>
      </c>
      <c r="R67" s="94" t="s">
        <v>40</v>
      </c>
      <c r="S67" s="98"/>
      <c r="T67" s="94"/>
      <c r="U67" s="94"/>
      <c r="V67" s="70"/>
      <c r="W67" s="73" t="str">
        <f t="shared" si="2"/>
        <v/>
      </c>
      <c r="X67" s="73" t="str">
        <f t="shared" si="3"/>
        <v/>
      </c>
      <c r="Y67" s="73" t="str">
        <f t="shared" si="4"/>
        <v>X</v>
      </c>
      <c r="Z67" s="73" t="str">
        <f t="shared" si="5"/>
        <v/>
      </c>
      <c r="AA67" s="73" t="s">
        <v>28</v>
      </c>
      <c r="AB67" s="73" t="str">
        <f t="shared" si="6"/>
        <v>Trim 3</v>
      </c>
      <c r="AC67" s="73">
        <f t="shared" si="7"/>
        <v>0</v>
      </c>
      <c r="AD67" s="73">
        <f t="shared" si="8"/>
        <v>0</v>
      </c>
      <c r="AE67" s="73"/>
      <c r="AF67" s="73"/>
      <c r="AG67" s="73"/>
      <c r="AH67" s="73"/>
      <c r="AI67" s="73"/>
    </row>
    <row r="68" spans="1:35" ht="90">
      <c r="A68" s="94" t="s">
        <v>166</v>
      </c>
      <c r="B68" s="94">
        <v>1</v>
      </c>
      <c r="C68" s="94" t="s">
        <v>167</v>
      </c>
      <c r="D68" s="96">
        <v>0.3</v>
      </c>
      <c r="E68" s="94" t="s">
        <v>214</v>
      </c>
      <c r="F68" s="95" t="s">
        <v>215</v>
      </c>
      <c r="G68" s="98">
        <v>1.4999999999999999E-2</v>
      </c>
      <c r="H68" s="95" t="s">
        <v>209</v>
      </c>
      <c r="I68" s="94" t="s">
        <v>210</v>
      </c>
      <c r="J68" s="94" t="s">
        <v>199</v>
      </c>
      <c r="K68" s="94" t="s">
        <v>117</v>
      </c>
      <c r="L68" s="94" t="s">
        <v>40</v>
      </c>
      <c r="M68" s="94" t="s">
        <v>193</v>
      </c>
      <c r="N68" s="94" t="s">
        <v>41</v>
      </c>
      <c r="O68" s="94" t="s">
        <v>42</v>
      </c>
      <c r="P68" s="94" t="s">
        <v>100</v>
      </c>
      <c r="Q68" s="94" t="s">
        <v>44</v>
      </c>
      <c r="R68" s="94" t="s">
        <v>40</v>
      </c>
      <c r="S68" s="98"/>
      <c r="T68" s="94"/>
      <c r="U68" s="94"/>
      <c r="V68" s="70"/>
      <c r="W68" s="73" t="str">
        <f t="shared" si="2"/>
        <v/>
      </c>
      <c r="X68" s="73" t="str">
        <f t="shared" si="3"/>
        <v/>
      </c>
      <c r="Y68" s="73" t="str">
        <f t="shared" si="4"/>
        <v/>
      </c>
      <c r="Z68" s="73" t="str">
        <f t="shared" si="5"/>
        <v>X</v>
      </c>
      <c r="AA68" s="73" t="s">
        <v>29</v>
      </c>
      <c r="AB68" s="73" t="str">
        <f t="shared" si="6"/>
        <v>Trim 4</v>
      </c>
      <c r="AC68" s="73">
        <f t="shared" si="7"/>
        <v>0</v>
      </c>
      <c r="AD68" s="73">
        <f t="shared" si="8"/>
        <v>0</v>
      </c>
      <c r="AE68" s="73"/>
      <c r="AF68" s="73"/>
      <c r="AG68" s="73"/>
      <c r="AH68" s="73"/>
      <c r="AI68" s="73"/>
    </row>
    <row r="69" spans="1:35" ht="90">
      <c r="A69" s="94" t="s">
        <v>166</v>
      </c>
      <c r="B69" s="94">
        <v>1</v>
      </c>
      <c r="C69" s="94" t="s">
        <v>167</v>
      </c>
      <c r="D69" s="96">
        <v>0.3</v>
      </c>
      <c r="E69" s="94" t="s">
        <v>216</v>
      </c>
      <c r="F69" s="95" t="s">
        <v>217</v>
      </c>
      <c r="G69" s="98">
        <v>1.4999999999999999E-2</v>
      </c>
      <c r="H69" s="95" t="s">
        <v>209</v>
      </c>
      <c r="I69" s="94" t="s">
        <v>210</v>
      </c>
      <c r="J69" s="94" t="s">
        <v>199</v>
      </c>
      <c r="K69" s="94" t="s">
        <v>97</v>
      </c>
      <c r="L69" s="94" t="s">
        <v>40</v>
      </c>
      <c r="M69" s="94" t="s">
        <v>193</v>
      </c>
      <c r="N69" s="94" t="s">
        <v>41</v>
      </c>
      <c r="O69" s="94" t="s">
        <v>42</v>
      </c>
      <c r="P69" s="94" t="s">
        <v>100</v>
      </c>
      <c r="Q69" s="94" t="s">
        <v>44</v>
      </c>
      <c r="R69" s="94" t="s">
        <v>40</v>
      </c>
      <c r="S69" s="98">
        <v>1.4999999999999999E-2</v>
      </c>
      <c r="T69" s="94" t="s">
        <v>97</v>
      </c>
      <c r="U69" s="94" t="s">
        <v>218</v>
      </c>
      <c r="V69" s="70"/>
      <c r="W69" s="73" t="str">
        <f t="shared" si="2"/>
        <v>X</v>
      </c>
      <c r="X69" s="73" t="str">
        <f t="shared" si="3"/>
        <v/>
      </c>
      <c r="Y69" s="73" t="str">
        <f t="shared" si="4"/>
        <v/>
      </c>
      <c r="Z69" s="73" t="str">
        <f t="shared" si="5"/>
        <v/>
      </c>
      <c r="AA69" s="73" t="s">
        <v>26</v>
      </c>
      <c r="AB69" s="73" t="str">
        <f t="shared" si="6"/>
        <v>Trim 1</v>
      </c>
      <c r="AC69" s="73">
        <f t="shared" si="7"/>
        <v>1</v>
      </c>
      <c r="AD69" s="73">
        <f t="shared" si="8"/>
        <v>1</v>
      </c>
      <c r="AE69" s="73"/>
      <c r="AF69" s="73"/>
      <c r="AG69" s="73"/>
      <c r="AH69" s="73"/>
      <c r="AI69" s="73"/>
    </row>
    <row r="70" spans="1:35" ht="60">
      <c r="A70" s="94" t="s">
        <v>166</v>
      </c>
      <c r="B70" s="94">
        <v>1</v>
      </c>
      <c r="C70" s="94" t="s">
        <v>167</v>
      </c>
      <c r="D70" s="96">
        <v>0.3</v>
      </c>
      <c r="E70" s="94" t="s">
        <v>219</v>
      </c>
      <c r="F70" s="95" t="s">
        <v>220</v>
      </c>
      <c r="G70" s="98">
        <v>0.01</v>
      </c>
      <c r="H70" s="95" t="s">
        <v>221</v>
      </c>
      <c r="I70" s="94" t="s">
        <v>222</v>
      </c>
      <c r="J70" s="94" t="s">
        <v>199</v>
      </c>
      <c r="K70" s="94" t="s">
        <v>39</v>
      </c>
      <c r="L70" s="94" t="s">
        <v>40</v>
      </c>
      <c r="M70" s="94" t="s">
        <v>40</v>
      </c>
      <c r="N70" s="94" t="s">
        <v>41</v>
      </c>
      <c r="O70" s="94" t="s">
        <v>223</v>
      </c>
      <c r="P70" s="94" t="s">
        <v>100</v>
      </c>
      <c r="Q70" s="94" t="s">
        <v>44</v>
      </c>
      <c r="R70" s="94" t="s">
        <v>224</v>
      </c>
      <c r="S70" s="98">
        <v>0.25</v>
      </c>
      <c r="T70" s="94" t="s">
        <v>45</v>
      </c>
      <c r="U70" s="94" t="s">
        <v>225</v>
      </c>
      <c r="V70" s="70"/>
      <c r="W70" s="73" t="str">
        <f t="shared" si="2"/>
        <v/>
      </c>
      <c r="X70" s="73" t="str">
        <f t="shared" si="3"/>
        <v/>
      </c>
      <c r="Y70" s="73" t="str">
        <f t="shared" si="4"/>
        <v/>
      </c>
      <c r="Z70" s="73" t="str">
        <f t="shared" si="5"/>
        <v>X</v>
      </c>
      <c r="AA70" s="73" t="s">
        <v>29</v>
      </c>
      <c r="AB70" s="73" t="str">
        <f t="shared" si="6"/>
        <v>Trim 4</v>
      </c>
      <c r="AC70" s="73">
        <f t="shared" si="7"/>
        <v>0</v>
      </c>
      <c r="AD70" s="73">
        <f t="shared" si="8"/>
        <v>0</v>
      </c>
      <c r="AE70" s="73"/>
      <c r="AF70" s="73"/>
      <c r="AG70" s="73"/>
      <c r="AH70" s="73"/>
      <c r="AI70" s="73"/>
    </row>
    <row r="71" spans="1:35" ht="60">
      <c r="A71" s="94" t="s">
        <v>166</v>
      </c>
      <c r="B71" s="94">
        <v>1</v>
      </c>
      <c r="C71" s="94" t="s">
        <v>167</v>
      </c>
      <c r="D71" s="96">
        <v>0.3</v>
      </c>
      <c r="E71" s="94" t="s">
        <v>226</v>
      </c>
      <c r="F71" s="95" t="s">
        <v>227</v>
      </c>
      <c r="G71" s="98">
        <v>0.01</v>
      </c>
      <c r="H71" s="95" t="s">
        <v>228</v>
      </c>
      <c r="I71" s="94" t="s">
        <v>229</v>
      </c>
      <c r="J71" s="94" t="s">
        <v>180</v>
      </c>
      <c r="K71" s="94" t="s">
        <v>111</v>
      </c>
      <c r="L71" s="94" t="s">
        <v>40</v>
      </c>
      <c r="M71" s="94" t="s">
        <v>40</v>
      </c>
      <c r="N71" s="94" t="s">
        <v>41</v>
      </c>
      <c r="O71" s="94" t="s">
        <v>42</v>
      </c>
      <c r="P71" s="94" t="s">
        <v>100</v>
      </c>
      <c r="Q71" s="94" t="s">
        <v>44</v>
      </c>
      <c r="R71" s="94" t="s">
        <v>40</v>
      </c>
      <c r="S71" s="98"/>
      <c r="T71" s="94" t="s">
        <v>97</v>
      </c>
      <c r="U71" s="94" t="s">
        <v>230</v>
      </c>
      <c r="V71" s="70"/>
      <c r="W71" s="73" t="str">
        <f t="shared" si="2"/>
        <v/>
      </c>
      <c r="X71" s="73" t="str">
        <f t="shared" si="3"/>
        <v>X</v>
      </c>
      <c r="Y71" s="73" t="str">
        <f t="shared" si="4"/>
        <v/>
      </c>
      <c r="Z71" s="73" t="str">
        <f t="shared" si="5"/>
        <v/>
      </c>
      <c r="AA71" s="73" t="s">
        <v>27</v>
      </c>
      <c r="AB71" s="73" t="str">
        <f t="shared" si="6"/>
        <v>Trim 2</v>
      </c>
      <c r="AC71" s="73">
        <f t="shared" si="7"/>
        <v>0</v>
      </c>
      <c r="AD71" s="73">
        <f t="shared" si="8"/>
        <v>0</v>
      </c>
      <c r="AE71" s="73"/>
      <c r="AF71" s="73"/>
      <c r="AG71" s="73"/>
      <c r="AH71" s="73"/>
      <c r="AI71" s="73"/>
    </row>
    <row r="72" spans="1:35" ht="60">
      <c r="A72" s="94" t="s">
        <v>166</v>
      </c>
      <c r="B72" s="94">
        <v>1</v>
      </c>
      <c r="C72" s="94" t="s">
        <v>167</v>
      </c>
      <c r="D72" s="96">
        <v>0.3</v>
      </c>
      <c r="E72" s="94" t="s">
        <v>231</v>
      </c>
      <c r="F72" s="95" t="s">
        <v>232</v>
      </c>
      <c r="G72" s="98">
        <v>0.01</v>
      </c>
      <c r="H72" s="95" t="s">
        <v>228</v>
      </c>
      <c r="I72" s="94" t="s">
        <v>229</v>
      </c>
      <c r="J72" s="94" t="s">
        <v>180</v>
      </c>
      <c r="K72" s="94" t="s">
        <v>117</v>
      </c>
      <c r="L72" s="94" t="s">
        <v>40</v>
      </c>
      <c r="M72" s="94" t="s">
        <v>40</v>
      </c>
      <c r="N72" s="94" t="s">
        <v>41</v>
      </c>
      <c r="O72" s="94" t="s">
        <v>42</v>
      </c>
      <c r="P72" s="94" t="s">
        <v>100</v>
      </c>
      <c r="Q72" s="94" t="s">
        <v>44</v>
      </c>
      <c r="R72" s="94" t="s">
        <v>40</v>
      </c>
      <c r="S72" s="98"/>
      <c r="T72" s="94"/>
      <c r="U72" s="94"/>
      <c r="V72" s="70"/>
      <c r="W72" s="73" t="str">
        <f t="shared" si="2"/>
        <v/>
      </c>
      <c r="X72" s="73" t="str">
        <f t="shared" si="3"/>
        <v/>
      </c>
      <c r="Y72" s="73" t="str">
        <f t="shared" si="4"/>
        <v/>
      </c>
      <c r="Z72" s="73" t="str">
        <f t="shared" si="5"/>
        <v>X</v>
      </c>
      <c r="AA72" s="73" t="s">
        <v>29</v>
      </c>
      <c r="AB72" s="73" t="str">
        <f t="shared" si="6"/>
        <v>Trim 4</v>
      </c>
      <c r="AC72" s="73">
        <f t="shared" si="7"/>
        <v>0</v>
      </c>
      <c r="AD72" s="73">
        <f t="shared" si="8"/>
        <v>0</v>
      </c>
      <c r="AE72" s="73"/>
      <c r="AF72" s="73"/>
      <c r="AG72" s="73"/>
      <c r="AH72" s="73"/>
      <c r="AI72" s="73"/>
    </row>
    <row r="73" spans="1:35" ht="60">
      <c r="A73" s="94" t="s">
        <v>166</v>
      </c>
      <c r="B73" s="94">
        <v>1</v>
      </c>
      <c r="C73" s="94" t="s">
        <v>167</v>
      </c>
      <c r="D73" s="96">
        <v>0.3</v>
      </c>
      <c r="E73" s="94" t="s">
        <v>233</v>
      </c>
      <c r="F73" s="95" t="s">
        <v>234</v>
      </c>
      <c r="G73" s="98">
        <v>1.4999999999999999E-2</v>
      </c>
      <c r="H73" s="95" t="s">
        <v>235</v>
      </c>
      <c r="I73" s="94" t="s">
        <v>236</v>
      </c>
      <c r="J73" s="94" t="s">
        <v>180</v>
      </c>
      <c r="K73" s="94" t="s">
        <v>39</v>
      </c>
      <c r="L73" s="94" t="s">
        <v>40</v>
      </c>
      <c r="M73" s="94" t="s">
        <v>40</v>
      </c>
      <c r="N73" s="94" t="s">
        <v>237</v>
      </c>
      <c r="O73" s="94" t="s">
        <v>182</v>
      </c>
      <c r="P73" s="94" t="s">
        <v>100</v>
      </c>
      <c r="Q73" s="94" t="s">
        <v>44</v>
      </c>
      <c r="R73" s="94" t="s">
        <v>40</v>
      </c>
      <c r="S73" s="98">
        <v>0.2</v>
      </c>
      <c r="T73" s="94" t="s">
        <v>45</v>
      </c>
      <c r="U73" s="94" t="s">
        <v>238</v>
      </c>
      <c r="V73" s="70"/>
      <c r="W73" s="73" t="str">
        <f t="shared" si="2"/>
        <v/>
      </c>
      <c r="X73" s="73" t="str">
        <f t="shared" si="3"/>
        <v/>
      </c>
      <c r="Y73" s="73" t="str">
        <f t="shared" si="4"/>
        <v/>
      </c>
      <c r="Z73" s="73" t="str">
        <f t="shared" si="5"/>
        <v>X</v>
      </c>
      <c r="AA73" s="73" t="s">
        <v>29</v>
      </c>
      <c r="AB73" s="73" t="str">
        <f t="shared" si="6"/>
        <v>Trim 4</v>
      </c>
      <c r="AC73" s="73">
        <f t="shared" si="7"/>
        <v>0</v>
      </c>
      <c r="AD73" s="73">
        <f t="shared" si="8"/>
        <v>0</v>
      </c>
      <c r="AE73" s="73"/>
      <c r="AF73" s="73"/>
      <c r="AG73" s="73"/>
      <c r="AH73" s="73"/>
      <c r="AI73" s="73"/>
    </row>
    <row r="74" spans="1:35" ht="75">
      <c r="A74" s="94" t="s">
        <v>166</v>
      </c>
      <c r="B74" s="94">
        <v>1</v>
      </c>
      <c r="C74" s="94" t="s">
        <v>167</v>
      </c>
      <c r="D74" s="96">
        <v>0.3</v>
      </c>
      <c r="E74" s="94" t="s">
        <v>239</v>
      </c>
      <c r="F74" s="95" t="s">
        <v>240</v>
      </c>
      <c r="G74" s="98">
        <v>1.4999999999999999E-2</v>
      </c>
      <c r="H74" s="95" t="s">
        <v>241</v>
      </c>
      <c r="I74" s="94" t="s">
        <v>242</v>
      </c>
      <c r="J74" s="94" t="s">
        <v>180</v>
      </c>
      <c r="K74" s="94" t="s">
        <v>39</v>
      </c>
      <c r="L74" s="94" t="s">
        <v>40</v>
      </c>
      <c r="M74" s="94" t="s">
        <v>40</v>
      </c>
      <c r="N74" s="94" t="s">
        <v>237</v>
      </c>
      <c r="O74" s="94" t="s">
        <v>81</v>
      </c>
      <c r="P74" s="94" t="s">
        <v>100</v>
      </c>
      <c r="Q74" s="94" t="s">
        <v>44</v>
      </c>
      <c r="R74" s="94" t="s">
        <v>40</v>
      </c>
      <c r="S74" s="98"/>
      <c r="T74" s="94"/>
      <c r="U74" s="94"/>
      <c r="V74" s="70"/>
      <c r="W74" s="73" t="str">
        <f t="shared" si="2"/>
        <v/>
      </c>
      <c r="X74" s="73" t="str">
        <f t="shared" si="3"/>
        <v/>
      </c>
      <c r="Y74" s="73" t="str">
        <f t="shared" si="4"/>
        <v/>
      </c>
      <c r="Z74" s="73" t="str">
        <f t="shared" si="5"/>
        <v>X</v>
      </c>
      <c r="AA74" s="73" t="s">
        <v>29</v>
      </c>
      <c r="AB74" s="73" t="str">
        <f t="shared" si="6"/>
        <v>Trim 4</v>
      </c>
      <c r="AC74" s="73">
        <f t="shared" si="7"/>
        <v>0</v>
      </c>
      <c r="AD74" s="73">
        <f t="shared" si="8"/>
        <v>0</v>
      </c>
      <c r="AE74" s="73"/>
      <c r="AF74" s="73"/>
      <c r="AG74" s="73"/>
      <c r="AH74" s="73"/>
      <c r="AI74" s="73"/>
    </row>
    <row r="75" spans="1:35" ht="75">
      <c r="A75" s="94" t="s">
        <v>166</v>
      </c>
      <c r="B75" s="94">
        <v>1</v>
      </c>
      <c r="C75" s="94" t="s">
        <v>167</v>
      </c>
      <c r="D75" s="96">
        <v>0.3</v>
      </c>
      <c r="E75" s="94" t="s">
        <v>243</v>
      </c>
      <c r="F75" s="95" t="s">
        <v>244</v>
      </c>
      <c r="G75" s="98">
        <v>0.01</v>
      </c>
      <c r="H75" s="95" t="s">
        <v>245</v>
      </c>
      <c r="I75" s="94" t="s">
        <v>246</v>
      </c>
      <c r="J75" s="94" t="s">
        <v>180</v>
      </c>
      <c r="K75" s="94" t="s">
        <v>133</v>
      </c>
      <c r="L75" s="94" t="s">
        <v>40</v>
      </c>
      <c r="M75" s="94" t="s">
        <v>40</v>
      </c>
      <c r="N75" s="94" t="s">
        <v>237</v>
      </c>
      <c r="O75" s="94" t="s">
        <v>182</v>
      </c>
      <c r="P75" s="94" t="s">
        <v>100</v>
      </c>
      <c r="Q75" s="94" t="s">
        <v>44</v>
      </c>
      <c r="R75" s="94" t="s">
        <v>40</v>
      </c>
      <c r="S75" s="98"/>
      <c r="T75" s="94"/>
      <c r="U75" s="94"/>
      <c r="V75" s="70"/>
      <c r="W75" s="73" t="str">
        <f t="shared" si="2"/>
        <v/>
      </c>
      <c r="X75" s="73" t="str">
        <f t="shared" si="3"/>
        <v/>
      </c>
      <c r="Y75" s="73" t="str">
        <f t="shared" si="4"/>
        <v>X</v>
      </c>
      <c r="Z75" s="73" t="str">
        <f t="shared" si="5"/>
        <v/>
      </c>
      <c r="AA75" s="73" t="s">
        <v>28</v>
      </c>
      <c r="AB75" s="73" t="str">
        <f t="shared" si="6"/>
        <v>Trim 3</v>
      </c>
      <c r="AC75" s="73">
        <f t="shared" si="7"/>
        <v>0</v>
      </c>
      <c r="AD75" s="73">
        <f t="shared" si="8"/>
        <v>0</v>
      </c>
      <c r="AE75" s="73"/>
      <c r="AF75" s="73"/>
      <c r="AG75" s="73"/>
      <c r="AH75" s="73"/>
      <c r="AI75" s="73"/>
    </row>
    <row r="76" spans="1:35" ht="60">
      <c r="A76" s="94" t="s">
        <v>166</v>
      </c>
      <c r="B76" s="94">
        <v>1</v>
      </c>
      <c r="C76" s="94" t="s">
        <v>167</v>
      </c>
      <c r="D76" s="96">
        <v>0.3</v>
      </c>
      <c r="E76" s="94" t="s">
        <v>247</v>
      </c>
      <c r="F76" s="95" t="s">
        <v>248</v>
      </c>
      <c r="G76" s="98">
        <v>5.0000000000000001E-3</v>
      </c>
      <c r="H76" s="95" t="s">
        <v>249</v>
      </c>
      <c r="I76" s="94" t="s">
        <v>250</v>
      </c>
      <c r="J76" s="94" t="s">
        <v>180</v>
      </c>
      <c r="K76" s="94" t="s">
        <v>39</v>
      </c>
      <c r="L76" s="94" t="s">
        <v>40</v>
      </c>
      <c r="M76" s="94" t="s">
        <v>40</v>
      </c>
      <c r="N76" s="94" t="s">
        <v>251</v>
      </c>
      <c r="O76" s="94" t="s">
        <v>252</v>
      </c>
      <c r="P76" s="94" t="s">
        <v>100</v>
      </c>
      <c r="Q76" s="94" t="s">
        <v>44</v>
      </c>
      <c r="R76" s="94" t="s">
        <v>40</v>
      </c>
      <c r="S76" s="96">
        <v>0.2</v>
      </c>
      <c r="T76" s="94" t="s">
        <v>45</v>
      </c>
      <c r="U76" s="94" t="s">
        <v>253</v>
      </c>
      <c r="V76" s="70"/>
      <c r="W76" s="73" t="str">
        <f t="shared" si="2"/>
        <v/>
      </c>
      <c r="X76" s="73" t="str">
        <f t="shared" si="3"/>
        <v/>
      </c>
      <c r="Y76" s="73" t="str">
        <f t="shared" si="4"/>
        <v/>
      </c>
      <c r="Z76" s="73" t="str">
        <f t="shared" si="5"/>
        <v>X</v>
      </c>
      <c r="AA76" s="73" t="s">
        <v>29</v>
      </c>
      <c r="AB76" s="73" t="str">
        <f t="shared" si="6"/>
        <v>Trim 4</v>
      </c>
      <c r="AC76" s="73">
        <f t="shared" si="7"/>
        <v>0</v>
      </c>
      <c r="AD76" s="73">
        <f t="shared" si="8"/>
        <v>0</v>
      </c>
      <c r="AE76" s="73"/>
      <c r="AF76" s="73"/>
      <c r="AG76" s="73"/>
      <c r="AH76" s="73"/>
      <c r="AI76" s="73"/>
    </row>
    <row r="77" spans="1:35" ht="45">
      <c r="A77" s="94" t="s">
        <v>166</v>
      </c>
      <c r="B77" s="94">
        <v>1</v>
      </c>
      <c r="C77" s="94" t="s">
        <v>167</v>
      </c>
      <c r="D77" s="96">
        <v>0.3</v>
      </c>
      <c r="E77" s="94" t="s">
        <v>254</v>
      </c>
      <c r="F77" s="95" t="s">
        <v>255</v>
      </c>
      <c r="G77" s="98">
        <v>0.01</v>
      </c>
      <c r="H77" s="95" t="s">
        <v>256</v>
      </c>
      <c r="I77" s="94" t="s">
        <v>257</v>
      </c>
      <c r="J77" s="94" t="s">
        <v>180</v>
      </c>
      <c r="K77" s="94" t="s">
        <v>45</v>
      </c>
      <c r="L77" s="94" t="s">
        <v>40</v>
      </c>
      <c r="M77" s="94" t="s">
        <v>40</v>
      </c>
      <c r="N77" s="94" t="s">
        <v>41</v>
      </c>
      <c r="O77" s="94" t="s">
        <v>223</v>
      </c>
      <c r="P77" s="94" t="s">
        <v>100</v>
      </c>
      <c r="Q77" s="94" t="s">
        <v>44</v>
      </c>
      <c r="R77" s="94" t="s">
        <v>40</v>
      </c>
      <c r="S77" s="98">
        <v>0.01</v>
      </c>
      <c r="T77" s="94" t="s">
        <v>45</v>
      </c>
      <c r="U77" s="94" t="s">
        <v>258</v>
      </c>
      <c r="V77" s="70"/>
      <c r="W77" s="73" t="str">
        <f t="shared" si="2"/>
        <v>X</v>
      </c>
      <c r="X77" s="73" t="str">
        <f t="shared" si="3"/>
        <v/>
      </c>
      <c r="Y77" s="73" t="str">
        <f t="shared" si="4"/>
        <v/>
      </c>
      <c r="Z77" s="73" t="str">
        <f t="shared" si="5"/>
        <v/>
      </c>
      <c r="AA77" s="73" t="s">
        <v>26</v>
      </c>
      <c r="AB77" s="73" t="str">
        <f t="shared" si="6"/>
        <v>Trim 1</v>
      </c>
      <c r="AC77" s="73">
        <f t="shared" si="7"/>
        <v>1</v>
      </c>
      <c r="AD77" s="73">
        <f t="shared" si="8"/>
        <v>1</v>
      </c>
      <c r="AE77" s="73"/>
      <c r="AF77" s="73"/>
      <c r="AG77" s="73"/>
      <c r="AH77" s="73"/>
      <c r="AI77" s="73"/>
    </row>
    <row r="78" spans="1:35" ht="90">
      <c r="A78" s="94" t="s">
        <v>166</v>
      </c>
      <c r="B78" s="94">
        <v>2</v>
      </c>
      <c r="C78" s="94" t="s">
        <v>259</v>
      </c>
      <c r="D78" s="96">
        <v>0.25</v>
      </c>
      <c r="E78" s="94" t="s">
        <v>56</v>
      </c>
      <c r="F78" s="95" t="s">
        <v>260</v>
      </c>
      <c r="G78" s="98">
        <v>0.02</v>
      </c>
      <c r="H78" s="95" t="s">
        <v>261</v>
      </c>
      <c r="I78" s="94" t="s">
        <v>262</v>
      </c>
      <c r="J78" s="94" t="s">
        <v>263</v>
      </c>
      <c r="K78" s="94" t="s">
        <v>108</v>
      </c>
      <c r="L78" s="94" t="s">
        <v>40</v>
      </c>
      <c r="M78" s="94" t="s">
        <v>193</v>
      </c>
      <c r="N78" s="94" t="s">
        <v>64</v>
      </c>
      <c r="O78" s="94" t="s">
        <v>65</v>
      </c>
      <c r="P78" s="94" t="s">
        <v>100</v>
      </c>
      <c r="Q78" s="94" t="s">
        <v>264</v>
      </c>
      <c r="R78" s="94" t="s">
        <v>40</v>
      </c>
      <c r="S78" s="98">
        <v>0.01</v>
      </c>
      <c r="T78" s="94" t="s">
        <v>45</v>
      </c>
      <c r="U78" s="94" t="s">
        <v>265</v>
      </c>
      <c r="V78" s="70"/>
      <c r="W78" s="73" t="str">
        <f t="shared" si="2"/>
        <v>X</v>
      </c>
      <c r="X78" s="73" t="str">
        <f t="shared" si="3"/>
        <v/>
      </c>
      <c r="Y78" s="73" t="str">
        <f t="shared" si="4"/>
        <v/>
      </c>
      <c r="Z78" s="73" t="str">
        <f t="shared" si="5"/>
        <v/>
      </c>
      <c r="AA78" s="73" t="s">
        <v>26</v>
      </c>
      <c r="AB78" s="73" t="str">
        <f t="shared" si="6"/>
        <v>Trim 1</v>
      </c>
      <c r="AC78" s="73">
        <f t="shared" si="7"/>
        <v>0</v>
      </c>
      <c r="AD78" s="73">
        <f t="shared" si="8"/>
        <v>1</v>
      </c>
      <c r="AE78" s="73"/>
      <c r="AF78" s="73"/>
      <c r="AG78" s="73"/>
      <c r="AH78" s="73"/>
      <c r="AI78" s="73"/>
    </row>
    <row r="79" spans="1:35" ht="90">
      <c r="A79" s="94" t="s">
        <v>166</v>
      </c>
      <c r="B79" s="94">
        <v>2</v>
      </c>
      <c r="C79" s="94" t="s">
        <v>259</v>
      </c>
      <c r="D79" s="96">
        <v>0.25</v>
      </c>
      <c r="E79" s="94" t="s">
        <v>60</v>
      </c>
      <c r="F79" s="95" t="s">
        <v>266</v>
      </c>
      <c r="G79" s="98">
        <v>4.4999999999999998E-2</v>
      </c>
      <c r="H79" s="95" t="s">
        <v>267</v>
      </c>
      <c r="I79" s="94" t="s">
        <v>262</v>
      </c>
      <c r="J79" s="94" t="s">
        <v>263</v>
      </c>
      <c r="K79" s="94" t="s">
        <v>45</v>
      </c>
      <c r="L79" s="94" t="s">
        <v>40</v>
      </c>
      <c r="M79" s="94" t="s">
        <v>193</v>
      </c>
      <c r="N79" s="94" t="s">
        <v>64</v>
      </c>
      <c r="O79" s="94" t="s">
        <v>65</v>
      </c>
      <c r="P79" s="94" t="s">
        <v>100</v>
      </c>
      <c r="Q79" s="94" t="s">
        <v>264</v>
      </c>
      <c r="R79" s="94" t="s">
        <v>40</v>
      </c>
      <c r="S79" s="98">
        <v>4.4999999999999998E-2</v>
      </c>
      <c r="T79" s="94" t="s">
        <v>45</v>
      </c>
      <c r="U79" s="94" t="s">
        <v>268</v>
      </c>
      <c r="V79" s="70"/>
      <c r="W79" s="73" t="str">
        <f t="shared" si="2"/>
        <v>X</v>
      </c>
      <c r="X79" s="73" t="str">
        <f t="shared" si="3"/>
        <v/>
      </c>
      <c r="Y79" s="73" t="str">
        <f t="shared" si="4"/>
        <v/>
      </c>
      <c r="Z79" s="73" t="str">
        <f t="shared" si="5"/>
        <v/>
      </c>
      <c r="AA79" s="73" t="s">
        <v>26</v>
      </c>
      <c r="AB79" s="73" t="str">
        <f t="shared" si="6"/>
        <v>Trim 1</v>
      </c>
      <c r="AC79" s="73">
        <f t="shared" si="7"/>
        <v>1</v>
      </c>
      <c r="AD79" s="73">
        <f t="shared" si="8"/>
        <v>1</v>
      </c>
      <c r="AE79" s="73"/>
      <c r="AF79" s="73"/>
      <c r="AG79" s="73"/>
      <c r="AH79" s="73"/>
      <c r="AI79" s="73"/>
    </row>
    <row r="80" spans="1:35" ht="90">
      <c r="A80" s="94" t="s">
        <v>166</v>
      </c>
      <c r="B80" s="94">
        <v>2</v>
      </c>
      <c r="C80" s="94" t="s">
        <v>259</v>
      </c>
      <c r="D80" s="96">
        <v>0.25</v>
      </c>
      <c r="E80" s="94" t="s">
        <v>63</v>
      </c>
      <c r="F80" s="95" t="s">
        <v>269</v>
      </c>
      <c r="G80" s="98">
        <v>2.5000000000000001E-2</v>
      </c>
      <c r="H80" s="95" t="s">
        <v>270</v>
      </c>
      <c r="I80" s="94" t="s">
        <v>262</v>
      </c>
      <c r="J80" s="94" t="s">
        <v>263</v>
      </c>
      <c r="K80" s="94" t="s">
        <v>128</v>
      </c>
      <c r="L80" s="94" t="s">
        <v>40</v>
      </c>
      <c r="M80" s="94" t="s">
        <v>193</v>
      </c>
      <c r="N80" s="94" t="s">
        <v>64</v>
      </c>
      <c r="O80" s="94" t="s">
        <v>65</v>
      </c>
      <c r="P80" s="94" t="s">
        <v>100</v>
      </c>
      <c r="Q80" s="94" t="s">
        <v>264</v>
      </c>
      <c r="R80" s="94" t="s">
        <v>40</v>
      </c>
      <c r="S80" s="98"/>
      <c r="T80" s="94"/>
      <c r="U80" s="94"/>
      <c r="V80" s="70"/>
      <c r="W80" s="73" t="str">
        <f t="shared" si="2"/>
        <v/>
      </c>
      <c r="X80" s="73" t="str">
        <f t="shared" si="3"/>
        <v>X</v>
      </c>
      <c r="Y80" s="73" t="str">
        <f t="shared" si="4"/>
        <v/>
      </c>
      <c r="Z80" s="73" t="str">
        <f t="shared" si="5"/>
        <v/>
      </c>
      <c r="AA80" s="73" t="s">
        <v>27</v>
      </c>
      <c r="AB80" s="73" t="str">
        <f t="shared" si="6"/>
        <v>Trim 2</v>
      </c>
      <c r="AC80" s="73">
        <f t="shared" si="7"/>
        <v>0</v>
      </c>
      <c r="AD80" s="73">
        <f t="shared" si="8"/>
        <v>0</v>
      </c>
      <c r="AE80" s="73"/>
      <c r="AF80" s="73"/>
      <c r="AG80" s="73"/>
      <c r="AH80" s="73"/>
      <c r="AI80" s="73"/>
    </row>
    <row r="81" spans="1:35" ht="90">
      <c r="A81" s="94" t="s">
        <v>166</v>
      </c>
      <c r="B81" s="94">
        <v>2</v>
      </c>
      <c r="C81" s="94" t="s">
        <v>259</v>
      </c>
      <c r="D81" s="96">
        <v>0.25</v>
      </c>
      <c r="E81" s="94" t="s">
        <v>110</v>
      </c>
      <c r="F81" s="95" t="s">
        <v>271</v>
      </c>
      <c r="G81" s="98">
        <v>2.5000000000000001E-2</v>
      </c>
      <c r="H81" s="95" t="s">
        <v>272</v>
      </c>
      <c r="I81" s="94" t="s">
        <v>262</v>
      </c>
      <c r="J81" s="94" t="s">
        <v>263</v>
      </c>
      <c r="K81" s="94" t="s">
        <v>111</v>
      </c>
      <c r="L81" s="94" t="s">
        <v>40</v>
      </c>
      <c r="M81" s="94" t="s">
        <v>193</v>
      </c>
      <c r="N81" s="94" t="s">
        <v>64</v>
      </c>
      <c r="O81" s="94" t="s">
        <v>65</v>
      </c>
      <c r="P81" s="94" t="s">
        <v>100</v>
      </c>
      <c r="Q81" s="94" t="s">
        <v>264</v>
      </c>
      <c r="R81" s="94" t="s">
        <v>40</v>
      </c>
      <c r="S81" s="98"/>
      <c r="T81" s="94"/>
      <c r="U81" s="94"/>
      <c r="V81" s="70"/>
      <c r="W81" s="73" t="str">
        <f t="shared" si="2"/>
        <v/>
      </c>
      <c r="X81" s="73" t="str">
        <f t="shared" si="3"/>
        <v>X</v>
      </c>
      <c r="Y81" s="73" t="str">
        <f t="shared" si="4"/>
        <v/>
      </c>
      <c r="Z81" s="73" t="str">
        <f t="shared" si="5"/>
        <v/>
      </c>
      <c r="AA81" s="73" t="s">
        <v>27</v>
      </c>
      <c r="AB81" s="73" t="str">
        <f t="shared" si="6"/>
        <v>Trim 2</v>
      </c>
      <c r="AC81" s="73">
        <f t="shared" si="7"/>
        <v>0</v>
      </c>
      <c r="AD81" s="73">
        <f t="shared" si="8"/>
        <v>0</v>
      </c>
      <c r="AE81" s="73"/>
      <c r="AF81" s="73"/>
      <c r="AG81" s="73"/>
      <c r="AH81" s="73"/>
      <c r="AI81" s="73"/>
    </row>
    <row r="82" spans="1:35" ht="90">
      <c r="A82" s="94" t="s">
        <v>166</v>
      </c>
      <c r="B82" s="94">
        <v>2</v>
      </c>
      <c r="C82" s="94" t="s">
        <v>259</v>
      </c>
      <c r="D82" s="96">
        <v>0.25</v>
      </c>
      <c r="E82" s="94" t="s">
        <v>112</v>
      </c>
      <c r="F82" s="95" t="s">
        <v>273</v>
      </c>
      <c r="G82" s="98">
        <v>4.4999999999999998E-2</v>
      </c>
      <c r="H82" s="95" t="s">
        <v>274</v>
      </c>
      <c r="I82" s="94" t="s">
        <v>262</v>
      </c>
      <c r="J82" s="94" t="s">
        <v>263</v>
      </c>
      <c r="K82" s="94" t="s">
        <v>111</v>
      </c>
      <c r="L82" s="94" t="s">
        <v>40</v>
      </c>
      <c r="M82" s="94" t="s">
        <v>193</v>
      </c>
      <c r="N82" s="94" t="s">
        <v>64</v>
      </c>
      <c r="O82" s="94" t="s">
        <v>65</v>
      </c>
      <c r="P82" s="94" t="s">
        <v>100</v>
      </c>
      <c r="Q82" s="94" t="s">
        <v>264</v>
      </c>
      <c r="R82" s="94" t="s">
        <v>40</v>
      </c>
      <c r="S82" s="98"/>
      <c r="T82" s="94"/>
      <c r="U82" s="94"/>
      <c r="V82" s="70"/>
      <c r="W82" s="73" t="str">
        <f t="shared" si="2"/>
        <v/>
      </c>
      <c r="X82" s="73" t="str">
        <f t="shared" si="3"/>
        <v>X</v>
      </c>
      <c r="Y82" s="73" t="str">
        <f t="shared" si="4"/>
        <v/>
      </c>
      <c r="Z82" s="73" t="str">
        <f t="shared" si="5"/>
        <v/>
      </c>
      <c r="AA82" s="73" t="s">
        <v>27</v>
      </c>
      <c r="AB82" s="73" t="str">
        <f t="shared" si="6"/>
        <v>Trim 2</v>
      </c>
      <c r="AC82" s="73">
        <f t="shared" si="7"/>
        <v>0</v>
      </c>
      <c r="AD82" s="73">
        <f t="shared" si="8"/>
        <v>0</v>
      </c>
      <c r="AE82" s="73"/>
      <c r="AF82" s="73"/>
      <c r="AG82" s="73"/>
      <c r="AH82" s="73"/>
      <c r="AI82" s="73"/>
    </row>
    <row r="83" spans="1:35" ht="90">
      <c r="A83" s="94" t="s">
        <v>166</v>
      </c>
      <c r="B83" s="94">
        <v>2</v>
      </c>
      <c r="C83" s="94" t="s">
        <v>259</v>
      </c>
      <c r="D83" s="96">
        <v>0.25</v>
      </c>
      <c r="E83" s="94" t="s">
        <v>114</v>
      </c>
      <c r="F83" s="95" t="s">
        <v>275</v>
      </c>
      <c r="G83" s="98">
        <v>4.4999999999999998E-2</v>
      </c>
      <c r="H83" s="95" t="s">
        <v>276</v>
      </c>
      <c r="I83" s="94" t="s">
        <v>262</v>
      </c>
      <c r="J83" s="94" t="s">
        <v>263</v>
      </c>
      <c r="K83" s="94" t="s">
        <v>133</v>
      </c>
      <c r="L83" s="94" t="s">
        <v>40</v>
      </c>
      <c r="M83" s="94" t="s">
        <v>193</v>
      </c>
      <c r="N83" s="94" t="s">
        <v>64</v>
      </c>
      <c r="O83" s="94" t="s">
        <v>65</v>
      </c>
      <c r="P83" s="94" t="s">
        <v>100</v>
      </c>
      <c r="Q83" s="94" t="s">
        <v>264</v>
      </c>
      <c r="R83" s="94" t="s">
        <v>40</v>
      </c>
      <c r="S83" s="98"/>
      <c r="T83" s="94"/>
      <c r="U83" s="94"/>
      <c r="V83" s="70"/>
      <c r="W83" s="73" t="str">
        <f t="shared" si="2"/>
        <v/>
      </c>
      <c r="X83" s="73" t="str">
        <f t="shared" si="3"/>
        <v/>
      </c>
      <c r="Y83" s="73" t="str">
        <f t="shared" si="4"/>
        <v>X</v>
      </c>
      <c r="Z83" s="73" t="str">
        <f t="shared" si="5"/>
        <v/>
      </c>
      <c r="AA83" s="73" t="s">
        <v>28</v>
      </c>
      <c r="AB83" s="73" t="str">
        <f t="shared" si="6"/>
        <v>Trim 3</v>
      </c>
      <c r="AC83" s="73">
        <f t="shared" si="7"/>
        <v>0</v>
      </c>
      <c r="AD83" s="73">
        <f t="shared" si="8"/>
        <v>0</v>
      </c>
      <c r="AE83" s="73"/>
      <c r="AF83" s="73"/>
      <c r="AG83" s="73"/>
      <c r="AH83" s="73"/>
      <c r="AI83" s="73"/>
    </row>
    <row r="84" spans="1:35" ht="90">
      <c r="A84" s="94" t="s">
        <v>166</v>
      </c>
      <c r="B84" s="94">
        <v>2</v>
      </c>
      <c r="C84" s="94" t="s">
        <v>259</v>
      </c>
      <c r="D84" s="96">
        <v>0.25</v>
      </c>
      <c r="E84" s="94" t="s">
        <v>116</v>
      </c>
      <c r="F84" s="95" t="s">
        <v>277</v>
      </c>
      <c r="G84" s="98">
        <v>4.4999999999999998E-2</v>
      </c>
      <c r="H84" s="95" t="s">
        <v>278</v>
      </c>
      <c r="I84" s="94" t="s">
        <v>262</v>
      </c>
      <c r="J84" s="94" t="s">
        <v>263</v>
      </c>
      <c r="K84" s="94" t="s">
        <v>117</v>
      </c>
      <c r="L84" s="94" t="s">
        <v>40</v>
      </c>
      <c r="M84" s="94" t="s">
        <v>193</v>
      </c>
      <c r="N84" s="94" t="s">
        <v>64</v>
      </c>
      <c r="O84" s="94" t="s">
        <v>65</v>
      </c>
      <c r="P84" s="94" t="s">
        <v>100</v>
      </c>
      <c r="Q84" s="94" t="s">
        <v>264</v>
      </c>
      <c r="R84" s="94" t="s">
        <v>40</v>
      </c>
      <c r="S84" s="98"/>
      <c r="T84" s="94"/>
      <c r="U84" s="94"/>
      <c r="V84" s="70"/>
      <c r="W84" s="73" t="str">
        <f t="shared" si="2"/>
        <v/>
      </c>
      <c r="X84" s="73" t="str">
        <f t="shared" si="3"/>
        <v/>
      </c>
      <c r="Y84" s="73" t="str">
        <f t="shared" si="4"/>
        <v/>
      </c>
      <c r="Z84" s="73" t="str">
        <f t="shared" si="5"/>
        <v>X</v>
      </c>
      <c r="AA84" s="73" t="s">
        <v>29</v>
      </c>
      <c r="AB84" s="73" t="str">
        <f t="shared" si="6"/>
        <v>Trim 4</v>
      </c>
      <c r="AC84" s="73">
        <f t="shared" si="7"/>
        <v>0</v>
      </c>
      <c r="AD84" s="73">
        <f t="shared" si="8"/>
        <v>0</v>
      </c>
      <c r="AE84" s="73"/>
      <c r="AF84" s="73"/>
      <c r="AG84" s="73"/>
      <c r="AH84" s="73"/>
      <c r="AI84" s="73"/>
    </row>
    <row r="85" spans="1:35" ht="90">
      <c r="A85" s="94" t="s">
        <v>166</v>
      </c>
      <c r="B85" s="94">
        <v>3</v>
      </c>
      <c r="C85" s="94" t="s">
        <v>279</v>
      </c>
      <c r="D85" s="96">
        <v>0.25</v>
      </c>
      <c r="E85" s="94" t="s">
        <v>68</v>
      </c>
      <c r="F85" s="95" t="s">
        <v>280</v>
      </c>
      <c r="G85" s="98">
        <v>0.01</v>
      </c>
      <c r="H85" s="95" t="s">
        <v>281</v>
      </c>
      <c r="I85" s="94" t="s">
        <v>282</v>
      </c>
      <c r="J85" s="94" t="s">
        <v>171</v>
      </c>
      <c r="K85" s="94" t="s">
        <v>111</v>
      </c>
      <c r="L85" s="94" t="s">
        <v>40</v>
      </c>
      <c r="M85" s="94" t="s">
        <v>193</v>
      </c>
      <c r="N85" s="94" t="s">
        <v>41</v>
      </c>
      <c r="O85" s="94" t="s">
        <v>42</v>
      </c>
      <c r="P85" s="94" t="s">
        <v>100</v>
      </c>
      <c r="Q85" s="94" t="s">
        <v>44</v>
      </c>
      <c r="R85" s="94" t="s">
        <v>40</v>
      </c>
      <c r="S85" s="98"/>
      <c r="T85" s="94"/>
      <c r="U85" s="94"/>
      <c r="V85" s="70"/>
      <c r="W85" s="73" t="str">
        <f t="shared" si="2"/>
        <v/>
      </c>
      <c r="X85" s="73" t="str">
        <f t="shared" si="3"/>
        <v>X</v>
      </c>
      <c r="Y85" s="73" t="str">
        <f t="shared" si="4"/>
        <v/>
      </c>
      <c r="Z85" s="73" t="str">
        <f t="shared" si="5"/>
        <v/>
      </c>
      <c r="AA85" s="73" t="s">
        <v>27</v>
      </c>
      <c r="AB85" s="73" t="str">
        <f t="shared" si="6"/>
        <v>Trim 2</v>
      </c>
      <c r="AC85" s="73">
        <f t="shared" si="7"/>
        <v>0</v>
      </c>
      <c r="AD85" s="73">
        <f t="shared" si="8"/>
        <v>0</v>
      </c>
      <c r="AE85" s="73"/>
      <c r="AF85" s="73"/>
      <c r="AG85" s="73"/>
      <c r="AH85" s="73"/>
      <c r="AI85" s="73"/>
    </row>
    <row r="86" spans="1:35" ht="90">
      <c r="A86" s="94" t="s">
        <v>166</v>
      </c>
      <c r="B86" s="94">
        <v>3</v>
      </c>
      <c r="C86" s="94" t="s">
        <v>279</v>
      </c>
      <c r="D86" s="96">
        <v>0.25</v>
      </c>
      <c r="E86" s="94" t="s">
        <v>73</v>
      </c>
      <c r="F86" s="95" t="s">
        <v>283</v>
      </c>
      <c r="G86" s="98">
        <v>1.4999999999999999E-2</v>
      </c>
      <c r="H86" s="95" t="s">
        <v>284</v>
      </c>
      <c r="I86" s="94" t="s">
        <v>282</v>
      </c>
      <c r="J86" s="94" t="s">
        <v>171</v>
      </c>
      <c r="K86" s="94" t="s">
        <v>109</v>
      </c>
      <c r="L86" s="94" t="s">
        <v>40</v>
      </c>
      <c r="M86" s="94" t="s">
        <v>193</v>
      </c>
      <c r="N86" s="94" t="s">
        <v>41</v>
      </c>
      <c r="O86" s="94" t="s">
        <v>42</v>
      </c>
      <c r="P86" s="94" t="s">
        <v>100</v>
      </c>
      <c r="Q86" s="94" t="s">
        <v>44</v>
      </c>
      <c r="R86" s="94" t="s">
        <v>40</v>
      </c>
      <c r="S86" s="98"/>
      <c r="T86" s="94"/>
      <c r="U86" s="94"/>
      <c r="V86" s="70"/>
      <c r="W86" s="73" t="str">
        <f t="shared" si="2"/>
        <v/>
      </c>
      <c r="X86" s="73" t="str">
        <f t="shared" si="3"/>
        <v>X</v>
      </c>
      <c r="Y86" s="73" t="str">
        <f t="shared" si="4"/>
        <v/>
      </c>
      <c r="Z86" s="73" t="str">
        <f t="shared" si="5"/>
        <v/>
      </c>
      <c r="AA86" s="73" t="s">
        <v>27</v>
      </c>
      <c r="AB86" s="73" t="str">
        <f t="shared" si="6"/>
        <v>Trim 2</v>
      </c>
      <c r="AC86" s="73">
        <f t="shared" si="7"/>
        <v>0</v>
      </c>
      <c r="AD86" s="73">
        <f t="shared" si="8"/>
        <v>0</v>
      </c>
      <c r="AE86" s="73"/>
      <c r="AF86" s="73"/>
      <c r="AG86" s="73"/>
      <c r="AH86" s="73"/>
      <c r="AI86" s="73"/>
    </row>
    <row r="87" spans="1:35" ht="90">
      <c r="A87" s="94" t="s">
        <v>166</v>
      </c>
      <c r="B87" s="94">
        <v>3</v>
      </c>
      <c r="C87" s="94" t="s">
        <v>279</v>
      </c>
      <c r="D87" s="96">
        <v>0.25</v>
      </c>
      <c r="E87" s="94" t="s">
        <v>75</v>
      </c>
      <c r="F87" s="95" t="s">
        <v>285</v>
      </c>
      <c r="G87" s="98">
        <v>1.4999999999999999E-2</v>
      </c>
      <c r="H87" s="95" t="s">
        <v>286</v>
      </c>
      <c r="I87" s="94" t="s">
        <v>282</v>
      </c>
      <c r="J87" s="94" t="s">
        <v>171</v>
      </c>
      <c r="K87" s="94" t="s">
        <v>113</v>
      </c>
      <c r="L87" s="94" t="s">
        <v>40</v>
      </c>
      <c r="M87" s="94" t="s">
        <v>193</v>
      </c>
      <c r="N87" s="94" t="s">
        <v>41</v>
      </c>
      <c r="O87" s="94" t="s">
        <v>42</v>
      </c>
      <c r="P87" s="94" t="s">
        <v>100</v>
      </c>
      <c r="Q87" s="94" t="s">
        <v>44</v>
      </c>
      <c r="R87" s="94" t="s">
        <v>40</v>
      </c>
      <c r="S87" s="98"/>
      <c r="T87" s="94"/>
      <c r="U87" s="94"/>
      <c r="V87" s="70"/>
      <c r="W87" s="73" t="str">
        <f t="shared" si="2"/>
        <v/>
      </c>
      <c r="X87" s="73" t="str">
        <f t="shared" si="3"/>
        <v/>
      </c>
      <c r="Y87" s="73" t="str">
        <f t="shared" si="4"/>
        <v>X</v>
      </c>
      <c r="Z87" s="73" t="str">
        <f t="shared" si="5"/>
        <v/>
      </c>
      <c r="AA87" s="73" t="s">
        <v>28</v>
      </c>
      <c r="AB87" s="73" t="str">
        <f t="shared" si="6"/>
        <v>Trim 3</v>
      </c>
      <c r="AC87" s="73">
        <f t="shared" si="7"/>
        <v>0</v>
      </c>
      <c r="AD87" s="73">
        <f t="shared" si="8"/>
        <v>0</v>
      </c>
      <c r="AE87" s="73"/>
      <c r="AF87" s="73"/>
      <c r="AG87" s="73"/>
      <c r="AH87" s="73"/>
      <c r="AI87" s="73"/>
    </row>
    <row r="88" spans="1:35" ht="90">
      <c r="A88" s="94" t="s">
        <v>166</v>
      </c>
      <c r="B88" s="94">
        <v>3</v>
      </c>
      <c r="C88" s="94" t="s">
        <v>279</v>
      </c>
      <c r="D88" s="96">
        <v>0.25</v>
      </c>
      <c r="E88" s="94" t="s">
        <v>287</v>
      </c>
      <c r="F88" s="95" t="s">
        <v>288</v>
      </c>
      <c r="G88" s="98">
        <v>1.4999999999999999E-2</v>
      </c>
      <c r="H88" s="95" t="s">
        <v>289</v>
      </c>
      <c r="I88" s="94" t="s">
        <v>282</v>
      </c>
      <c r="J88" s="94" t="s">
        <v>171</v>
      </c>
      <c r="K88" s="94" t="s">
        <v>117</v>
      </c>
      <c r="L88" s="94" t="s">
        <v>40</v>
      </c>
      <c r="M88" s="94" t="s">
        <v>193</v>
      </c>
      <c r="N88" s="94" t="s">
        <v>41</v>
      </c>
      <c r="O88" s="94" t="s">
        <v>42</v>
      </c>
      <c r="P88" s="94" t="s">
        <v>100</v>
      </c>
      <c r="Q88" s="94" t="s">
        <v>44</v>
      </c>
      <c r="R88" s="94" t="s">
        <v>40</v>
      </c>
      <c r="S88" s="98"/>
      <c r="T88" s="94"/>
      <c r="U88" s="94"/>
      <c r="V88" s="70"/>
      <c r="W88" s="73" t="str">
        <f t="shared" si="2"/>
        <v/>
      </c>
      <c r="X88" s="73" t="str">
        <f t="shared" si="3"/>
        <v/>
      </c>
      <c r="Y88" s="73" t="str">
        <f t="shared" si="4"/>
        <v/>
      </c>
      <c r="Z88" s="73" t="str">
        <f t="shared" si="5"/>
        <v>X</v>
      </c>
      <c r="AA88" s="73" t="s">
        <v>29</v>
      </c>
      <c r="AB88" s="73" t="str">
        <f t="shared" si="6"/>
        <v>Trim 4</v>
      </c>
      <c r="AC88" s="73">
        <f t="shared" si="7"/>
        <v>0</v>
      </c>
      <c r="AD88" s="73">
        <f t="shared" si="8"/>
        <v>0</v>
      </c>
      <c r="AE88" s="73"/>
      <c r="AF88" s="73"/>
      <c r="AG88" s="73"/>
      <c r="AH88" s="73"/>
      <c r="AI88" s="73"/>
    </row>
    <row r="89" spans="1:35" ht="90">
      <c r="A89" s="94" t="s">
        <v>166</v>
      </c>
      <c r="B89" s="94">
        <v>3</v>
      </c>
      <c r="C89" s="94" t="s">
        <v>279</v>
      </c>
      <c r="D89" s="96">
        <v>0.25</v>
      </c>
      <c r="E89" s="94" t="s">
        <v>290</v>
      </c>
      <c r="F89" s="95" t="s">
        <v>291</v>
      </c>
      <c r="G89" s="98">
        <v>1.4999999999999999E-2</v>
      </c>
      <c r="H89" s="95" t="s">
        <v>292</v>
      </c>
      <c r="I89" s="94" t="s">
        <v>282</v>
      </c>
      <c r="J89" s="94" t="s">
        <v>171</v>
      </c>
      <c r="K89" s="94" t="s">
        <v>176</v>
      </c>
      <c r="L89" s="94" t="s">
        <v>40</v>
      </c>
      <c r="M89" s="94" t="s">
        <v>193</v>
      </c>
      <c r="N89" s="94" t="s">
        <v>41</v>
      </c>
      <c r="O89" s="94" t="s">
        <v>42</v>
      </c>
      <c r="P89" s="94" t="s">
        <v>100</v>
      </c>
      <c r="Q89" s="94" t="s">
        <v>44</v>
      </c>
      <c r="R89" s="94" t="s">
        <v>40</v>
      </c>
      <c r="S89" s="98"/>
      <c r="T89" s="94"/>
      <c r="U89" s="94"/>
      <c r="V89" s="70"/>
      <c r="W89" s="73" t="str">
        <f t="shared" si="2"/>
        <v/>
      </c>
      <c r="X89" s="73" t="str">
        <f t="shared" si="3"/>
        <v/>
      </c>
      <c r="Y89" s="73" t="str">
        <f t="shared" si="4"/>
        <v/>
      </c>
      <c r="Z89" s="73" t="str">
        <f t="shared" si="5"/>
        <v>X</v>
      </c>
      <c r="AA89" s="73" t="s">
        <v>29</v>
      </c>
      <c r="AB89" s="73" t="str">
        <f t="shared" si="6"/>
        <v>Trim 4</v>
      </c>
      <c r="AC89" s="73">
        <f t="shared" si="7"/>
        <v>0</v>
      </c>
      <c r="AD89" s="73">
        <f t="shared" si="8"/>
        <v>0</v>
      </c>
      <c r="AE89" s="73"/>
      <c r="AF89" s="73"/>
      <c r="AG89" s="73"/>
      <c r="AH89" s="73"/>
      <c r="AI89" s="73"/>
    </row>
    <row r="90" spans="1:35" ht="90">
      <c r="A90" s="94" t="s">
        <v>166</v>
      </c>
      <c r="B90" s="94">
        <v>3</v>
      </c>
      <c r="C90" s="94" t="s">
        <v>279</v>
      </c>
      <c r="D90" s="96">
        <v>0.25</v>
      </c>
      <c r="E90" s="94" t="s">
        <v>293</v>
      </c>
      <c r="F90" s="95" t="s">
        <v>294</v>
      </c>
      <c r="G90" s="98">
        <v>0.05</v>
      </c>
      <c r="H90" s="95" t="s">
        <v>295</v>
      </c>
      <c r="I90" s="94" t="s">
        <v>282</v>
      </c>
      <c r="J90" s="94" t="s">
        <v>171</v>
      </c>
      <c r="K90" s="94" t="s">
        <v>39</v>
      </c>
      <c r="L90" s="94" t="s">
        <v>40</v>
      </c>
      <c r="M90" s="94" t="s">
        <v>193</v>
      </c>
      <c r="N90" s="94" t="s">
        <v>41</v>
      </c>
      <c r="O90" s="94" t="s">
        <v>42</v>
      </c>
      <c r="P90" s="94" t="s">
        <v>100</v>
      </c>
      <c r="Q90" s="94" t="s">
        <v>44</v>
      </c>
      <c r="R90" s="94" t="s">
        <v>40</v>
      </c>
      <c r="S90" s="98"/>
      <c r="T90" s="94"/>
      <c r="U90" s="94"/>
      <c r="V90" s="70"/>
      <c r="W90" s="73" t="str">
        <f t="shared" si="2"/>
        <v/>
      </c>
      <c r="X90" s="73" t="str">
        <f t="shared" si="3"/>
        <v/>
      </c>
      <c r="Y90" s="73" t="str">
        <f t="shared" si="4"/>
        <v/>
      </c>
      <c r="Z90" s="73" t="str">
        <f t="shared" si="5"/>
        <v>X</v>
      </c>
      <c r="AA90" s="73" t="s">
        <v>29</v>
      </c>
      <c r="AB90" s="73" t="str">
        <f t="shared" si="6"/>
        <v>Trim 4</v>
      </c>
      <c r="AC90" s="73">
        <f t="shared" si="7"/>
        <v>0</v>
      </c>
      <c r="AD90" s="73">
        <f t="shared" si="8"/>
        <v>0</v>
      </c>
      <c r="AE90" s="73"/>
      <c r="AF90" s="73"/>
      <c r="AG90" s="73"/>
      <c r="AH90" s="73"/>
      <c r="AI90" s="73"/>
    </row>
    <row r="91" spans="1:35" ht="90">
      <c r="A91" s="94" t="s">
        <v>166</v>
      </c>
      <c r="B91" s="94">
        <v>3</v>
      </c>
      <c r="C91" s="94" t="s">
        <v>279</v>
      </c>
      <c r="D91" s="96">
        <v>0.25</v>
      </c>
      <c r="E91" s="94" t="s">
        <v>296</v>
      </c>
      <c r="F91" s="95" t="s">
        <v>297</v>
      </c>
      <c r="G91" s="98">
        <v>0.04</v>
      </c>
      <c r="H91" s="95" t="s">
        <v>298</v>
      </c>
      <c r="I91" s="94" t="s">
        <v>282</v>
      </c>
      <c r="J91" s="94" t="s">
        <v>171</v>
      </c>
      <c r="K91" s="94" t="s">
        <v>39</v>
      </c>
      <c r="L91" s="94" t="s">
        <v>40</v>
      </c>
      <c r="M91" s="94" t="s">
        <v>193</v>
      </c>
      <c r="N91" s="94" t="s">
        <v>41</v>
      </c>
      <c r="O91" s="94" t="s">
        <v>42</v>
      </c>
      <c r="P91" s="94" t="s">
        <v>100</v>
      </c>
      <c r="Q91" s="94" t="s">
        <v>44</v>
      </c>
      <c r="R91" s="94" t="s">
        <v>40</v>
      </c>
      <c r="S91" s="98"/>
      <c r="T91" s="94"/>
      <c r="U91" s="94"/>
      <c r="V91" s="70"/>
      <c r="W91" s="73" t="str">
        <f t="shared" si="2"/>
        <v/>
      </c>
      <c r="X91" s="73" t="str">
        <f t="shared" si="3"/>
        <v/>
      </c>
      <c r="Y91" s="73" t="str">
        <f t="shared" si="4"/>
        <v/>
      </c>
      <c r="Z91" s="73" t="str">
        <f t="shared" si="5"/>
        <v>X</v>
      </c>
      <c r="AA91" s="73" t="s">
        <v>29</v>
      </c>
      <c r="AB91" s="73" t="str">
        <f t="shared" si="6"/>
        <v>Trim 4</v>
      </c>
      <c r="AC91" s="73">
        <f t="shared" si="7"/>
        <v>0</v>
      </c>
      <c r="AD91" s="73">
        <f t="shared" si="8"/>
        <v>0</v>
      </c>
      <c r="AE91" s="73"/>
      <c r="AF91" s="73"/>
      <c r="AG91" s="73"/>
      <c r="AH91" s="73"/>
      <c r="AI91" s="73"/>
    </row>
    <row r="92" spans="1:35" ht="90">
      <c r="A92" s="94" t="s">
        <v>166</v>
      </c>
      <c r="B92" s="94">
        <v>3</v>
      </c>
      <c r="C92" s="94" t="s">
        <v>279</v>
      </c>
      <c r="D92" s="94">
        <v>0.25</v>
      </c>
      <c r="E92" s="94" t="s">
        <v>299</v>
      </c>
      <c r="F92" s="95" t="s">
        <v>300</v>
      </c>
      <c r="G92" s="98">
        <v>0.05</v>
      </c>
      <c r="H92" s="95" t="s">
        <v>301</v>
      </c>
      <c r="I92" s="95" t="s">
        <v>282</v>
      </c>
      <c r="J92" s="101" t="s">
        <v>171</v>
      </c>
      <c r="K92" s="94" t="s">
        <v>39</v>
      </c>
      <c r="L92" s="94" t="s">
        <v>40</v>
      </c>
      <c r="M92" s="94" t="s">
        <v>193</v>
      </c>
      <c r="N92" s="94" t="s">
        <v>41</v>
      </c>
      <c r="O92" s="94" t="s">
        <v>42</v>
      </c>
      <c r="P92" s="94" t="s">
        <v>100</v>
      </c>
      <c r="Q92" s="94" t="s">
        <v>44</v>
      </c>
      <c r="R92" s="94" t="s">
        <v>40</v>
      </c>
      <c r="S92" s="98"/>
      <c r="T92" s="94"/>
      <c r="U92" s="94"/>
      <c r="V92" s="70"/>
      <c r="W92" s="73" t="str">
        <f t="shared" si="2"/>
        <v/>
      </c>
      <c r="X92" s="73" t="str">
        <f t="shared" si="3"/>
        <v/>
      </c>
      <c r="Y92" s="73" t="str">
        <f t="shared" si="4"/>
        <v/>
      </c>
      <c r="Z92" s="73" t="str">
        <f t="shared" si="5"/>
        <v>X</v>
      </c>
      <c r="AA92" s="73" t="s">
        <v>29</v>
      </c>
      <c r="AB92" s="73" t="str">
        <f t="shared" si="6"/>
        <v>Trim 4</v>
      </c>
      <c r="AC92" s="73">
        <f t="shared" si="7"/>
        <v>0</v>
      </c>
      <c r="AD92" s="73">
        <f t="shared" si="8"/>
        <v>0</v>
      </c>
      <c r="AE92" s="73"/>
      <c r="AF92" s="73"/>
      <c r="AG92" s="73"/>
      <c r="AH92" s="73"/>
      <c r="AI92" s="73"/>
    </row>
    <row r="93" spans="1:35" ht="90">
      <c r="A93" s="94" t="s">
        <v>166</v>
      </c>
      <c r="B93" s="94">
        <v>3</v>
      </c>
      <c r="C93" s="94" t="s">
        <v>279</v>
      </c>
      <c r="D93" s="96">
        <v>0.25</v>
      </c>
      <c r="E93" s="94" t="s">
        <v>302</v>
      </c>
      <c r="F93" s="95" t="s">
        <v>303</v>
      </c>
      <c r="G93" s="98">
        <v>2.5000000000000001E-2</v>
      </c>
      <c r="H93" s="95" t="s">
        <v>304</v>
      </c>
      <c r="I93" s="94" t="s">
        <v>282</v>
      </c>
      <c r="J93" s="94" t="s">
        <v>171</v>
      </c>
      <c r="K93" s="94" t="s">
        <v>39</v>
      </c>
      <c r="L93" s="94" t="s">
        <v>40</v>
      </c>
      <c r="M93" s="94" t="s">
        <v>193</v>
      </c>
      <c r="N93" s="94" t="s">
        <v>41</v>
      </c>
      <c r="O93" s="94" t="s">
        <v>42</v>
      </c>
      <c r="P93" s="94" t="s">
        <v>100</v>
      </c>
      <c r="Q93" s="94" t="s">
        <v>44</v>
      </c>
      <c r="R93" s="94" t="s">
        <v>40</v>
      </c>
      <c r="S93" s="98"/>
      <c r="T93" s="94"/>
      <c r="U93" s="94"/>
      <c r="V93" s="70"/>
      <c r="W93" s="73" t="str">
        <f t="shared" si="2"/>
        <v/>
      </c>
      <c r="X93" s="73" t="str">
        <f t="shared" si="3"/>
        <v/>
      </c>
      <c r="Y93" s="73" t="str">
        <f t="shared" si="4"/>
        <v/>
      </c>
      <c r="Z93" s="73" t="str">
        <f t="shared" si="5"/>
        <v>X</v>
      </c>
      <c r="AA93" s="73" t="s">
        <v>29</v>
      </c>
      <c r="AB93" s="73" t="str">
        <f t="shared" si="6"/>
        <v>Trim 4</v>
      </c>
      <c r="AC93" s="73">
        <f t="shared" si="7"/>
        <v>0</v>
      </c>
      <c r="AD93" s="73">
        <f t="shared" si="8"/>
        <v>0</v>
      </c>
      <c r="AE93" s="73"/>
      <c r="AF93" s="73"/>
      <c r="AG93" s="73"/>
      <c r="AH93" s="73"/>
      <c r="AI93" s="73"/>
    </row>
    <row r="94" spans="1:35" ht="90">
      <c r="A94" s="94" t="s">
        <v>166</v>
      </c>
      <c r="B94" s="94">
        <v>3</v>
      </c>
      <c r="C94" s="94" t="s">
        <v>279</v>
      </c>
      <c r="D94" s="96">
        <v>0.25</v>
      </c>
      <c r="E94" s="94" t="s">
        <v>305</v>
      </c>
      <c r="F94" s="95" t="s">
        <v>306</v>
      </c>
      <c r="G94" s="98">
        <v>1.4999999999999999E-2</v>
      </c>
      <c r="H94" s="95" t="s">
        <v>307</v>
      </c>
      <c r="I94" s="94" t="s">
        <v>282</v>
      </c>
      <c r="J94" s="94" t="s">
        <v>171</v>
      </c>
      <c r="K94" s="94" t="s">
        <v>39</v>
      </c>
      <c r="L94" s="94" t="s">
        <v>40</v>
      </c>
      <c r="M94" s="94" t="s">
        <v>193</v>
      </c>
      <c r="N94" s="94" t="s">
        <v>41</v>
      </c>
      <c r="O94" s="94" t="s">
        <v>42</v>
      </c>
      <c r="P94" s="94" t="s">
        <v>100</v>
      </c>
      <c r="Q94" s="94" t="s">
        <v>44</v>
      </c>
      <c r="R94" s="94" t="s">
        <v>40</v>
      </c>
      <c r="S94" s="98"/>
      <c r="T94" s="94"/>
      <c r="U94" s="94"/>
      <c r="V94" s="70"/>
      <c r="W94" s="73" t="str">
        <f t="shared" si="2"/>
        <v/>
      </c>
      <c r="X94" s="73" t="str">
        <f t="shared" si="3"/>
        <v/>
      </c>
      <c r="Y94" s="73" t="str">
        <f t="shared" si="4"/>
        <v/>
      </c>
      <c r="Z94" s="73" t="str">
        <f t="shared" si="5"/>
        <v>X</v>
      </c>
      <c r="AA94" s="73" t="s">
        <v>29</v>
      </c>
      <c r="AB94" s="73" t="str">
        <f t="shared" si="6"/>
        <v>Trim 4</v>
      </c>
      <c r="AC94" s="73">
        <f t="shared" si="7"/>
        <v>0</v>
      </c>
      <c r="AD94" s="73">
        <f t="shared" si="8"/>
        <v>0</v>
      </c>
      <c r="AE94" s="73"/>
      <c r="AF94" s="73"/>
      <c r="AG94" s="73"/>
      <c r="AH94" s="73"/>
      <c r="AI94" s="73"/>
    </row>
    <row r="95" spans="1:35" ht="90">
      <c r="A95" s="94" t="s">
        <v>166</v>
      </c>
      <c r="B95" s="94">
        <v>4</v>
      </c>
      <c r="C95" s="94" t="s">
        <v>308</v>
      </c>
      <c r="D95" s="96">
        <v>0.2</v>
      </c>
      <c r="E95" s="94" t="s">
        <v>79</v>
      </c>
      <c r="F95" s="95" t="s">
        <v>309</v>
      </c>
      <c r="G95" s="98">
        <v>0.03</v>
      </c>
      <c r="H95" s="95" t="s">
        <v>310</v>
      </c>
      <c r="I95" s="94" t="s">
        <v>311</v>
      </c>
      <c r="J95" s="94" t="s">
        <v>180</v>
      </c>
      <c r="K95" s="94" t="s">
        <v>45</v>
      </c>
      <c r="L95" s="94" t="s">
        <v>40</v>
      </c>
      <c r="M95" s="94" t="s">
        <v>193</v>
      </c>
      <c r="N95" s="94" t="s">
        <v>41</v>
      </c>
      <c r="O95" s="94" t="s">
        <v>42</v>
      </c>
      <c r="P95" s="94" t="s">
        <v>100</v>
      </c>
      <c r="Q95" s="94" t="s">
        <v>44</v>
      </c>
      <c r="R95" s="94" t="s">
        <v>224</v>
      </c>
      <c r="S95" s="98">
        <v>0.03</v>
      </c>
      <c r="T95" s="94" t="s">
        <v>45</v>
      </c>
      <c r="U95" s="94" t="s">
        <v>312</v>
      </c>
      <c r="V95" s="70"/>
      <c r="W95" s="73" t="str">
        <f t="shared" si="2"/>
        <v>X</v>
      </c>
      <c r="X95" s="73" t="str">
        <f t="shared" si="3"/>
        <v/>
      </c>
      <c r="Y95" s="73" t="str">
        <f t="shared" si="4"/>
        <v/>
      </c>
      <c r="Z95" s="73" t="str">
        <f t="shared" si="5"/>
        <v/>
      </c>
      <c r="AA95" s="73" t="s">
        <v>26</v>
      </c>
      <c r="AB95" s="73" t="str">
        <f t="shared" si="6"/>
        <v>Trim 1</v>
      </c>
      <c r="AC95" s="73">
        <f t="shared" si="7"/>
        <v>1</v>
      </c>
      <c r="AD95" s="73">
        <f t="shared" si="8"/>
        <v>1</v>
      </c>
      <c r="AE95" s="73"/>
      <c r="AF95" s="73"/>
      <c r="AG95" s="73"/>
      <c r="AH95" s="73"/>
      <c r="AI95" s="73"/>
    </row>
    <row r="96" spans="1:35" ht="60">
      <c r="A96" s="94" t="s">
        <v>166</v>
      </c>
      <c r="B96" s="94">
        <v>4</v>
      </c>
      <c r="C96" s="94" t="s">
        <v>308</v>
      </c>
      <c r="D96" s="96">
        <v>0.2</v>
      </c>
      <c r="E96" s="94" t="s">
        <v>83</v>
      </c>
      <c r="F96" s="95" t="s">
        <v>313</v>
      </c>
      <c r="G96" s="98">
        <v>0.04</v>
      </c>
      <c r="H96" s="95" t="s">
        <v>314</v>
      </c>
      <c r="I96" s="94" t="s">
        <v>315</v>
      </c>
      <c r="J96" s="94" t="s">
        <v>180</v>
      </c>
      <c r="K96" s="94" t="s">
        <v>111</v>
      </c>
      <c r="L96" s="94" t="s">
        <v>40</v>
      </c>
      <c r="M96" s="94" t="s">
        <v>40</v>
      </c>
      <c r="N96" s="94" t="s">
        <v>41</v>
      </c>
      <c r="O96" s="94" t="s">
        <v>42</v>
      </c>
      <c r="P96" s="94" t="s">
        <v>100</v>
      </c>
      <c r="Q96" s="94" t="s">
        <v>44</v>
      </c>
      <c r="R96" s="94" t="s">
        <v>224</v>
      </c>
      <c r="S96" s="98"/>
      <c r="T96" s="94"/>
      <c r="U96" s="94"/>
      <c r="V96" s="70"/>
      <c r="W96" s="73" t="str">
        <f t="shared" si="2"/>
        <v/>
      </c>
      <c r="X96" s="73" t="str">
        <f t="shared" si="3"/>
        <v>X</v>
      </c>
      <c r="Y96" s="73" t="str">
        <f t="shared" si="4"/>
        <v/>
      </c>
      <c r="Z96" s="73" t="str">
        <f t="shared" si="5"/>
        <v/>
      </c>
      <c r="AA96" s="73" t="s">
        <v>27</v>
      </c>
      <c r="AB96" s="73" t="str">
        <f t="shared" si="6"/>
        <v>Trim 2</v>
      </c>
      <c r="AC96" s="73">
        <f t="shared" si="7"/>
        <v>0</v>
      </c>
      <c r="AD96" s="73">
        <f t="shared" si="8"/>
        <v>0</v>
      </c>
      <c r="AE96" s="73"/>
      <c r="AF96" s="73"/>
      <c r="AG96" s="73"/>
      <c r="AH96" s="73"/>
      <c r="AI96" s="73"/>
    </row>
    <row r="97" spans="1:35" ht="90">
      <c r="A97" s="94" t="s">
        <v>166</v>
      </c>
      <c r="B97" s="94">
        <v>4</v>
      </c>
      <c r="C97" s="94" t="s">
        <v>308</v>
      </c>
      <c r="D97" s="96">
        <v>0.2</v>
      </c>
      <c r="E97" s="94" t="s">
        <v>86</v>
      </c>
      <c r="F97" s="95" t="s">
        <v>316</v>
      </c>
      <c r="G97" s="98">
        <v>3.5000000000000003E-2</v>
      </c>
      <c r="H97" s="95" t="s">
        <v>317</v>
      </c>
      <c r="I97" s="94" t="s">
        <v>210</v>
      </c>
      <c r="J97" s="94" t="s">
        <v>180</v>
      </c>
      <c r="K97" s="94" t="s">
        <v>45</v>
      </c>
      <c r="L97" s="94" t="s">
        <v>40</v>
      </c>
      <c r="M97" s="94" t="s">
        <v>193</v>
      </c>
      <c r="N97" s="94" t="s">
        <v>41</v>
      </c>
      <c r="O97" s="94" t="s">
        <v>42</v>
      </c>
      <c r="P97" s="94" t="s">
        <v>100</v>
      </c>
      <c r="Q97" s="94" t="s">
        <v>44</v>
      </c>
      <c r="R97" s="94" t="s">
        <v>224</v>
      </c>
      <c r="S97" s="98">
        <v>3.5000000000000003E-2</v>
      </c>
      <c r="T97" s="94" t="s">
        <v>45</v>
      </c>
      <c r="U97" s="94" t="s">
        <v>318</v>
      </c>
      <c r="V97" s="70"/>
      <c r="W97" s="73" t="str">
        <f t="shared" si="2"/>
        <v>X</v>
      </c>
      <c r="X97" s="73" t="str">
        <f t="shared" si="3"/>
        <v/>
      </c>
      <c r="Y97" s="73" t="str">
        <f t="shared" si="4"/>
        <v/>
      </c>
      <c r="Z97" s="73" t="str">
        <f t="shared" si="5"/>
        <v/>
      </c>
      <c r="AA97" s="73" t="s">
        <v>26</v>
      </c>
      <c r="AB97" s="73" t="str">
        <f t="shared" si="6"/>
        <v>Trim 1</v>
      </c>
      <c r="AC97" s="73">
        <f t="shared" si="7"/>
        <v>1</v>
      </c>
      <c r="AD97" s="73">
        <f t="shared" si="8"/>
        <v>1</v>
      </c>
      <c r="AE97" s="73"/>
      <c r="AF97" s="73"/>
      <c r="AG97" s="73"/>
      <c r="AH97" s="73"/>
      <c r="AI97" s="73"/>
    </row>
    <row r="98" spans="1:35" ht="90">
      <c r="A98" s="94" t="s">
        <v>166</v>
      </c>
      <c r="B98" s="94">
        <v>4</v>
      </c>
      <c r="C98" s="94" t="s">
        <v>308</v>
      </c>
      <c r="D98" s="96">
        <v>0.2</v>
      </c>
      <c r="E98" s="94" t="s">
        <v>89</v>
      </c>
      <c r="F98" s="95" t="s">
        <v>319</v>
      </c>
      <c r="G98" s="98">
        <v>3.5000000000000003E-2</v>
      </c>
      <c r="H98" s="95" t="s">
        <v>320</v>
      </c>
      <c r="I98" s="94" t="s">
        <v>210</v>
      </c>
      <c r="J98" s="94" t="s">
        <v>180</v>
      </c>
      <c r="K98" s="94" t="s">
        <v>111</v>
      </c>
      <c r="L98" s="94" t="s">
        <v>40</v>
      </c>
      <c r="M98" s="94" t="s">
        <v>193</v>
      </c>
      <c r="N98" s="94" t="s">
        <v>41</v>
      </c>
      <c r="O98" s="94" t="s">
        <v>42</v>
      </c>
      <c r="P98" s="94" t="s">
        <v>100</v>
      </c>
      <c r="Q98" s="94" t="s">
        <v>44</v>
      </c>
      <c r="R98" s="94" t="s">
        <v>224</v>
      </c>
      <c r="S98" s="98"/>
      <c r="T98" s="94"/>
      <c r="U98" s="94"/>
      <c r="V98" s="70"/>
      <c r="W98" s="73" t="str">
        <f t="shared" si="2"/>
        <v/>
      </c>
      <c r="X98" s="73" t="str">
        <f t="shared" si="3"/>
        <v>X</v>
      </c>
      <c r="Y98" s="73" t="str">
        <f t="shared" si="4"/>
        <v/>
      </c>
      <c r="Z98" s="73" t="str">
        <f t="shared" si="5"/>
        <v/>
      </c>
      <c r="AA98" s="73" t="s">
        <v>27</v>
      </c>
      <c r="AB98" s="73" t="str">
        <f t="shared" si="6"/>
        <v>Trim 2</v>
      </c>
      <c r="AC98" s="73">
        <f t="shared" si="7"/>
        <v>0</v>
      </c>
      <c r="AD98" s="73">
        <f t="shared" si="8"/>
        <v>0</v>
      </c>
      <c r="AE98" s="73"/>
      <c r="AF98" s="73"/>
      <c r="AG98" s="73"/>
      <c r="AH98" s="73"/>
      <c r="AI98" s="73"/>
    </row>
    <row r="99" spans="1:35" ht="90">
      <c r="A99" s="94" t="s">
        <v>166</v>
      </c>
      <c r="B99" s="94">
        <v>4</v>
      </c>
      <c r="C99" s="94" t="s">
        <v>308</v>
      </c>
      <c r="D99" s="96">
        <v>0.2</v>
      </c>
      <c r="E99" s="94" t="s">
        <v>321</v>
      </c>
      <c r="F99" s="95" t="s">
        <v>322</v>
      </c>
      <c r="G99" s="98">
        <v>3.5000000000000003E-2</v>
      </c>
      <c r="H99" s="95" t="s">
        <v>323</v>
      </c>
      <c r="I99" s="94" t="s">
        <v>210</v>
      </c>
      <c r="J99" s="94" t="s">
        <v>180</v>
      </c>
      <c r="K99" s="94" t="s">
        <v>133</v>
      </c>
      <c r="L99" s="94" t="s">
        <v>40</v>
      </c>
      <c r="M99" s="94" t="s">
        <v>193</v>
      </c>
      <c r="N99" s="94" t="s">
        <v>41</v>
      </c>
      <c r="O99" s="94" t="s">
        <v>42</v>
      </c>
      <c r="P99" s="94" t="s">
        <v>100</v>
      </c>
      <c r="Q99" s="94" t="s">
        <v>44</v>
      </c>
      <c r="R99" s="94" t="s">
        <v>224</v>
      </c>
      <c r="S99" s="98"/>
      <c r="T99" s="94"/>
      <c r="U99" s="94"/>
      <c r="V99" s="70"/>
      <c r="W99" s="73" t="str">
        <f t="shared" si="2"/>
        <v/>
      </c>
      <c r="X99" s="73" t="str">
        <f t="shared" si="3"/>
        <v/>
      </c>
      <c r="Y99" s="73" t="str">
        <f t="shared" si="4"/>
        <v>X</v>
      </c>
      <c r="Z99" s="73" t="str">
        <f t="shared" si="5"/>
        <v/>
      </c>
      <c r="AA99" s="73" t="s">
        <v>28</v>
      </c>
      <c r="AB99" s="73" t="str">
        <f t="shared" si="6"/>
        <v>Trim 3</v>
      </c>
      <c r="AC99" s="73">
        <f t="shared" si="7"/>
        <v>0</v>
      </c>
      <c r="AD99" s="73">
        <f t="shared" si="8"/>
        <v>0</v>
      </c>
      <c r="AE99" s="73"/>
      <c r="AF99" s="73"/>
      <c r="AG99" s="73"/>
      <c r="AH99" s="73"/>
      <c r="AI99" s="73"/>
    </row>
    <row r="100" spans="1:35" ht="90">
      <c r="A100" s="94" t="s">
        <v>166</v>
      </c>
      <c r="B100" s="94">
        <v>4</v>
      </c>
      <c r="C100" s="94" t="s">
        <v>308</v>
      </c>
      <c r="D100" s="96">
        <v>0.2</v>
      </c>
      <c r="E100" s="94" t="s">
        <v>324</v>
      </c>
      <c r="F100" s="95" t="s">
        <v>325</v>
      </c>
      <c r="G100" s="98">
        <v>2.5000000000000001E-2</v>
      </c>
      <c r="H100" s="95" t="s">
        <v>326</v>
      </c>
      <c r="I100" s="94" t="s">
        <v>327</v>
      </c>
      <c r="J100" s="94" t="s">
        <v>180</v>
      </c>
      <c r="K100" s="94" t="s">
        <v>111</v>
      </c>
      <c r="L100" s="94" t="s">
        <v>40</v>
      </c>
      <c r="M100" s="94" t="s">
        <v>193</v>
      </c>
      <c r="N100" s="94" t="s">
        <v>41</v>
      </c>
      <c r="O100" s="94" t="s">
        <v>42</v>
      </c>
      <c r="P100" s="94" t="s">
        <v>100</v>
      </c>
      <c r="Q100" s="94" t="s">
        <v>44</v>
      </c>
      <c r="R100" s="94" t="s">
        <v>224</v>
      </c>
      <c r="S100" s="98"/>
      <c r="T100" s="94"/>
      <c r="U100" s="94"/>
      <c r="V100" s="70"/>
      <c r="W100" s="73" t="str">
        <f t="shared" si="2"/>
        <v/>
      </c>
      <c r="X100" s="73" t="str">
        <f t="shared" si="3"/>
        <v>X</v>
      </c>
      <c r="Y100" s="73" t="str">
        <f t="shared" si="4"/>
        <v/>
      </c>
      <c r="Z100" s="73" t="str">
        <f t="shared" si="5"/>
        <v/>
      </c>
      <c r="AA100" s="73" t="s">
        <v>27</v>
      </c>
      <c r="AB100" s="73" t="str">
        <f t="shared" si="6"/>
        <v>Trim 2</v>
      </c>
      <c r="AC100" s="73">
        <f t="shared" si="7"/>
        <v>0</v>
      </c>
      <c r="AD100" s="73">
        <f t="shared" si="8"/>
        <v>0</v>
      </c>
      <c r="AE100" s="73"/>
      <c r="AF100" s="73"/>
      <c r="AG100" s="73"/>
      <c r="AH100" s="73"/>
      <c r="AI100" s="73"/>
    </row>
    <row r="101" spans="1:35" ht="45">
      <c r="A101" s="94" t="s">
        <v>328</v>
      </c>
      <c r="B101" s="94">
        <v>1</v>
      </c>
      <c r="C101" s="94" t="s">
        <v>329</v>
      </c>
      <c r="D101" s="96">
        <v>0.1</v>
      </c>
      <c r="E101" s="102">
        <v>44197</v>
      </c>
      <c r="F101" s="95" t="s">
        <v>330</v>
      </c>
      <c r="G101" s="98">
        <v>0.1</v>
      </c>
      <c r="H101" s="95" t="s">
        <v>331</v>
      </c>
      <c r="I101" s="95" t="s">
        <v>331</v>
      </c>
      <c r="J101" s="94" t="s">
        <v>332</v>
      </c>
      <c r="K101" s="94" t="s">
        <v>133</v>
      </c>
      <c r="L101" s="100" t="s">
        <v>40</v>
      </c>
      <c r="M101" s="94" t="s">
        <v>40</v>
      </c>
      <c r="N101" s="94" t="s">
        <v>41</v>
      </c>
      <c r="O101" s="94" t="s">
        <v>65</v>
      </c>
      <c r="P101" s="94" t="s">
        <v>100</v>
      </c>
      <c r="Q101" s="94" t="s">
        <v>333</v>
      </c>
      <c r="R101" s="94" t="s">
        <v>40</v>
      </c>
      <c r="S101" s="96">
        <v>0.05</v>
      </c>
      <c r="T101" s="94" t="s">
        <v>45</v>
      </c>
      <c r="U101" s="94"/>
      <c r="V101" s="74"/>
      <c r="W101" s="73" t="str">
        <f t="shared" si="2"/>
        <v/>
      </c>
      <c r="X101" s="73" t="str">
        <f t="shared" si="3"/>
        <v/>
      </c>
      <c r="Y101" s="73" t="str">
        <f t="shared" si="4"/>
        <v>X</v>
      </c>
      <c r="Z101" s="73" t="str">
        <f t="shared" si="5"/>
        <v/>
      </c>
      <c r="AA101" s="73" t="s">
        <v>28</v>
      </c>
      <c r="AB101" s="73" t="str">
        <f t="shared" si="6"/>
        <v>Trim 3</v>
      </c>
      <c r="AC101" s="73">
        <f t="shared" si="7"/>
        <v>0</v>
      </c>
      <c r="AD101" s="73">
        <f t="shared" si="8"/>
        <v>0</v>
      </c>
      <c r="AE101" s="73"/>
      <c r="AF101" s="73"/>
      <c r="AG101" s="73"/>
      <c r="AH101" s="73"/>
      <c r="AI101" s="73"/>
    </row>
    <row r="102" spans="1:35" ht="45">
      <c r="A102" s="94" t="s">
        <v>328</v>
      </c>
      <c r="B102" s="94">
        <v>2</v>
      </c>
      <c r="C102" s="94" t="s">
        <v>334</v>
      </c>
      <c r="D102" s="96">
        <v>0.1</v>
      </c>
      <c r="E102" s="102">
        <v>44198</v>
      </c>
      <c r="F102" s="95" t="s">
        <v>335</v>
      </c>
      <c r="G102" s="98">
        <v>0.1</v>
      </c>
      <c r="H102" s="95" t="s">
        <v>336</v>
      </c>
      <c r="I102" s="95" t="s">
        <v>336</v>
      </c>
      <c r="J102" s="94" t="s">
        <v>332</v>
      </c>
      <c r="K102" s="94" t="s">
        <v>39</v>
      </c>
      <c r="L102" s="100" t="s">
        <v>40</v>
      </c>
      <c r="M102" s="94" t="s">
        <v>40</v>
      </c>
      <c r="N102" s="94" t="s">
        <v>41</v>
      </c>
      <c r="O102" s="94" t="s">
        <v>42</v>
      </c>
      <c r="P102" s="94" t="s">
        <v>100</v>
      </c>
      <c r="Q102" s="94" t="s">
        <v>333</v>
      </c>
      <c r="R102" s="94" t="s">
        <v>40</v>
      </c>
      <c r="S102" s="94" t="s">
        <v>337</v>
      </c>
      <c r="T102" s="94" t="s">
        <v>45</v>
      </c>
      <c r="U102" s="94"/>
      <c r="V102" s="78"/>
      <c r="W102" s="73" t="str">
        <f t="shared" si="2"/>
        <v/>
      </c>
      <c r="X102" s="73" t="str">
        <f t="shared" si="3"/>
        <v/>
      </c>
      <c r="Y102" s="73" t="str">
        <f t="shared" si="4"/>
        <v/>
      </c>
      <c r="Z102" s="73" t="str">
        <f t="shared" si="5"/>
        <v>X</v>
      </c>
      <c r="AA102" s="73" t="s">
        <v>29</v>
      </c>
      <c r="AB102" s="73" t="str">
        <f t="shared" si="6"/>
        <v>Trim 4</v>
      </c>
      <c r="AC102" s="73">
        <f t="shared" si="7"/>
        <v>0</v>
      </c>
      <c r="AD102" s="73">
        <f t="shared" si="8"/>
        <v>0</v>
      </c>
      <c r="AE102" s="73"/>
      <c r="AF102" s="73"/>
      <c r="AG102" s="73"/>
      <c r="AH102" s="73"/>
      <c r="AI102" s="73"/>
    </row>
    <row r="103" spans="1:35" ht="60">
      <c r="A103" s="94" t="s">
        <v>328</v>
      </c>
      <c r="B103" s="94">
        <v>3</v>
      </c>
      <c r="C103" s="94" t="s">
        <v>338</v>
      </c>
      <c r="D103" s="96">
        <v>0.3</v>
      </c>
      <c r="E103" s="102">
        <v>44199</v>
      </c>
      <c r="F103" s="95" t="s">
        <v>339</v>
      </c>
      <c r="G103" s="98">
        <v>0.09</v>
      </c>
      <c r="H103" s="95" t="s">
        <v>340</v>
      </c>
      <c r="I103" s="94" t="s">
        <v>341</v>
      </c>
      <c r="J103" s="94" t="s">
        <v>342</v>
      </c>
      <c r="K103" s="94" t="s">
        <v>45</v>
      </c>
      <c r="L103" s="100" t="s">
        <v>40</v>
      </c>
      <c r="M103" s="94" t="s">
        <v>40</v>
      </c>
      <c r="N103" s="94" t="s">
        <v>41</v>
      </c>
      <c r="O103" s="94" t="s">
        <v>223</v>
      </c>
      <c r="P103" s="94" t="s">
        <v>100</v>
      </c>
      <c r="Q103" s="94" t="s">
        <v>333</v>
      </c>
      <c r="R103" s="94" t="s">
        <v>224</v>
      </c>
      <c r="S103" s="98">
        <v>0.09</v>
      </c>
      <c r="T103" s="94" t="s">
        <v>45</v>
      </c>
      <c r="U103" s="94"/>
      <c r="V103" s="74"/>
      <c r="W103" s="73" t="str">
        <f t="shared" si="2"/>
        <v>X</v>
      </c>
      <c r="X103" s="73" t="str">
        <f t="shared" si="3"/>
        <v/>
      </c>
      <c r="Y103" s="73" t="str">
        <f t="shared" si="4"/>
        <v/>
      </c>
      <c r="Z103" s="73" t="str">
        <f t="shared" si="5"/>
        <v/>
      </c>
      <c r="AA103" s="73" t="s">
        <v>26</v>
      </c>
      <c r="AB103" s="73" t="str">
        <f t="shared" si="6"/>
        <v>Trim 1</v>
      </c>
      <c r="AC103" s="73">
        <f t="shared" si="7"/>
        <v>1</v>
      </c>
      <c r="AD103" s="73">
        <f t="shared" si="8"/>
        <v>1</v>
      </c>
      <c r="AE103" s="73"/>
      <c r="AF103" s="73"/>
      <c r="AG103" s="73"/>
      <c r="AH103" s="73"/>
      <c r="AI103" s="73"/>
    </row>
    <row r="104" spans="1:35" ht="60">
      <c r="A104" s="94" t="s">
        <v>328</v>
      </c>
      <c r="B104" s="94">
        <v>3</v>
      </c>
      <c r="C104" s="94" t="s">
        <v>338</v>
      </c>
      <c r="D104" s="96">
        <v>0.3</v>
      </c>
      <c r="E104" s="102">
        <v>44230</v>
      </c>
      <c r="F104" s="95" t="s">
        <v>343</v>
      </c>
      <c r="G104" s="98">
        <v>0.21</v>
      </c>
      <c r="H104" s="95" t="s">
        <v>344</v>
      </c>
      <c r="I104" s="100" t="s">
        <v>345</v>
      </c>
      <c r="J104" s="94" t="s">
        <v>346</v>
      </c>
      <c r="K104" s="94" t="s">
        <v>39</v>
      </c>
      <c r="L104" s="100" t="s">
        <v>40</v>
      </c>
      <c r="M104" s="94" t="s">
        <v>40</v>
      </c>
      <c r="N104" s="94" t="s">
        <v>181</v>
      </c>
      <c r="O104" s="94" t="s">
        <v>223</v>
      </c>
      <c r="P104" s="94" t="s">
        <v>100</v>
      </c>
      <c r="Q104" s="94" t="s">
        <v>44</v>
      </c>
      <c r="R104" s="94" t="s">
        <v>224</v>
      </c>
      <c r="S104" s="94" t="s">
        <v>347</v>
      </c>
      <c r="T104" s="94" t="s">
        <v>45</v>
      </c>
      <c r="U104" s="94"/>
      <c r="V104" s="74"/>
      <c r="W104" s="73" t="str">
        <f t="shared" si="2"/>
        <v/>
      </c>
      <c r="X104" s="73" t="str">
        <f t="shared" si="3"/>
        <v/>
      </c>
      <c r="Y104" s="73" t="str">
        <f t="shared" si="4"/>
        <v/>
      </c>
      <c r="Z104" s="73" t="str">
        <f t="shared" si="5"/>
        <v>X</v>
      </c>
      <c r="AA104" s="73" t="s">
        <v>29</v>
      </c>
      <c r="AB104" s="73" t="str">
        <f t="shared" si="6"/>
        <v>Trim 4</v>
      </c>
      <c r="AC104" s="73">
        <f t="shared" si="7"/>
        <v>0</v>
      </c>
      <c r="AD104" s="73">
        <f t="shared" si="8"/>
        <v>0</v>
      </c>
      <c r="AE104" s="73"/>
      <c r="AF104" s="73"/>
      <c r="AG104" s="73"/>
      <c r="AH104" s="73"/>
      <c r="AI104" s="73"/>
    </row>
    <row r="105" spans="1:35" ht="45">
      <c r="A105" s="94" t="s">
        <v>328</v>
      </c>
      <c r="B105" s="94">
        <v>4</v>
      </c>
      <c r="C105" s="94" t="s">
        <v>348</v>
      </c>
      <c r="D105" s="96">
        <v>0.1</v>
      </c>
      <c r="E105" s="102">
        <v>44200</v>
      </c>
      <c r="F105" s="95" t="s">
        <v>349</v>
      </c>
      <c r="G105" s="98">
        <v>0.1</v>
      </c>
      <c r="H105" s="95" t="s">
        <v>350</v>
      </c>
      <c r="I105" s="95" t="s">
        <v>350</v>
      </c>
      <c r="J105" s="94" t="s">
        <v>351</v>
      </c>
      <c r="K105" s="94" t="s">
        <v>111</v>
      </c>
      <c r="L105" s="100" t="s">
        <v>40</v>
      </c>
      <c r="M105" s="94" t="s">
        <v>40</v>
      </c>
      <c r="N105" s="94" t="s">
        <v>41</v>
      </c>
      <c r="O105" s="94" t="s">
        <v>42</v>
      </c>
      <c r="P105" s="94" t="s">
        <v>100</v>
      </c>
      <c r="Q105" s="94" t="s">
        <v>333</v>
      </c>
      <c r="R105" s="94" t="s">
        <v>40</v>
      </c>
      <c r="S105" s="98">
        <v>0.05</v>
      </c>
      <c r="T105" s="94" t="s">
        <v>45</v>
      </c>
      <c r="U105" s="94"/>
      <c r="V105" s="78"/>
      <c r="W105" s="73" t="str">
        <f t="shared" si="2"/>
        <v/>
      </c>
      <c r="X105" s="73" t="str">
        <f t="shared" si="3"/>
        <v>X</v>
      </c>
      <c r="Y105" s="73" t="str">
        <f t="shared" si="4"/>
        <v/>
      </c>
      <c r="Z105" s="73" t="str">
        <f t="shared" si="5"/>
        <v/>
      </c>
      <c r="AA105" s="73" t="s">
        <v>27</v>
      </c>
      <c r="AB105" s="73" t="str">
        <f t="shared" si="6"/>
        <v>Trim 2</v>
      </c>
      <c r="AC105" s="73">
        <f t="shared" si="7"/>
        <v>0</v>
      </c>
      <c r="AD105" s="73">
        <f t="shared" si="8"/>
        <v>0</v>
      </c>
      <c r="AE105" s="73"/>
      <c r="AF105" s="73"/>
      <c r="AG105" s="73"/>
      <c r="AH105" s="73"/>
      <c r="AI105" s="73"/>
    </row>
    <row r="106" spans="1:35" ht="60">
      <c r="A106" s="94" t="s">
        <v>328</v>
      </c>
      <c r="B106" s="94">
        <v>5</v>
      </c>
      <c r="C106" s="94" t="s">
        <v>352</v>
      </c>
      <c r="D106" s="96">
        <v>0.4</v>
      </c>
      <c r="E106" s="102">
        <v>44201</v>
      </c>
      <c r="F106" s="95" t="s">
        <v>353</v>
      </c>
      <c r="G106" s="98">
        <f t="shared" ref="G106:G111" si="11">D106/6</f>
        <v>6.6666666666666666E-2</v>
      </c>
      <c r="H106" s="95" t="s">
        <v>354</v>
      </c>
      <c r="I106" s="94" t="s">
        <v>355</v>
      </c>
      <c r="J106" s="94" t="s">
        <v>356</v>
      </c>
      <c r="K106" s="94" t="s">
        <v>39</v>
      </c>
      <c r="L106" s="100" t="s">
        <v>40</v>
      </c>
      <c r="M106" s="94" t="s">
        <v>40</v>
      </c>
      <c r="N106" s="94" t="s">
        <v>181</v>
      </c>
      <c r="O106" s="94" t="s">
        <v>182</v>
      </c>
      <c r="P106" s="94" t="s">
        <v>100</v>
      </c>
      <c r="Q106" s="94" t="s">
        <v>333</v>
      </c>
      <c r="R106" s="94" t="s">
        <v>40</v>
      </c>
      <c r="S106" s="98">
        <v>3.3000000000000002E-2</v>
      </c>
      <c r="T106" s="94" t="s">
        <v>45</v>
      </c>
      <c r="U106" s="94"/>
      <c r="V106" s="74"/>
      <c r="W106" s="73" t="str">
        <f t="shared" si="2"/>
        <v/>
      </c>
      <c r="X106" s="73" t="str">
        <f t="shared" si="3"/>
        <v/>
      </c>
      <c r="Y106" s="73" t="str">
        <f t="shared" si="4"/>
        <v/>
      </c>
      <c r="Z106" s="73" t="str">
        <f t="shared" si="5"/>
        <v>X</v>
      </c>
      <c r="AA106" s="73" t="s">
        <v>29</v>
      </c>
      <c r="AB106" s="73" t="str">
        <f t="shared" si="6"/>
        <v>Trim 4</v>
      </c>
      <c r="AC106" s="73">
        <f t="shared" si="7"/>
        <v>0</v>
      </c>
      <c r="AD106" s="73">
        <f t="shared" si="8"/>
        <v>0</v>
      </c>
      <c r="AE106" s="73"/>
      <c r="AF106" s="73"/>
      <c r="AG106" s="73"/>
      <c r="AH106" s="73"/>
      <c r="AI106" s="73"/>
    </row>
    <row r="107" spans="1:35" ht="45">
      <c r="A107" s="94" t="s">
        <v>328</v>
      </c>
      <c r="B107" s="94">
        <v>5</v>
      </c>
      <c r="C107" s="94" t="s">
        <v>352</v>
      </c>
      <c r="D107" s="96">
        <v>0.4</v>
      </c>
      <c r="E107" s="102">
        <v>44232</v>
      </c>
      <c r="F107" s="95" t="s">
        <v>357</v>
      </c>
      <c r="G107" s="98">
        <f t="shared" si="11"/>
        <v>6.6666666666666666E-2</v>
      </c>
      <c r="H107" s="95" t="s">
        <v>358</v>
      </c>
      <c r="I107" s="94" t="s">
        <v>359</v>
      </c>
      <c r="J107" s="94" t="s">
        <v>356</v>
      </c>
      <c r="K107" s="94" t="s">
        <v>39</v>
      </c>
      <c r="L107" s="100" t="s">
        <v>40</v>
      </c>
      <c r="M107" s="94" t="s">
        <v>40</v>
      </c>
      <c r="N107" s="94" t="s">
        <v>181</v>
      </c>
      <c r="O107" s="94" t="s">
        <v>182</v>
      </c>
      <c r="P107" s="94" t="s">
        <v>100</v>
      </c>
      <c r="Q107" s="94" t="s">
        <v>333</v>
      </c>
      <c r="R107" s="94" t="s">
        <v>40</v>
      </c>
      <c r="S107" s="96">
        <v>0.01</v>
      </c>
      <c r="T107" s="94" t="s">
        <v>45</v>
      </c>
      <c r="U107" s="94"/>
      <c r="V107" s="74"/>
      <c r="W107" s="73" t="str">
        <f t="shared" si="2"/>
        <v/>
      </c>
      <c r="X107" s="73" t="str">
        <f t="shared" si="3"/>
        <v/>
      </c>
      <c r="Y107" s="73" t="str">
        <f t="shared" si="4"/>
        <v/>
      </c>
      <c r="Z107" s="73" t="str">
        <f t="shared" si="5"/>
        <v>X</v>
      </c>
      <c r="AA107" s="73" t="s">
        <v>29</v>
      </c>
      <c r="AB107" s="73" t="str">
        <f t="shared" si="6"/>
        <v>Trim 4</v>
      </c>
      <c r="AC107" s="73">
        <f t="shared" si="7"/>
        <v>0</v>
      </c>
      <c r="AD107" s="73">
        <f t="shared" si="8"/>
        <v>0</v>
      </c>
      <c r="AE107" s="73"/>
      <c r="AF107" s="73"/>
      <c r="AG107" s="73"/>
      <c r="AH107" s="73"/>
      <c r="AI107" s="73"/>
    </row>
    <row r="108" spans="1:35" ht="45">
      <c r="A108" s="94" t="s">
        <v>328</v>
      </c>
      <c r="B108" s="94">
        <v>5</v>
      </c>
      <c r="C108" s="94" t="s">
        <v>352</v>
      </c>
      <c r="D108" s="96">
        <v>0.4</v>
      </c>
      <c r="E108" s="102">
        <v>44260</v>
      </c>
      <c r="F108" s="95" t="s">
        <v>360</v>
      </c>
      <c r="G108" s="98">
        <f t="shared" si="11"/>
        <v>6.6666666666666666E-2</v>
      </c>
      <c r="H108" s="95" t="s">
        <v>361</v>
      </c>
      <c r="I108" s="94" t="s">
        <v>362</v>
      </c>
      <c r="J108" s="94" t="s">
        <v>356</v>
      </c>
      <c r="K108" s="94" t="s">
        <v>39</v>
      </c>
      <c r="L108" s="100" t="s">
        <v>40</v>
      </c>
      <c r="M108" s="94" t="s">
        <v>40</v>
      </c>
      <c r="N108" s="94" t="s">
        <v>181</v>
      </c>
      <c r="O108" s="94" t="s">
        <v>182</v>
      </c>
      <c r="P108" s="94" t="s">
        <v>100</v>
      </c>
      <c r="Q108" s="94" t="s">
        <v>333</v>
      </c>
      <c r="R108" s="94" t="s">
        <v>40</v>
      </c>
      <c r="S108" s="96">
        <v>0.01</v>
      </c>
      <c r="T108" s="94" t="s">
        <v>45</v>
      </c>
      <c r="U108" s="94"/>
      <c r="V108" s="74"/>
      <c r="W108" s="73" t="str">
        <f t="shared" si="2"/>
        <v/>
      </c>
      <c r="X108" s="73" t="str">
        <f t="shared" si="3"/>
        <v/>
      </c>
      <c r="Y108" s="73" t="str">
        <f t="shared" si="4"/>
        <v/>
      </c>
      <c r="Z108" s="73" t="str">
        <f t="shared" si="5"/>
        <v>X</v>
      </c>
      <c r="AA108" s="73" t="s">
        <v>29</v>
      </c>
      <c r="AB108" s="73" t="str">
        <f t="shared" si="6"/>
        <v>Trim 4</v>
      </c>
      <c r="AC108" s="73">
        <f t="shared" si="7"/>
        <v>0</v>
      </c>
      <c r="AD108" s="73">
        <f t="shared" si="8"/>
        <v>0</v>
      </c>
      <c r="AE108" s="73"/>
      <c r="AF108" s="73"/>
      <c r="AG108" s="73"/>
      <c r="AH108" s="73"/>
      <c r="AI108" s="73"/>
    </row>
    <row r="109" spans="1:35" ht="45">
      <c r="A109" s="94" t="s">
        <v>328</v>
      </c>
      <c r="B109" s="94">
        <v>5</v>
      </c>
      <c r="C109" s="94" t="s">
        <v>352</v>
      </c>
      <c r="D109" s="96">
        <v>0.4</v>
      </c>
      <c r="E109" s="102">
        <v>44291</v>
      </c>
      <c r="F109" s="95" t="s">
        <v>363</v>
      </c>
      <c r="G109" s="98">
        <f t="shared" si="11"/>
        <v>6.6666666666666666E-2</v>
      </c>
      <c r="H109" s="95" t="s">
        <v>364</v>
      </c>
      <c r="I109" s="94" t="s">
        <v>365</v>
      </c>
      <c r="J109" s="94" t="s">
        <v>356</v>
      </c>
      <c r="K109" s="94" t="s">
        <v>39</v>
      </c>
      <c r="L109" s="100" t="s">
        <v>40</v>
      </c>
      <c r="M109" s="94" t="s">
        <v>40</v>
      </c>
      <c r="N109" s="94" t="s">
        <v>181</v>
      </c>
      <c r="O109" s="94" t="s">
        <v>182</v>
      </c>
      <c r="P109" s="94" t="s">
        <v>100</v>
      </c>
      <c r="Q109" s="94" t="s">
        <v>333</v>
      </c>
      <c r="R109" s="94" t="s">
        <v>40</v>
      </c>
      <c r="S109" s="98">
        <v>1.7000000000000001E-2</v>
      </c>
      <c r="T109" s="94" t="s">
        <v>45</v>
      </c>
      <c r="U109" s="94"/>
      <c r="V109" s="74"/>
      <c r="W109" s="73" t="str">
        <f t="shared" si="2"/>
        <v/>
      </c>
      <c r="X109" s="73" t="str">
        <f t="shared" si="3"/>
        <v/>
      </c>
      <c r="Y109" s="73" t="str">
        <f t="shared" si="4"/>
        <v/>
      </c>
      <c r="Z109" s="73" t="str">
        <f t="shared" si="5"/>
        <v>X</v>
      </c>
      <c r="AA109" s="73" t="s">
        <v>29</v>
      </c>
      <c r="AB109" s="73" t="str">
        <f t="shared" si="6"/>
        <v>Trim 4</v>
      </c>
      <c r="AC109" s="73">
        <f t="shared" si="7"/>
        <v>0</v>
      </c>
      <c r="AD109" s="73">
        <f t="shared" si="8"/>
        <v>0</v>
      </c>
      <c r="AE109" s="73"/>
      <c r="AF109" s="73"/>
      <c r="AG109" s="73"/>
      <c r="AH109" s="73"/>
      <c r="AI109" s="73"/>
    </row>
    <row r="110" spans="1:35" ht="45">
      <c r="A110" s="94" t="s">
        <v>328</v>
      </c>
      <c r="B110" s="94">
        <v>5</v>
      </c>
      <c r="C110" s="94" t="s">
        <v>352</v>
      </c>
      <c r="D110" s="96">
        <v>0.4</v>
      </c>
      <c r="E110" s="102">
        <v>44321</v>
      </c>
      <c r="F110" s="95" t="s">
        <v>366</v>
      </c>
      <c r="G110" s="98">
        <f t="shared" si="11"/>
        <v>6.6666666666666666E-2</v>
      </c>
      <c r="H110" s="95" t="s">
        <v>367</v>
      </c>
      <c r="I110" s="94" t="s">
        <v>368</v>
      </c>
      <c r="J110" s="94" t="s">
        <v>356</v>
      </c>
      <c r="K110" s="94" t="s">
        <v>39</v>
      </c>
      <c r="L110" s="100" t="s">
        <v>40</v>
      </c>
      <c r="M110" s="94" t="s">
        <v>40</v>
      </c>
      <c r="N110" s="94" t="s">
        <v>181</v>
      </c>
      <c r="O110" s="94" t="s">
        <v>182</v>
      </c>
      <c r="P110" s="94" t="s">
        <v>100</v>
      </c>
      <c r="Q110" s="94" t="s">
        <v>333</v>
      </c>
      <c r="R110" s="94" t="s">
        <v>40</v>
      </c>
      <c r="S110" s="98">
        <v>1.7000000000000001E-2</v>
      </c>
      <c r="T110" s="94" t="s">
        <v>45</v>
      </c>
      <c r="U110" s="94"/>
      <c r="V110" s="74"/>
      <c r="W110" s="73" t="str">
        <f t="shared" si="2"/>
        <v/>
      </c>
      <c r="X110" s="73" t="str">
        <f t="shared" si="3"/>
        <v/>
      </c>
      <c r="Y110" s="73" t="str">
        <f t="shared" si="4"/>
        <v/>
      </c>
      <c r="Z110" s="73" t="str">
        <f t="shared" si="5"/>
        <v>X</v>
      </c>
      <c r="AA110" s="73" t="s">
        <v>29</v>
      </c>
      <c r="AB110" s="73" t="str">
        <f t="shared" si="6"/>
        <v>Trim 4</v>
      </c>
      <c r="AC110" s="73">
        <f t="shared" si="7"/>
        <v>0</v>
      </c>
      <c r="AD110" s="73">
        <f t="shared" si="8"/>
        <v>0</v>
      </c>
      <c r="AE110" s="73"/>
      <c r="AF110" s="73"/>
      <c r="AG110" s="73"/>
      <c r="AH110" s="73"/>
      <c r="AI110" s="73"/>
    </row>
    <row r="111" spans="1:35" ht="45">
      <c r="A111" s="94" t="s">
        <v>328</v>
      </c>
      <c r="B111" s="94">
        <v>5</v>
      </c>
      <c r="C111" s="94" t="s">
        <v>352</v>
      </c>
      <c r="D111" s="96">
        <v>0.4</v>
      </c>
      <c r="E111" s="102">
        <v>44352</v>
      </c>
      <c r="F111" s="95" t="s">
        <v>369</v>
      </c>
      <c r="G111" s="98">
        <f t="shared" si="11"/>
        <v>6.6666666666666666E-2</v>
      </c>
      <c r="H111" s="95" t="s">
        <v>370</v>
      </c>
      <c r="I111" s="94" t="s">
        <v>371</v>
      </c>
      <c r="J111" s="94" t="s">
        <v>356</v>
      </c>
      <c r="K111" s="94" t="s">
        <v>39</v>
      </c>
      <c r="L111" s="100" t="s">
        <v>40</v>
      </c>
      <c r="M111" s="94" t="s">
        <v>40</v>
      </c>
      <c r="N111" s="94" t="s">
        <v>181</v>
      </c>
      <c r="O111" s="94" t="s">
        <v>182</v>
      </c>
      <c r="P111" s="94" t="s">
        <v>100</v>
      </c>
      <c r="Q111" s="94" t="s">
        <v>333</v>
      </c>
      <c r="R111" s="94" t="s">
        <v>40</v>
      </c>
      <c r="S111" s="98">
        <v>3.3000000000000002E-2</v>
      </c>
      <c r="T111" s="94" t="s">
        <v>45</v>
      </c>
      <c r="U111" s="94"/>
      <c r="V111" s="74"/>
      <c r="W111" s="73" t="str">
        <f t="shared" si="2"/>
        <v/>
      </c>
      <c r="X111" s="73" t="str">
        <f t="shared" si="3"/>
        <v/>
      </c>
      <c r="Y111" s="73" t="str">
        <f t="shared" si="4"/>
        <v/>
      </c>
      <c r="Z111" s="73" t="str">
        <f t="shared" si="5"/>
        <v>X</v>
      </c>
      <c r="AA111" s="73" t="s">
        <v>29</v>
      </c>
      <c r="AB111" s="73" t="str">
        <f t="shared" si="6"/>
        <v>Trim 4</v>
      </c>
      <c r="AC111" s="73">
        <f t="shared" si="7"/>
        <v>0</v>
      </c>
      <c r="AD111" s="73">
        <f t="shared" si="8"/>
        <v>0</v>
      </c>
      <c r="AE111" s="73"/>
      <c r="AF111" s="73"/>
      <c r="AG111" s="73"/>
      <c r="AH111" s="73"/>
      <c r="AI111" s="73"/>
    </row>
    <row r="112" spans="1:35" ht="57">
      <c r="A112" s="94" t="s">
        <v>372</v>
      </c>
      <c r="B112" s="100">
        <v>1</v>
      </c>
      <c r="C112" s="100" t="s">
        <v>373</v>
      </c>
      <c r="D112" s="103">
        <v>0.1</v>
      </c>
      <c r="E112" s="100" t="s">
        <v>34</v>
      </c>
      <c r="F112" s="104" t="s">
        <v>374</v>
      </c>
      <c r="G112" s="105">
        <v>0.1</v>
      </c>
      <c r="H112" s="104" t="s">
        <v>375</v>
      </c>
      <c r="I112" s="100" t="s">
        <v>376</v>
      </c>
      <c r="J112" s="100" t="s">
        <v>377</v>
      </c>
      <c r="K112" s="94" t="s">
        <v>133</v>
      </c>
      <c r="L112" s="100" t="s">
        <v>40</v>
      </c>
      <c r="M112" s="94" t="s">
        <v>40</v>
      </c>
      <c r="N112" s="94" t="s">
        <v>41</v>
      </c>
      <c r="O112" s="94" t="s">
        <v>65</v>
      </c>
      <c r="P112" s="94" t="s">
        <v>100</v>
      </c>
      <c r="Q112" s="94" t="s">
        <v>44</v>
      </c>
      <c r="R112" s="94" t="s">
        <v>40</v>
      </c>
      <c r="S112" s="94" t="s">
        <v>378</v>
      </c>
      <c r="T112" s="94" t="s">
        <v>45</v>
      </c>
      <c r="U112" s="94" t="s">
        <v>379</v>
      </c>
      <c r="V112" s="79"/>
      <c r="W112" s="73" t="str">
        <f t="shared" si="2"/>
        <v/>
      </c>
      <c r="X112" s="73" t="str">
        <f t="shared" si="3"/>
        <v/>
      </c>
      <c r="Y112" s="73" t="str">
        <f t="shared" si="4"/>
        <v>X</v>
      </c>
      <c r="Z112" s="73" t="str">
        <f t="shared" si="5"/>
        <v/>
      </c>
      <c r="AA112" s="73" t="s">
        <v>28</v>
      </c>
      <c r="AB112" s="73" t="str">
        <f t="shared" si="6"/>
        <v>Trim 3</v>
      </c>
      <c r="AC112" s="73">
        <f t="shared" si="7"/>
        <v>0</v>
      </c>
      <c r="AD112" s="73">
        <f t="shared" si="8"/>
        <v>0</v>
      </c>
      <c r="AE112" s="73"/>
      <c r="AF112" s="73"/>
      <c r="AG112" s="73"/>
      <c r="AH112" s="73"/>
      <c r="AI112" s="73"/>
    </row>
    <row r="113" spans="1:35" ht="195">
      <c r="A113" s="94" t="s">
        <v>372</v>
      </c>
      <c r="B113" s="100">
        <v>2</v>
      </c>
      <c r="C113" s="100" t="s">
        <v>380</v>
      </c>
      <c r="D113" s="103">
        <v>0.1</v>
      </c>
      <c r="E113" s="100" t="s">
        <v>60</v>
      </c>
      <c r="F113" s="104" t="s">
        <v>381</v>
      </c>
      <c r="G113" s="105">
        <v>0.1</v>
      </c>
      <c r="H113" s="104" t="s">
        <v>382</v>
      </c>
      <c r="I113" s="100" t="s">
        <v>362</v>
      </c>
      <c r="J113" s="100" t="s">
        <v>383</v>
      </c>
      <c r="K113" s="94" t="s">
        <v>39</v>
      </c>
      <c r="L113" s="100" t="s">
        <v>40</v>
      </c>
      <c r="M113" s="94" t="s">
        <v>40</v>
      </c>
      <c r="N113" s="94" t="s">
        <v>181</v>
      </c>
      <c r="O113" s="94" t="s">
        <v>182</v>
      </c>
      <c r="P113" s="94" t="s">
        <v>100</v>
      </c>
      <c r="Q113" s="94" t="s">
        <v>101</v>
      </c>
      <c r="R113" s="94" t="s">
        <v>40</v>
      </c>
      <c r="S113" s="98">
        <v>0.25</v>
      </c>
      <c r="T113" s="94" t="s">
        <v>45</v>
      </c>
      <c r="U113" s="95" t="s">
        <v>384</v>
      </c>
      <c r="V113" s="80"/>
      <c r="W113" s="73" t="str">
        <f t="shared" si="2"/>
        <v/>
      </c>
      <c r="X113" s="73" t="str">
        <f t="shared" si="3"/>
        <v/>
      </c>
      <c r="Y113" s="73" t="str">
        <f t="shared" si="4"/>
        <v/>
      </c>
      <c r="Z113" s="73" t="str">
        <f t="shared" si="5"/>
        <v>X</v>
      </c>
      <c r="AA113" s="73" t="s">
        <v>29</v>
      </c>
      <c r="AB113" s="73" t="str">
        <f t="shared" si="6"/>
        <v>Trim 4</v>
      </c>
      <c r="AC113" s="73">
        <f t="shared" si="7"/>
        <v>0</v>
      </c>
      <c r="AD113" s="73">
        <f t="shared" si="8"/>
        <v>0</v>
      </c>
      <c r="AE113" s="73"/>
      <c r="AF113" s="73"/>
      <c r="AG113" s="73"/>
      <c r="AH113" s="73"/>
      <c r="AI113" s="73"/>
    </row>
    <row r="114" spans="1:35" ht="85.5">
      <c r="A114" s="94" t="s">
        <v>372</v>
      </c>
      <c r="B114" s="100">
        <v>3</v>
      </c>
      <c r="C114" s="100" t="s">
        <v>385</v>
      </c>
      <c r="D114" s="103">
        <v>0.2</v>
      </c>
      <c r="E114" s="100" t="s">
        <v>75</v>
      </c>
      <c r="F114" s="104" t="s">
        <v>386</v>
      </c>
      <c r="G114" s="105">
        <v>0.2</v>
      </c>
      <c r="H114" s="104" t="s">
        <v>387</v>
      </c>
      <c r="I114" s="100" t="s">
        <v>388</v>
      </c>
      <c r="J114" s="100" t="s">
        <v>383</v>
      </c>
      <c r="K114" s="94" t="s">
        <v>39</v>
      </c>
      <c r="L114" s="100" t="s">
        <v>40</v>
      </c>
      <c r="M114" s="94" t="s">
        <v>40</v>
      </c>
      <c r="N114" s="94" t="s">
        <v>181</v>
      </c>
      <c r="O114" s="94" t="s">
        <v>42</v>
      </c>
      <c r="P114" s="94" t="s">
        <v>100</v>
      </c>
      <c r="Q114" s="94" t="s">
        <v>101</v>
      </c>
      <c r="R114" s="94" t="s">
        <v>40</v>
      </c>
      <c r="S114" s="98">
        <v>0.25</v>
      </c>
      <c r="T114" s="94" t="s">
        <v>45</v>
      </c>
      <c r="U114" s="95" t="s">
        <v>389</v>
      </c>
      <c r="V114" s="80"/>
      <c r="W114" s="73" t="str">
        <f t="shared" si="2"/>
        <v/>
      </c>
      <c r="X114" s="73" t="str">
        <f t="shared" si="3"/>
        <v/>
      </c>
      <c r="Y114" s="73" t="str">
        <f t="shared" si="4"/>
        <v/>
      </c>
      <c r="Z114" s="73" t="str">
        <f t="shared" si="5"/>
        <v>X</v>
      </c>
      <c r="AA114" s="73" t="s">
        <v>29</v>
      </c>
      <c r="AB114" s="73" t="str">
        <f t="shared" si="6"/>
        <v>Trim 4</v>
      </c>
      <c r="AC114" s="73">
        <f t="shared" si="7"/>
        <v>0</v>
      </c>
      <c r="AD114" s="73">
        <f t="shared" si="8"/>
        <v>0</v>
      </c>
      <c r="AE114" s="73"/>
      <c r="AF114" s="73"/>
      <c r="AG114" s="73"/>
      <c r="AH114" s="73"/>
      <c r="AI114" s="73"/>
    </row>
    <row r="115" spans="1:35" ht="99.75">
      <c r="A115" s="94" t="s">
        <v>372</v>
      </c>
      <c r="B115" s="100">
        <v>4</v>
      </c>
      <c r="C115" s="100" t="s">
        <v>390</v>
      </c>
      <c r="D115" s="103">
        <v>0.2</v>
      </c>
      <c r="E115" s="100">
        <v>4.0999999999999996</v>
      </c>
      <c r="F115" s="104" t="s">
        <v>391</v>
      </c>
      <c r="G115" s="105">
        <v>0.05</v>
      </c>
      <c r="H115" s="106" t="s">
        <v>392</v>
      </c>
      <c r="I115" s="100" t="s">
        <v>393</v>
      </c>
      <c r="J115" s="100" t="s">
        <v>394</v>
      </c>
      <c r="K115" s="94" t="s">
        <v>45</v>
      </c>
      <c r="L115" s="100" t="s">
        <v>40</v>
      </c>
      <c r="M115" s="94" t="s">
        <v>40</v>
      </c>
      <c r="N115" s="94" t="s">
        <v>181</v>
      </c>
      <c r="O115" s="94" t="s">
        <v>395</v>
      </c>
      <c r="P115" s="94" t="s">
        <v>100</v>
      </c>
      <c r="Q115" s="94" t="s">
        <v>396</v>
      </c>
      <c r="R115" s="94" t="s">
        <v>40</v>
      </c>
      <c r="S115" s="98">
        <v>0.05</v>
      </c>
      <c r="T115" s="94" t="s">
        <v>45</v>
      </c>
      <c r="U115" s="107" t="s">
        <v>1291</v>
      </c>
      <c r="V115" s="80"/>
      <c r="W115" s="73" t="str">
        <f t="shared" si="2"/>
        <v>X</v>
      </c>
      <c r="X115" s="73" t="str">
        <f t="shared" si="3"/>
        <v/>
      </c>
      <c r="Y115" s="73" t="str">
        <f t="shared" si="4"/>
        <v/>
      </c>
      <c r="Z115" s="73" t="str">
        <f t="shared" si="5"/>
        <v/>
      </c>
      <c r="AA115" s="73" t="s">
        <v>26</v>
      </c>
      <c r="AB115" s="73" t="str">
        <f t="shared" si="6"/>
        <v>Trim 1</v>
      </c>
      <c r="AC115" s="73">
        <f t="shared" si="7"/>
        <v>1</v>
      </c>
      <c r="AD115" s="73">
        <f t="shared" si="8"/>
        <v>1</v>
      </c>
      <c r="AE115" s="73"/>
      <c r="AF115" s="73"/>
      <c r="AG115" s="73"/>
      <c r="AH115" s="73"/>
      <c r="AI115" s="73"/>
    </row>
    <row r="116" spans="1:35" ht="57">
      <c r="A116" s="94" t="s">
        <v>372</v>
      </c>
      <c r="B116" s="100">
        <v>4</v>
      </c>
      <c r="C116" s="100" t="s">
        <v>390</v>
      </c>
      <c r="D116" s="103">
        <v>0.2</v>
      </c>
      <c r="E116" s="100">
        <v>4.2</v>
      </c>
      <c r="F116" s="104" t="s">
        <v>391</v>
      </c>
      <c r="G116" s="105">
        <v>0.05</v>
      </c>
      <c r="H116" s="106" t="s">
        <v>392</v>
      </c>
      <c r="I116" s="100" t="s">
        <v>397</v>
      </c>
      <c r="J116" s="100" t="s">
        <v>394</v>
      </c>
      <c r="K116" s="94" t="s">
        <v>111</v>
      </c>
      <c r="L116" s="100" t="s">
        <v>40</v>
      </c>
      <c r="M116" s="94" t="s">
        <v>40</v>
      </c>
      <c r="N116" s="94" t="s">
        <v>181</v>
      </c>
      <c r="O116" s="94" t="s">
        <v>395</v>
      </c>
      <c r="P116" s="94" t="s">
        <v>100</v>
      </c>
      <c r="Q116" s="94" t="s">
        <v>396</v>
      </c>
      <c r="R116" s="94" t="s">
        <v>40</v>
      </c>
      <c r="S116" s="98"/>
      <c r="T116" s="94"/>
      <c r="U116" s="95"/>
      <c r="V116" s="80"/>
      <c r="W116" s="73" t="str">
        <f t="shared" si="2"/>
        <v/>
      </c>
      <c r="X116" s="73" t="str">
        <f t="shared" si="3"/>
        <v>X</v>
      </c>
      <c r="Y116" s="73" t="str">
        <f t="shared" si="4"/>
        <v/>
      </c>
      <c r="Z116" s="73" t="str">
        <f t="shared" si="5"/>
        <v/>
      </c>
      <c r="AA116" s="73" t="s">
        <v>27</v>
      </c>
      <c r="AB116" s="73" t="str">
        <f t="shared" si="6"/>
        <v>Trim 2</v>
      </c>
      <c r="AC116" s="73">
        <f t="shared" si="7"/>
        <v>0</v>
      </c>
      <c r="AD116" s="73">
        <f t="shared" si="8"/>
        <v>0</v>
      </c>
      <c r="AE116" s="73"/>
      <c r="AF116" s="73"/>
      <c r="AG116" s="73"/>
      <c r="AH116" s="73"/>
      <c r="AI116" s="73"/>
    </row>
    <row r="117" spans="1:35" ht="57">
      <c r="A117" s="94" t="s">
        <v>372</v>
      </c>
      <c r="B117" s="100">
        <v>4</v>
      </c>
      <c r="C117" s="100" t="s">
        <v>390</v>
      </c>
      <c r="D117" s="103">
        <v>0.2</v>
      </c>
      <c r="E117" s="100">
        <v>4.3</v>
      </c>
      <c r="F117" s="104" t="s">
        <v>391</v>
      </c>
      <c r="G117" s="105">
        <v>0.05</v>
      </c>
      <c r="H117" s="106" t="s">
        <v>392</v>
      </c>
      <c r="I117" s="100" t="s">
        <v>397</v>
      </c>
      <c r="J117" s="100" t="s">
        <v>394</v>
      </c>
      <c r="K117" s="94" t="s">
        <v>115</v>
      </c>
      <c r="L117" s="100" t="s">
        <v>40</v>
      </c>
      <c r="M117" s="94" t="s">
        <v>40</v>
      </c>
      <c r="N117" s="94" t="s">
        <v>181</v>
      </c>
      <c r="O117" s="94" t="s">
        <v>395</v>
      </c>
      <c r="P117" s="94" t="s">
        <v>100</v>
      </c>
      <c r="Q117" s="94" t="s">
        <v>396</v>
      </c>
      <c r="R117" s="94" t="s">
        <v>40</v>
      </c>
      <c r="S117" s="98"/>
      <c r="T117" s="94"/>
      <c r="U117" s="95"/>
      <c r="V117" s="80"/>
      <c r="W117" s="73" t="str">
        <f t="shared" si="2"/>
        <v/>
      </c>
      <c r="X117" s="73" t="str">
        <f t="shared" si="3"/>
        <v/>
      </c>
      <c r="Y117" s="73" t="str">
        <f t="shared" si="4"/>
        <v>X</v>
      </c>
      <c r="Z117" s="73" t="str">
        <f t="shared" si="5"/>
        <v/>
      </c>
      <c r="AA117" s="73" t="s">
        <v>28</v>
      </c>
      <c r="AB117" s="73" t="str">
        <f t="shared" si="6"/>
        <v>Trim 3</v>
      </c>
      <c r="AC117" s="73">
        <f t="shared" si="7"/>
        <v>0</v>
      </c>
      <c r="AD117" s="73">
        <f t="shared" si="8"/>
        <v>0</v>
      </c>
      <c r="AE117" s="73"/>
      <c r="AF117" s="73"/>
      <c r="AG117" s="73"/>
      <c r="AH117" s="73"/>
      <c r="AI117" s="73"/>
    </row>
    <row r="118" spans="1:35" ht="57">
      <c r="A118" s="94" t="s">
        <v>372</v>
      </c>
      <c r="B118" s="100">
        <v>4</v>
      </c>
      <c r="C118" s="100" t="s">
        <v>390</v>
      </c>
      <c r="D118" s="103">
        <v>0.2</v>
      </c>
      <c r="E118" s="100">
        <v>4.4000000000000004</v>
      </c>
      <c r="F118" s="104" t="s">
        <v>391</v>
      </c>
      <c r="G118" s="105">
        <v>0.05</v>
      </c>
      <c r="H118" s="106" t="s">
        <v>392</v>
      </c>
      <c r="I118" s="100" t="s">
        <v>397</v>
      </c>
      <c r="J118" s="100" t="s">
        <v>394</v>
      </c>
      <c r="K118" s="94" t="s">
        <v>115</v>
      </c>
      <c r="L118" s="100" t="s">
        <v>40</v>
      </c>
      <c r="M118" s="94" t="s">
        <v>40</v>
      </c>
      <c r="N118" s="94" t="s">
        <v>181</v>
      </c>
      <c r="O118" s="94" t="s">
        <v>395</v>
      </c>
      <c r="P118" s="94" t="s">
        <v>100</v>
      </c>
      <c r="Q118" s="94" t="s">
        <v>396</v>
      </c>
      <c r="R118" s="94" t="s">
        <v>40</v>
      </c>
      <c r="S118" s="98"/>
      <c r="T118" s="94"/>
      <c r="U118" s="95"/>
      <c r="V118" s="80"/>
      <c r="W118" s="73" t="str">
        <f t="shared" si="2"/>
        <v/>
      </c>
      <c r="X118" s="73" t="str">
        <f t="shared" si="3"/>
        <v/>
      </c>
      <c r="Y118" s="73" t="str">
        <f t="shared" si="4"/>
        <v>X</v>
      </c>
      <c r="Z118" s="73" t="str">
        <f t="shared" si="5"/>
        <v/>
      </c>
      <c r="AA118" s="73" t="s">
        <v>28</v>
      </c>
      <c r="AB118" s="73" t="str">
        <f t="shared" si="6"/>
        <v>Trim 3</v>
      </c>
      <c r="AC118" s="73">
        <f t="shared" si="7"/>
        <v>0</v>
      </c>
      <c r="AD118" s="73">
        <f t="shared" si="8"/>
        <v>0</v>
      </c>
      <c r="AE118" s="73"/>
      <c r="AF118" s="73"/>
      <c r="AG118" s="73"/>
      <c r="AH118" s="73"/>
      <c r="AI118" s="73"/>
    </row>
    <row r="119" spans="1:35" ht="114">
      <c r="A119" s="94" t="s">
        <v>372</v>
      </c>
      <c r="B119" s="100">
        <v>5</v>
      </c>
      <c r="C119" s="100" t="s">
        <v>398</v>
      </c>
      <c r="D119" s="103">
        <v>0.2</v>
      </c>
      <c r="E119" s="100" t="s">
        <v>399</v>
      </c>
      <c r="F119" s="104" t="s">
        <v>400</v>
      </c>
      <c r="G119" s="105">
        <v>0.1</v>
      </c>
      <c r="H119" s="106" t="s">
        <v>401</v>
      </c>
      <c r="I119" s="100" t="s">
        <v>402</v>
      </c>
      <c r="J119" s="100" t="s">
        <v>403</v>
      </c>
      <c r="K119" s="94" t="s">
        <v>39</v>
      </c>
      <c r="L119" s="100" t="s">
        <v>40</v>
      </c>
      <c r="M119" s="94" t="s">
        <v>40</v>
      </c>
      <c r="N119" s="94" t="s">
        <v>181</v>
      </c>
      <c r="O119" s="94" t="s">
        <v>404</v>
      </c>
      <c r="P119" s="94" t="s">
        <v>100</v>
      </c>
      <c r="Q119" s="94" t="s">
        <v>396</v>
      </c>
      <c r="R119" s="94" t="s">
        <v>40</v>
      </c>
      <c r="S119" s="98">
        <v>0.25</v>
      </c>
      <c r="T119" s="94" t="s">
        <v>45</v>
      </c>
      <c r="U119" s="107" t="s">
        <v>1292</v>
      </c>
      <c r="V119" s="80"/>
      <c r="W119" s="73" t="str">
        <f t="shared" si="2"/>
        <v/>
      </c>
      <c r="X119" s="73" t="str">
        <f t="shared" si="3"/>
        <v/>
      </c>
      <c r="Y119" s="73" t="str">
        <f t="shared" si="4"/>
        <v/>
      </c>
      <c r="Z119" s="73" t="str">
        <f t="shared" si="5"/>
        <v>X</v>
      </c>
      <c r="AA119" s="73" t="s">
        <v>29</v>
      </c>
      <c r="AB119" s="73" t="str">
        <f t="shared" si="6"/>
        <v>Trim 4</v>
      </c>
      <c r="AC119" s="73">
        <f t="shared" si="7"/>
        <v>0</v>
      </c>
      <c r="AD119" s="73">
        <f t="shared" si="8"/>
        <v>0</v>
      </c>
      <c r="AE119" s="73"/>
      <c r="AF119" s="73"/>
      <c r="AG119" s="73"/>
      <c r="AH119" s="73"/>
      <c r="AI119" s="73"/>
    </row>
    <row r="120" spans="1:35" ht="105">
      <c r="A120" s="94" t="s">
        <v>372</v>
      </c>
      <c r="B120" s="100">
        <v>5</v>
      </c>
      <c r="C120" s="100" t="s">
        <v>398</v>
      </c>
      <c r="D120" s="103">
        <v>0.2</v>
      </c>
      <c r="E120" s="100" t="s">
        <v>405</v>
      </c>
      <c r="F120" s="106" t="s">
        <v>406</v>
      </c>
      <c r="G120" s="105">
        <v>0.1</v>
      </c>
      <c r="H120" s="106" t="s">
        <v>407</v>
      </c>
      <c r="I120" s="100" t="s">
        <v>408</v>
      </c>
      <c r="J120" s="100" t="s">
        <v>403</v>
      </c>
      <c r="K120" s="94" t="s">
        <v>39</v>
      </c>
      <c r="L120" s="100" t="s">
        <v>40</v>
      </c>
      <c r="M120" s="94" t="s">
        <v>40</v>
      </c>
      <c r="N120" s="94" t="s">
        <v>181</v>
      </c>
      <c r="O120" s="94" t="s">
        <v>42</v>
      </c>
      <c r="P120" s="94" t="s">
        <v>100</v>
      </c>
      <c r="Q120" s="94" t="s">
        <v>396</v>
      </c>
      <c r="R120" s="94" t="s">
        <v>224</v>
      </c>
      <c r="S120" s="98">
        <v>0.25</v>
      </c>
      <c r="T120" s="94" t="s">
        <v>45</v>
      </c>
      <c r="U120" s="95" t="s">
        <v>409</v>
      </c>
      <c r="V120" s="80"/>
      <c r="W120" s="73" t="str">
        <f t="shared" si="2"/>
        <v/>
      </c>
      <c r="X120" s="73" t="str">
        <f t="shared" si="3"/>
        <v/>
      </c>
      <c r="Y120" s="73" t="str">
        <f t="shared" si="4"/>
        <v/>
      </c>
      <c r="Z120" s="73" t="str">
        <f t="shared" si="5"/>
        <v>X</v>
      </c>
      <c r="AA120" s="73" t="s">
        <v>29</v>
      </c>
      <c r="AB120" s="73" t="str">
        <f t="shared" si="6"/>
        <v>Trim 4</v>
      </c>
      <c r="AC120" s="73">
        <f t="shared" si="7"/>
        <v>0</v>
      </c>
      <c r="AD120" s="73">
        <f t="shared" si="8"/>
        <v>0</v>
      </c>
      <c r="AE120" s="73"/>
      <c r="AF120" s="73"/>
      <c r="AG120" s="73"/>
      <c r="AH120" s="73"/>
      <c r="AI120" s="73"/>
    </row>
    <row r="121" spans="1:35" ht="99.75">
      <c r="A121" s="94" t="s">
        <v>372</v>
      </c>
      <c r="B121" s="100">
        <v>5</v>
      </c>
      <c r="C121" s="100" t="s">
        <v>398</v>
      </c>
      <c r="D121" s="103">
        <v>0.2</v>
      </c>
      <c r="E121" s="100" t="s">
        <v>410</v>
      </c>
      <c r="F121" s="106" t="s">
        <v>411</v>
      </c>
      <c r="G121" s="105">
        <v>0.1</v>
      </c>
      <c r="H121" s="106" t="s">
        <v>412</v>
      </c>
      <c r="I121" s="100">
        <v>1</v>
      </c>
      <c r="J121" s="100" t="s">
        <v>413</v>
      </c>
      <c r="K121" s="94" t="s">
        <v>113</v>
      </c>
      <c r="L121" s="100" t="s">
        <v>40</v>
      </c>
      <c r="M121" s="94" t="s">
        <v>40</v>
      </c>
      <c r="N121" s="94" t="s">
        <v>181</v>
      </c>
      <c r="O121" s="94" t="s">
        <v>42</v>
      </c>
      <c r="P121" s="94" t="s">
        <v>100</v>
      </c>
      <c r="Q121" s="94" t="s">
        <v>414</v>
      </c>
      <c r="R121" s="94" t="s">
        <v>224</v>
      </c>
      <c r="S121" s="98">
        <v>0.5</v>
      </c>
      <c r="T121" s="94" t="s">
        <v>45</v>
      </c>
      <c r="U121" s="107" t="s">
        <v>1293</v>
      </c>
      <c r="V121" s="80"/>
      <c r="W121" s="73" t="str">
        <f t="shared" si="2"/>
        <v/>
      </c>
      <c r="X121" s="73" t="str">
        <f t="shared" si="3"/>
        <v/>
      </c>
      <c r="Y121" s="73" t="str">
        <f t="shared" si="4"/>
        <v>X</v>
      </c>
      <c r="Z121" s="73" t="str">
        <f t="shared" si="5"/>
        <v/>
      </c>
      <c r="AA121" s="73" t="s">
        <v>28</v>
      </c>
      <c r="AB121" s="73" t="str">
        <f t="shared" si="6"/>
        <v>Trim 3</v>
      </c>
      <c r="AC121" s="73">
        <f t="shared" si="7"/>
        <v>0</v>
      </c>
      <c r="AD121" s="73">
        <f t="shared" si="8"/>
        <v>0</v>
      </c>
      <c r="AE121" s="73"/>
      <c r="AF121" s="73"/>
      <c r="AG121" s="73"/>
      <c r="AH121" s="73"/>
      <c r="AI121" s="73"/>
    </row>
    <row r="122" spans="1:35" ht="60">
      <c r="A122" s="94" t="s">
        <v>372</v>
      </c>
      <c r="B122" s="100">
        <v>6</v>
      </c>
      <c r="C122" s="100" t="s">
        <v>415</v>
      </c>
      <c r="D122" s="103">
        <v>0.2</v>
      </c>
      <c r="E122" s="100" t="s">
        <v>416</v>
      </c>
      <c r="F122" s="106" t="s">
        <v>417</v>
      </c>
      <c r="G122" s="105">
        <v>0.2</v>
      </c>
      <c r="H122" s="106" t="s">
        <v>418</v>
      </c>
      <c r="I122" s="100" t="s">
        <v>419</v>
      </c>
      <c r="J122" s="100" t="s">
        <v>420</v>
      </c>
      <c r="K122" s="94" t="s">
        <v>39</v>
      </c>
      <c r="L122" s="100" t="s">
        <v>40</v>
      </c>
      <c r="M122" s="94" t="s">
        <v>40</v>
      </c>
      <c r="N122" s="94" t="s">
        <v>181</v>
      </c>
      <c r="O122" s="94" t="s">
        <v>404</v>
      </c>
      <c r="P122" s="94" t="s">
        <v>100</v>
      </c>
      <c r="Q122" s="94" t="s">
        <v>414</v>
      </c>
      <c r="R122" s="94" t="s">
        <v>224</v>
      </c>
      <c r="S122" s="98">
        <v>0.25</v>
      </c>
      <c r="T122" s="94" t="s">
        <v>45</v>
      </c>
      <c r="U122" s="95" t="s">
        <v>421</v>
      </c>
      <c r="V122" s="80"/>
      <c r="W122" s="73" t="str">
        <f t="shared" si="2"/>
        <v/>
      </c>
      <c r="X122" s="73" t="str">
        <f t="shared" si="3"/>
        <v/>
      </c>
      <c r="Y122" s="73" t="str">
        <f t="shared" si="4"/>
        <v/>
      </c>
      <c r="Z122" s="73" t="str">
        <f t="shared" si="5"/>
        <v>X</v>
      </c>
      <c r="AA122" s="73" t="s">
        <v>29</v>
      </c>
      <c r="AB122" s="73" t="str">
        <f t="shared" si="6"/>
        <v>Trim 4</v>
      </c>
      <c r="AC122" s="73">
        <f t="shared" si="7"/>
        <v>0</v>
      </c>
      <c r="AD122" s="73">
        <f t="shared" si="8"/>
        <v>0</v>
      </c>
      <c r="AE122" s="73"/>
      <c r="AF122" s="73"/>
      <c r="AG122" s="73"/>
      <c r="AH122" s="73"/>
      <c r="AI122" s="73"/>
    </row>
    <row r="123" spans="1:35" ht="45">
      <c r="A123" s="94" t="s">
        <v>422</v>
      </c>
      <c r="B123" s="94">
        <v>1</v>
      </c>
      <c r="C123" s="94" t="s">
        <v>423</v>
      </c>
      <c r="D123" s="96">
        <v>0.2</v>
      </c>
      <c r="E123" s="94" t="s">
        <v>34</v>
      </c>
      <c r="F123" s="95" t="s">
        <v>424</v>
      </c>
      <c r="G123" s="98">
        <f t="shared" ref="G123:G125" si="12">D123/3</f>
        <v>6.6666666666666666E-2</v>
      </c>
      <c r="H123" s="95" t="s">
        <v>425</v>
      </c>
      <c r="I123" s="94" t="s">
        <v>426</v>
      </c>
      <c r="J123" s="94" t="s">
        <v>427</v>
      </c>
      <c r="K123" s="94" t="s">
        <v>111</v>
      </c>
      <c r="L123" s="94" t="s">
        <v>40</v>
      </c>
      <c r="M123" s="94"/>
      <c r="N123" s="94" t="s">
        <v>237</v>
      </c>
      <c r="O123" s="94" t="s">
        <v>428</v>
      </c>
      <c r="P123" s="94" t="s">
        <v>429</v>
      </c>
      <c r="Q123" s="94" t="s">
        <v>430</v>
      </c>
      <c r="R123" s="94" t="s">
        <v>40</v>
      </c>
      <c r="S123" s="98">
        <v>0.3</v>
      </c>
      <c r="T123" s="94" t="s">
        <v>45</v>
      </c>
      <c r="U123" s="95" t="s">
        <v>431</v>
      </c>
      <c r="V123" s="70"/>
      <c r="W123" s="73" t="str">
        <f t="shared" si="2"/>
        <v/>
      </c>
      <c r="X123" s="73" t="str">
        <f t="shared" si="3"/>
        <v>X</v>
      </c>
      <c r="Y123" s="73" t="str">
        <f t="shared" si="4"/>
        <v/>
      </c>
      <c r="Z123" s="73" t="str">
        <f t="shared" si="5"/>
        <v/>
      </c>
      <c r="AA123" s="73" t="s">
        <v>27</v>
      </c>
      <c r="AB123" s="73" t="str">
        <f t="shared" si="6"/>
        <v>Trim 2</v>
      </c>
      <c r="AC123" s="73">
        <f t="shared" si="7"/>
        <v>0</v>
      </c>
      <c r="AD123" s="73">
        <f t="shared" si="8"/>
        <v>0</v>
      </c>
      <c r="AE123" s="73"/>
      <c r="AF123" s="73"/>
      <c r="AG123" s="73"/>
      <c r="AH123" s="73"/>
      <c r="AI123" s="73"/>
    </row>
    <row r="124" spans="1:35" ht="90">
      <c r="A124" s="94" t="s">
        <v>422</v>
      </c>
      <c r="B124" s="94">
        <v>1</v>
      </c>
      <c r="C124" s="94" t="s">
        <v>423</v>
      </c>
      <c r="D124" s="96">
        <v>0.2</v>
      </c>
      <c r="E124" s="94" t="s">
        <v>47</v>
      </c>
      <c r="F124" s="95" t="s">
        <v>432</v>
      </c>
      <c r="G124" s="98">
        <f t="shared" si="12"/>
        <v>6.6666666666666666E-2</v>
      </c>
      <c r="H124" s="95" t="s">
        <v>425</v>
      </c>
      <c r="I124" s="94" t="s">
        <v>426</v>
      </c>
      <c r="J124" s="94" t="s">
        <v>433</v>
      </c>
      <c r="K124" s="94" t="s">
        <v>111</v>
      </c>
      <c r="L124" s="94" t="s">
        <v>40</v>
      </c>
      <c r="M124" s="94"/>
      <c r="N124" s="94" t="s">
        <v>237</v>
      </c>
      <c r="O124" s="94" t="s">
        <v>428</v>
      </c>
      <c r="P124" s="94" t="s">
        <v>429</v>
      </c>
      <c r="Q124" s="94" t="s">
        <v>430</v>
      </c>
      <c r="R124" s="94" t="s">
        <v>40</v>
      </c>
      <c r="S124" s="96">
        <v>0.3</v>
      </c>
      <c r="T124" s="94" t="s">
        <v>45</v>
      </c>
      <c r="U124" s="95" t="s">
        <v>434</v>
      </c>
      <c r="V124" s="70"/>
      <c r="W124" s="73" t="str">
        <f t="shared" si="2"/>
        <v/>
      </c>
      <c r="X124" s="73" t="str">
        <f t="shared" si="3"/>
        <v>X</v>
      </c>
      <c r="Y124" s="73" t="str">
        <f t="shared" si="4"/>
        <v/>
      </c>
      <c r="Z124" s="73" t="str">
        <f t="shared" si="5"/>
        <v/>
      </c>
      <c r="AA124" s="73" t="s">
        <v>27</v>
      </c>
      <c r="AB124" s="73" t="str">
        <f t="shared" si="6"/>
        <v>Trim 2</v>
      </c>
      <c r="AC124" s="73">
        <f t="shared" si="7"/>
        <v>0</v>
      </c>
      <c r="AD124" s="73">
        <f t="shared" si="8"/>
        <v>0</v>
      </c>
      <c r="AE124" s="73"/>
      <c r="AF124" s="73"/>
      <c r="AG124" s="73"/>
      <c r="AH124" s="73"/>
      <c r="AI124" s="73"/>
    </row>
    <row r="125" spans="1:35" ht="30">
      <c r="A125" s="94" t="s">
        <v>422</v>
      </c>
      <c r="B125" s="94">
        <v>1</v>
      </c>
      <c r="C125" s="94" t="s">
        <v>423</v>
      </c>
      <c r="D125" s="96">
        <v>0.2</v>
      </c>
      <c r="E125" s="94" t="s">
        <v>49</v>
      </c>
      <c r="F125" s="95" t="s">
        <v>435</v>
      </c>
      <c r="G125" s="98">
        <f t="shared" si="12"/>
        <v>6.6666666666666666E-2</v>
      </c>
      <c r="H125" s="95" t="s">
        <v>425</v>
      </c>
      <c r="I125" s="94" t="s">
        <v>426</v>
      </c>
      <c r="J125" s="94" t="s">
        <v>436</v>
      </c>
      <c r="K125" s="94" t="s">
        <v>39</v>
      </c>
      <c r="L125" s="94" t="s">
        <v>40</v>
      </c>
      <c r="M125" s="94"/>
      <c r="N125" s="94" t="s">
        <v>237</v>
      </c>
      <c r="O125" s="94" t="s">
        <v>428</v>
      </c>
      <c r="P125" s="94" t="s">
        <v>429</v>
      </c>
      <c r="Q125" s="94" t="s">
        <v>430</v>
      </c>
      <c r="R125" s="94" t="s">
        <v>40</v>
      </c>
      <c r="S125" s="96">
        <v>0</v>
      </c>
      <c r="T125" s="97"/>
      <c r="U125" s="95" t="s">
        <v>437</v>
      </c>
      <c r="V125" s="70"/>
      <c r="W125" s="73" t="str">
        <f t="shared" si="2"/>
        <v/>
      </c>
      <c r="X125" s="73" t="str">
        <f t="shared" si="3"/>
        <v/>
      </c>
      <c r="Y125" s="73" t="str">
        <f t="shared" si="4"/>
        <v/>
      </c>
      <c r="Z125" s="73" t="str">
        <f t="shared" si="5"/>
        <v>X</v>
      </c>
      <c r="AA125" s="73" t="s">
        <v>29</v>
      </c>
      <c r="AB125" s="73" t="str">
        <f t="shared" si="6"/>
        <v>Trim 4</v>
      </c>
      <c r="AC125" s="73">
        <f t="shared" si="7"/>
        <v>0</v>
      </c>
      <c r="AD125" s="73">
        <f t="shared" si="8"/>
        <v>0</v>
      </c>
      <c r="AE125" s="73"/>
      <c r="AF125" s="73"/>
      <c r="AG125" s="73"/>
      <c r="AH125" s="73"/>
      <c r="AI125" s="73"/>
    </row>
    <row r="126" spans="1:35" ht="75">
      <c r="A126" s="94" t="s">
        <v>422</v>
      </c>
      <c r="B126" s="94">
        <v>2</v>
      </c>
      <c r="C126" s="94" t="s">
        <v>438</v>
      </c>
      <c r="D126" s="96">
        <v>0.2</v>
      </c>
      <c r="E126" s="94" t="s">
        <v>56</v>
      </c>
      <c r="F126" s="95" t="s">
        <v>439</v>
      </c>
      <c r="G126" s="98">
        <f t="shared" ref="G126:G129" si="13">D126/2</f>
        <v>0.1</v>
      </c>
      <c r="H126" s="95" t="s">
        <v>425</v>
      </c>
      <c r="I126" s="94" t="s">
        <v>426</v>
      </c>
      <c r="J126" s="94" t="s">
        <v>440</v>
      </c>
      <c r="K126" s="94" t="s">
        <v>111</v>
      </c>
      <c r="L126" s="94" t="s">
        <v>441</v>
      </c>
      <c r="M126" s="94" t="s">
        <v>442</v>
      </c>
      <c r="N126" s="94" t="s">
        <v>251</v>
      </c>
      <c r="O126" s="94" t="s">
        <v>252</v>
      </c>
      <c r="P126" s="94" t="s">
        <v>443</v>
      </c>
      <c r="Q126" s="94" t="s">
        <v>430</v>
      </c>
      <c r="R126" s="94" t="s">
        <v>40</v>
      </c>
      <c r="S126" s="96">
        <v>0.15</v>
      </c>
      <c r="T126" s="94" t="s">
        <v>45</v>
      </c>
      <c r="U126" s="95" t="s">
        <v>444</v>
      </c>
      <c r="V126" s="70"/>
      <c r="W126" s="73" t="str">
        <f t="shared" si="2"/>
        <v/>
      </c>
      <c r="X126" s="73" t="str">
        <f t="shared" si="3"/>
        <v>X</v>
      </c>
      <c r="Y126" s="73" t="str">
        <f t="shared" si="4"/>
        <v/>
      </c>
      <c r="Z126" s="73" t="str">
        <f t="shared" si="5"/>
        <v/>
      </c>
      <c r="AA126" s="73" t="s">
        <v>27</v>
      </c>
      <c r="AB126" s="73" t="str">
        <f t="shared" si="6"/>
        <v>Trim 2</v>
      </c>
      <c r="AC126" s="73">
        <f t="shared" si="7"/>
        <v>0</v>
      </c>
      <c r="AD126" s="73">
        <f t="shared" si="8"/>
        <v>0</v>
      </c>
      <c r="AE126" s="73"/>
      <c r="AF126" s="73"/>
      <c r="AG126" s="73"/>
      <c r="AH126" s="73"/>
      <c r="AI126" s="73"/>
    </row>
    <row r="127" spans="1:35" ht="75">
      <c r="A127" s="94" t="s">
        <v>422</v>
      </c>
      <c r="B127" s="94">
        <v>2</v>
      </c>
      <c r="C127" s="94" t="s">
        <v>438</v>
      </c>
      <c r="D127" s="96">
        <v>0.2</v>
      </c>
      <c r="E127" s="94" t="s">
        <v>60</v>
      </c>
      <c r="F127" s="95" t="s">
        <v>445</v>
      </c>
      <c r="G127" s="98">
        <f t="shared" si="13"/>
        <v>0.1</v>
      </c>
      <c r="H127" s="95" t="s">
        <v>425</v>
      </c>
      <c r="I127" s="94" t="s">
        <v>426</v>
      </c>
      <c r="J127" s="94" t="s">
        <v>440</v>
      </c>
      <c r="K127" s="94" t="s">
        <v>115</v>
      </c>
      <c r="L127" s="94" t="s">
        <v>441</v>
      </c>
      <c r="M127" s="94" t="s">
        <v>442</v>
      </c>
      <c r="N127" s="94" t="s">
        <v>251</v>
      </c>
      <c r="O127" s="94" t="s">
        <v>252</v>
      </c>
      <c r="P127" s="94" t="s">
        <v>443</v>
      </c>
      <c r="Q127" s="94" t="s">
        <v>430</v>
      </c>
      <c r="R127" s="94" t="s">
        <v>40</v>
      </c>
      <c r="S127" s="96">
        <v>0</v>
      </c>
      <c r="T127" s="97"/>
      <c r="U127" s="95"/>
      <c r="V127" s="70"/>
      <c r="W127" s="73" t="str">
        <f t="shared" si="2"/>
        <v/>
      </c>
      <c r="X127" s="73" t="str">
        <f t="shared" si="3"/>
        <v/>
      </c>
      <c r="Y127" s="73" t="str">
        <f t="shared" si="4"/>
        <v>X</v>
      </c>
      <c r="Z127" s="73" t="str">
        <f t="shared" si="5"/>
        <v/>
      </c>
      <c r="AA127" s="73" t="s">
        <v>28</v>
      </c>
      <c r="AB127" s="73" t="str">
        <f t="shared" si="6"/>
        <v>Trim 3</v>
      </c>
      <c r="AC127" s="73">
        <f t="shared" si="7"/>
        <v>0</v>
      </c>
      <c r="AD127" s="73">
        <f t="shared" si="8"/>
        <v>0</v>
      </c>
      <c r="AE127" s="73"/>
      <c r="AF127" s="73"/>
      <c r="AG127" s="73"/>
      <c r="AH127" s="73"/>
      <c r="AI127" s="73"/>
    </row>
    <row r="128" spans="1:35" ht="30">
      <c r="A128" s="94" t="s">
        <v>422</v>
      </c>
      <c r="B128" s="94">
        <v>3</v>
      </c>
      <c r="C128" s="94" t="s">
        <v>446</v>
      </c>
      <c r="D128" s="96">
        <v>0.2</v>
      </c>
      <c r="E128" s="94" t="s">
        <v>68</v>
      </c>
      <c r="F128" s="95" t="s">
        <v>447</v>
      </c>
      <c r="G128" s="98">
        <f t="shared" si="13"/>
        <v>0.1</v>
      </c>
      <c r="H128" s="95" t="s">
        <v>448</v>
      </c>
      <c r="I128" s="94" t="s">
        <v>426</v>
      </c>
      <c r="J128" s="94" t="s">
        <v>449</v>
      </c>
      <c r="K128" s="94" t="s">
        <v>113</v>
      </c>
      <c r="L128" s="94" t="s">
        <v>40</v>
      </c>
      <c r="M128" s="94"/>
      <c r="N128" s="94" t="s">
        <v>237</v>
      </c>
      <c r="O128" s="94" t="s">
        <v>450</v>
      </c>
      <c r="P128" s="94" t="s">
        <v>429</v>
      </c>
      <c r="Q128" s="94" t="s">
        <v>430</v>
      </c>
      <c r="R128" s="94" t="s">
        <v>40</v>
      </c>
      <c r="S128" s="96">
        <v>0.6</v>
      </c>
      <c r="T128" s="94" t="s">
        <v>109</v>
      </c>
      <c r="U128" s="95" t="s">
        <v>451</v>
      </c>
      <c r="V128" s="70"/>
      <c r="W128" s="73" t="str">
        <f t="shared" si="2"/>
        <v/>
      </c>
      <c r="X128" s="73" t="str">
        <f t="shared" si="3"/>
        <v/>
      </c>
      <c r="Y128" s="73" t="str">
        <f t="shared" si="4"/>
        <v>X</v>
      </c>
      <c r="Z128" s="73" t="str">
        <f t="shared" si="5"/>
        <v/>
      </c>
      <c r="AA128" s="73" t="s">
        <v>28</v>
      </c>
      <c r="AB128" s="73" t="str">
        <f t="shared" si="6"/>
        <v>Trim 3</v>
      </c>
      <c r="AC128" s="73">
        <f t="shared" si="7"/>
        <v>0</v>
      </c>
      <c r="AD128" s="73">
        <f t="shared" si="8"/>
        <v>0</v>
      </c>
      <c r="AE128" s="73"/>
      <c r="AF128" s="73"/>
      <c r="AG128" s="73"/>
      <c r="AH128" s="73"/>
      <c r="AI128" s="73"/>
    </row>
    <row r="129" spans="1:35" ht="30">
      <c r="A129" s="94" t="s">
        <v>422</v>
      </c>
      <c r="B129" s="94">
        <v>3</v>
      </c>
      <c r="C129" s="94" t="s">
        <v>446</v>
      </c>
      <c r="D129" s="96">
        <v>0.2</v>
      </c>
      <c r="E129" s="94" t="s">
        <v>73</v>
      </c>
      <c r="F129" s="95" t="s">
        <v>452</v>
      </c>
      <c r="G129" s="98">
        <f t="shared" si="13"/>
        <v>0.1</v>
      </c>
      <c r="H129" s="95" t="s">
        <v>448</v>
      </c>
      <c r="I129" s="94" t="s">
        <v>426</v>
      </c>
      <c r="J129" s="94" t="s">
        <v>453</v>
      </c>
      <c r="K129" s="94" t="s">
        <v>115</v>
      </c>
      <c r="L129" s="94" t="s">
        <v>40</v>
      </c>
      <c r="M129" s="94"/>
      <c r="N129" s="94" t="s">
        <v>237</v>
      </c>
      <c r="O129" s="94" t="s">
        <v>450</v>
      </c>
      <c r="P129" s="94" t="s">
        <v>429</v>
      </c>
      <c r="Q129" s="94" t="s">
        <v>430</v>
      </c>
      <c r="R129" s="94" t="s">
        <v>40</v>
      </c>
      <c r="S129" s="96">
        <v>0</v>
      </c>
      <c r="T129" s="97"/>
      <c r="U129" s="95"/>
      <c r="V129" s="70"/>
      <c r="W129" s="73" t="str">
        <f t="shared" si="2"/>
        <v/>
      </c>
      <c r="X129" s="73" t="str">
        <f t="shared" si="3"/>
        <v/>
      </c>
      <c r="Y129" s="73" t="str">
        <f t="shared" si="4"/>
        <v>X</v>
      </c>
      <c r="Z129" s="73" t="str">
        <f t="shared" si="5"/>
        <v/>
      </c>
      <c r="AA129" s="73" t="s">
        <v>28</v>
      </c>
      <c r="AB129" s="73" t="str">
        <f t="shared" si="6"/>
        <v>Trim 3</v>
      </c>
      <c r="AC129" s="73">
        <f t="shared" si="7"/>
        <v>0</v>
      </c>
      <c r="AD129" s="73">
        <f t="shared" si="8"/>
        <v>0</v>
      </c>
      <c r="AE129" s="73"/>
      <c r="AF129" s="73"/>
      <c r="AG129" s="73"/>
      <c r="AH129" s="73"/>
      <c r="AI129" s="73"/>
    </row>
    <row r="130" spans="1:35" ht="30">
      <c r="A130" s="94" t="s">
        <v>422</v>
      </c>
      <c r="B130" s="94">
        <v>4</v>
      </c>
      <c r="C130" s="94" t="s">
        <v>454</v>
      </c>
      <c r="D130" s="96">
        <v>0.2</v>
      </c>
      <c r="E130" s="94" t="s">
        <v>79</v>
      </c>
      <c r="F130" s="95" t="s">
        <v>455</v>
      </c>
      <c r="G130" s="98">
        <f t="shared" ref="G130:G133" si="14">D130/4</f>
        <v>0.05</v>
      </c>
      <c r="H130" s="95" t="s">
        <v>456</v>
      </c>
      <c r="I130" s="94" t="s">
        <v>457</v>
      </c>
      <c r="J130" s="94" t="s">
        <v>453</v>
      </c>
      <c r="K130" s="94" t="s">
        <v>45</v>
      </c>
      <c r="L130" s="94" t="s">
        <v>40</v>
      </c>
      <c r="M130" s="94"/>
      <c r="N130" s="94" t="s">
        <v>237</v>
      </c>
      <c r="O130" s="94" t="s">
        <v>450</v>
      </c>
      <c r="P130" s="94" t="s">
        <v>429</v>
      </c>
      <c r="Q130" s="94" t="s">
        <v>430</v>
      </c>
      <c r="R130" s="94" t="s">
        <v>40</v>
      </c>
      <c r="S130" s="96">
        <v>0.05</v>
      </c>
      <c r="T130" s="94" t="s">
        <v>45</v>
      </c>
      <c r="U130" s="95" t="s">
        <v>458</v>
      </c>
      <c r="V130" s="70"/>
      <c r="W130" s="73" t="str">
        <f t="shared" si="2"/>
        <v>X</v>
      </c>
      <c r="X130" s="73" t="str">
        <f t="shared" si="3"/>
        <v/>
      </c>
      <c r="Y130" s="73" t="str">
        <f t="shared" si="4"/>
        <v/>
      </c>
      <c r="Z130" s="73" t="str">
        <f t="shared" si="5"/>
        <v/>
      </c>
      <c r="AA130" s="73" t="s">
        <v>26</v>
      </c>
      <c r="AB130" s="73" t="str">
        <f t="shared" si="6"/>
        <v>Trim 1</v>
      </c>
      <c r="AC130" s="73">
        <f t="shared" si="7"/>
        <v>1</v>
      </c>
      <c r="AD130" s="73">
        <f t="shared" si="8"/>
        <v>1</v>
      </c>
      <c r="AE130" s="73"/>
      <c r="AF130" s="73"/>
      <c r="AG130" s="73"/>
      <c r="AH130" s="73"/>
      <c r="AI130" s="73"/>
    </row>
    <row r="131" spans="1:35" ht="42.75">
      <c r="A131" s="94" t="s">
        <v>422</v>
      </c>
      <c r="B131" s="94">
        <v>4</v>
      </c>
      <c r="C131" s="94" t="s">
        <v>454</v>
      </c>
      <c r="D131" s="96">
        <v>0.2</v>
      </c>
      <c r="E131" s="94" t="s">
        <v>83</v>
      </c>
      <c r="F131" s="95" t="s">
        <v>459</v>
      </c>
      <c r="G131" s="98">
        <f t="shared" si="14"/>
        <v>0.05</v>
      </c>
      <c r="H131" s="95" t="s">
        <v>460</v>
      </c>
      <c r="I131" s="94" t="s">
        <v>461</v>
      </c>
      <c r="J131" s="94" t="s">
        <v>462</v>
      </c>
      <c r="K131" s="94" t="s">
        <v>39</v>
      </c>
      <c r="L131" s="94" t="s">
        <v>40</v>
      </c>
      <c r="M131" s="94"/>
      <c r="N131" s="94" t="s">
        <v>237</v>
      </c>
      <c r="O131" s="94" t="s">
        <v>450</v>
      </c>
      <c r="P131" s="94" t="s">
        <v>429</v>
      </c>
      <c r="Q131" s="94" t="s">
        <v>430</v>
      </c>
      <c r="R131" s="94" t="s">
        <v>40</v>
      </c>
      <c r="S131" s="96">
        <f>1/12</f>
        <v>8.3333333333333329E-2</v>
      </c>
      <c r="T131" s="94" t="s">
        <v>108</v>
      </c>
      <c r="U131" s="107" t="s">
        <v>1294</v>
      </c>
      <c r="V131" s="70"/>
      <c r="W131" s="73" t="str">
        <f t="shared" si="2"/>
        <v/>
      </c>
      <c r="X131" s="73" t="str">
        <f t="shared" si="3"/>
        <v/>
      </c>
      <c r="Y131" s="73" t="str">
        <f t="shared" si="4"/>
        <v/>
      </c>
      <c r="Z131" s="73" t="str">
        <f t="shared" si="5"/>
        <v>X</v>
      </c>
      <c r="AA131" s="73" t="s">
        <v>29</v>
      </c>
      <c r="AB131" s="73" t="str">
        <f t="shared" si="6"/>
        <v>Trim 4</v>
      </c>
      <c r="AC131" s="73">
        <f t="shared" si="7"/>
        <v>0</v>
      </c>
      <c r="AD131" s="73">
        <f t="shared" si="8"/>
        <v>0</v>
      </c>
      <c r="AE131" s="73"/>
      <c r="AF131" s="73"/>
      <c r="AG131" s="73"/>
      <c r="AH131" s="73"/>
      <c r="AI131" s="73"/>
    </row>
    <row r="132" spans="1:35" ht="30">
      <c r="A132" s="94" t="s">
        <v>422</v>
      </c>
      <c r="B132" s="94">
        <v>4</v>
      </c>
      <c r="C132" s="94" t="s">
        <v>454</v>
      </c>
      <c r="D132" s="96">
        <v>0.2</v>
      </c>
      <c r="E132" s="94" t="s">
        <v>86</v>
      </c>
      <c r="F132" s="95" t="s">
        <v>463</v>
      </c>
      <c r="G132" s="98">
        <f t="shared" si="14"/>
        <v>0.05</v>
      </c>
      <c r="H132" s="95" t="s">
        <v>448</v>
      </c>
      <c r="I132" s="94" t="s">
        <v>461</v>
      </c>
      <c r="J132" s="94" t="s">
        <v>464</v>
      </c>
      <c r="K132" s="94" t="s">
        <v>39</v>
      </c>
      <c r="L132" s="94" t="s">
        <v>40</v>
      </c>
      <c r="M132" s="94"/>
      <c r="N132" s="94" t="s">
        <v>237</v>
      </c>
      <c r="O132" s="94" t="s">
        <v>450</v>
      </c>
      <c r="P132" s="94" t="s">
        <v>429</v>
      </c>
      <c r="Q132" s="94" t="s">
        <v>430</v>
      </c>
      <c r="R132" s="94" t="s">
        <v>40</v>
      </c>
      <c r="S132" s="96">
        <v>0</v>
      </c>
      <c r="T132" s="97"/>
      <c r="U132" s="95"/>
      <c r="V132" s="70"/>
      <c r="W132" s="73" t="str">
        <f t="shared" si="2"/>
        <v/>
      </c>
      <c r="X132" s="73" t="str">
        <f t="shared" si="3"/>
        <v/>
      </c>
      <c r="Y132" s="73" t="str">
        <f t="shared" si="4"/>
        <v/>
      </c>
      <c r="Z132" s="73" t="str">
        <f t="shared" si="5"/>
        <v>X</v>
      </c>
      <c r="AA132" s="73" t="s">
        <v>29</v>
      </c>
      <c r="AB132" s="73" t="str">
        <f t="shared" si="6"/>
        <v>Trim 4</v>
      </c>
      <c r="AC132" s="73">
        <f t="shared" si="7"/>
        <v>0</v>
      </c>
      <c r="AD132" s="73">
        <f t="shared" si="8"/>
        <v>0</v>
      </c>
      <c r="AE132" s="73"/>
      <c r="AF132" s="73"/>
      <c r="AG132" s="73"/>
      <c r="AH132" s="73"/>
      <c r="AI132" s="73"/>
    </row>
    <row r="133" spans="1:35" ht="42.75">
      <c r="A133" s="94" t="s">
        <v>422</v>
      </c>
      <c r="B133" s="94">
        <v>4</v>
      </c>
      <c r="C133" s="94" t="s">
        <v>454</v>
      </c>
      <c r="D133" s="96">
        <v>0.2</v>
      </c>
      <c r="E133" s="94" t="s">
        <v>89</v>
      </c>
      <c r="F133" s="95" t="s">
        <v>465</v>
      </c>
      <c r="G133" s="98">
        <f t="shared" si="14"/>
        <v>0.05</v>
      </c>
      <c r="H133" s="95" t="s">
        <v>466</v>
      </c>
      <c r="I133" s="94" t="s">
        <v>461</v>
      </c>
      <c r="J133" s="94" t="s">
        <v>467</v>
      </c>
      <c r="K133" s="94" t="s">
        <v>39</v>
      </c>
      <c r="L133" s="94" t="s">
        <v>40</v>
      </c>
      <c r="M133" s="94"/>
      <c r="N133" s="94" t="s">
        <v>237</v>
      </c>
      <c r="O133" s="94" t="s">
        <v>450</v>
      </c>
      <c r="P133" s="94" t="s">
        <v>429</v>
      </c>
      <c r="Q133" s="94" t="s">
        <v>430</v>
      </c>
      <c r="R133" s="94" t="s">
        <v>40</v>
      </c>
      <c r="S133" s="96">
        <f>4/12</f>
        <v>0.33333333333333331</v>
      </c>
      <c r="T133" s="94" t="s">
        <v>109</v>
      </c>
      <c r="U133" s="107" t="s">
        <v>1295</v>
      </c>
      <c r="V133" s="70"/>
      <c r="W133" s="73" t="str">
        <f t="shared" si="2"/>
        <v/>
      </c>
      <c r="X133" s="73" t="str">
        <f t="shared" si="3"/>
        <v/>
      </c>
      <c r="Y133" s="73" t="str">
        <f t="shared" si="4"/>
        <v/>
      </c>
      <c r="Z133" s="73" t="str">
        <f t="shared" si="5"/>
        <v>X</v>
      </c>
      <c r="AA133" s="73" t="s">
        <v>29</v>
      </c>
      <c r="AB133" s="73" t="str">
        <f t="shared" si="6"/>
        <v>Trim 4</v>
      </c>
      <c r="AC133" s="73">
        <f t="shared" si="7"/>
        <v>0</v>
      </c>
      <c r="AD133" s="73">
        <f t="shared" si="8"/>
        <v>0</v>
      </c>
      <c r="AE133" s="73"/>
      <c r="AF133" s="73"/>
      <c r="AG133" s="73"/>
      <c r="AH133" s="73"/>
      <c r="AI133" s="73"/>
    </row>
    <row r="134" spans="1:35" ht="45">
      <c r="A134" s="94" t="s">
        <v>422</v>
      </c>
      <c r="B134" s="94">
        <v>5</v>
      </c>
      <c r="C134" s="94" t="s">
        <v>468</v>
      </c>
      <c r="D134" s="96">
        <v>0.2</v>
      </c>
      <c r="E134" s="94" t="s">
        <v>469</v>
      </c>
      <c r="F134" s="95" t="s">
        <v>470</v>
      </c>
      <c r="G134" s="98">
        <f t="shared" ref="G134:G136" si="15">D134/3</f>
        <v>6.6666666666666666E-2</v>
      </c>
      <c r="H134" s="95" t="s">
        <v>471</v>
      </c>
      <c r="I134" s="94" t="s">
        <v>472</v>
      </c>
      <c r="J134" s="94" t="s">
        <v>473</v>
      </c>
      <c r="K134" s="94" t="s">
        <v>39</v>
      </c>
      <c r="L134" s="94" t="s">
        <v>40</v>
      </c>
      <c r="M134" s="94"/>
      <c r="N134" s="94" t="s">
        <v>237</v>
      </c>
      <c r="O134" s="94" t="s">
        <v>474</v>
      </c>
      <c r="P134" s="94" t="s">
        <v>100</v>
      </c>
      <c r="Q134" s="94" t="s">
        <v>475</v>
      </c>
      <c r="R134" s="94" t="s">
        <v>40</v>
      </c>
      <c r="S134" s="96">
        <v>0.25</v>
      </c>
      <c r="T134" s="94" t="s">
        <v>45</v>
      </c>
      <c r="U134" s="107" t="s">
        <v>1296</v>
      </c>
      <c r="V134" s="70"/>
      <c r="W134" s="73" t="str">
        <f t="shared" si="2"/>
        <v/>
      </c>
      <c r="X134" s="73" t="str">
        <f t="shared" si="3"/>
        <v/>
      </c>
      <c r="Y134" s="73" t="str">
        <f t="shared" si="4"/>
        <v/>
      </c>
      <c r="Z134" s="73" t="str">
        <f t="shared" si="5"/>
        <v>X</v>
      </c>
      <c r="AA134" s="73" t="s">
        <v>29</v>
      </c>
      <c r="AB134" s="73" t="str">
        <f t="shared" si="6"/>
        <v>Trim 4</v>
      </c>
      <c r="AC134" s="73">
        <f t="shared" si="7"/>
        <v>0</v>
      </c>
      <c r="AD134" s="73">
        <f t="shared" si="8"/>
        <v>0</v>
      </c>
      <c r="AE134" s="73"/>
      <c r="AF134" s="73"/>
      <c r="AG134" s="73"/>
      <c r="AH134" s="73"/>
      <c r="AI134" s="73"/>
    </row>
    <row r="135" spans="1:35" ht="45">
      <c r="A135" s="94" t="s">
        <v>422</v>
      </c>
      <c r="B135" s="94">
        <v>5</v>
      </c>
      <c r="C135" s="94" t="s">
        <v>468</v>
      </c>
      <c r="D135" s="96">
        <v>0.2</v>
      </c>
      <c r="E135" s="94" t="s">
        <v>476</v>
      </c>
      <c r="F135" s="95" t="s">
        <v>477</v>
      </c>
      <c r="G135" s="98">
        <f t="shared" si="15"/>
        <v>6.6666666666666666E-2</v>
      </c>
      <c r="H135" s="95" t="s">
        <v>478</v>
      </c>
      <c r="I135" s="94" t="s">
        <v>479</v>
      </c>
      <c r="J135" s="94" t="s">
        <v>480</v>
      </c>
      <c r="K135" s="94" t="s">
        <v>113</v>
      </c>
      <c r="L135" s="94" t="s">
        <v>40</v>
      </c>
      <c r="M135" s="94"/>
      <c r="N135" s="94" t="s">
        <v>64</v>
      </c>
      <c r="O135" s="94" t="s">
        <v>182</v>
      </c>
      <c r="P135" s="94" t="s">
        <v>100</v>
      </c>
      <c r="Q135" s="94" t="s">
        <v>475</v>
      </c>
      <c r="R135" s="94" t="s">
        <v>40</v>
      </c>
      <c r="S135" s="96">
        <v>0.5</v>
      </c>
      <c r="T135" s="94" t="s">
        <v>45</v>
      </c>
      <c r="U135" s="95" t="s">
        <v>481</v>
      </c>
      <c r="V135" s="70"/>
      <c r="W135" s="73" t="str">
        <f t="shared" si="2"/>
        <v/>
      </c>
      <c r="X135" s="73" t="str">
        <f t="shared" si="3"/>
        <v/>
      </c>
      <c r="Y135" s="73" t="str">
        <f t="shared" si="4"/>
        <v>X</v>
      </c>
      <c r="Z135" s="73" t="str">
        <f t="shared" si="5"/>
        <v/>
      </c>
      <c r="AA135" s="73" t="s">
        <v>28</v>
      </c>
      <c r="AB135" s="73" t="str">
        <f t="shared" si="6"/>
        <v>Trim 3</v>
      </c>
      <c r="AC135" s="73">
        <f t="shared" si="7"/>
        <v>0</v>
      </c>
      <c r="AD135" s="73">
        <f t="shared" si="8"/>
        <v>0</v>
      </c>
      <c r="AE135" s="73"/>
      <c r="AF135" s="73"/>
      <c r="AG135" s="73"/>
      <c r="AH135" s="73"/>
      <c r="AI135" s="73"/>
    </row>
    <row r="136" spans="1:35" ht="45">
      <c r="A136" s="94" t="s">
        <v>422</v>
      </c>
      <c r="B136" s="94">
        <v>5</v>
      </c>
      <c r="C136" s="94" t="s">
        <v>468</v>
      </c>
      <c r="D136" s="96">
        <v>0.2</v>
      </c>
      <c r="E136" s="94" t="s">
        <v>482</v>
      </c>
      <c r="F136" s="95" t="s">
        <v>483</v>
      </c>
      <c r="G136" s="98">
        <f t="shared" si="15"/>
        <v>6.6666666666666666E-2</v>
      </c>
      <c r="H136" s="95" t="s">
        <v>484</v>
      </c>
      <c r="I136" s="94" t="s">
        <v>485</v>
      </c>
      <c r="J136" s="94" t="s">
        <v>480</v>
      </c>
      <c r="K136" s="94" t="s">
        <v>113</v>
      </c>
      <c r="L136" s="94" t="s">
        <v>40</v>
      </c>
      <c r="M136" s="94"/>
      <c r="N136" s="94" t="s">
        <v>251</v>
      </c>
      <c r="O136" s="94" t="s">
        <v>252</v>
      </c>
      <c r="P136" s="94" t="s">
        <v>100</v>
      </c>
      <c r="Q136" s="94" t="s">
        <v>475</v>
      </c>
      <c r="R136" s="94" t="s">
        <v>40</v>
      </c>
      <c r="S136" s="96">
        <v>0.5</v>
      </c>
      <c r="T136" s="94" t="s">
        <v>45</v>
      </c>
      <c r="U136" s="95" t="s">
        <v>486</v>
      </c>
      <c r="V136" s="70"/>
      <c r="W136" s="73" t="str">
        <f t="shared" si="2"/>
        <v/>
      </c>
      <c r="X136" s="73" t="str">
        <f t="shared" si="3"/>
        <v/>
      </c>
      <c r="Y136" s="73" t="str">
        <f t="shared" si="4"/>
        <v>X</v>
      </c>
      <c r="Z136" s="73" t="str">
        <f t="shared" si="5"/>
        <v/>
      </c>
      <c r="AA136" s="73" t="s">
        <v>28</v>
      </c>
      <c r="AB136" s="73" t="str">
        <f t="shared" si="6"/>
        <v>Trim 3</v>
      </c>
      <c r="AC136" s="73">
        <f t="shared" si="7"/>
        <v>0</v>
      </c>
      <c r="AD136" s="73">
        <f t="shared" si="8"/>
        <v>0</v>
      </c>
      <c r="AE136" s="73"/>
      <c r="AF136" s="73"/>
      <c r="AG136" s="73"/>
      <c r="AH136" s="73"/>
      <c r="AI136" s="73"/>
    </row>
    <row r="137" spans="1:35" ht="90">
      <c r="A137" s="94" t="s">
        <v>487</v>
      </c>
      <c r="B137" s="94">
        <v>1</v>
      </c>
      <c r="C137" s="95" t="s">
        <v>488</v>
      </c>
      <c r="D137" s="96">
        <v>0.6</v>
      </c>
      <c r="E137" s="94" t="s">
        <v>34</v>
      </c>
      <c r="F137" s="95" t="s">
        <v>489</v>
      </c>
      <c r="G137" s="98">
        <v>0.09</v>
      </c>
      <c r="H137" s="95" t="s">
        <v>490</v>
      </c>
      <c r="I137" s="94" t="s">
        <v>491</v>
      </c>
      <c r="J137" s="100" t="s">
        <v>492</v>
      </c>
      <c r="K137" s="94" t="s">
        <v>108</v>
      </c>
      <c r="L137" s="94" t="s">
        <v>493</v>
      </c>
      <c r="M137" s="94" t="s">
        <v>494</v>
      </c>
      <c r="N137" s="94" t="s">
        <v>41</v>
      </c>
      <c r="O137" s="94" t="s">
        <v>42</v>
      </c>
      <c r="P137" s="94" t="s">
        <v>495</v>
      </c>
      <c r="Q137" s="94" t="s">
        <v>496</v>
      </c>
      <c r="R137" s="94" t="s">
        <v>40</v>
      </c>
      <c r="S137" s="98">
        <v>0.09</v>
      </c>
      <c r="T137" s="94" t="s">
        <v>45</v>
      </c>
      <c r="U137" s="94"/>
      <c r="V137" s="70"/>
      <c r="W137" s="73" t="str">
        <f t="shared" si="2"/>
        <v>X</v>
      </c>
      <c r="X137" s="73" t="str">
        <f t="shared" si="3"/>
        <v/>
      </c>
      <c r="Y137" s="73" t="str">
        <f t="shared" si="4"/>
        <v/>
      </c>
      <c r="Z137" s="73" t="str">
        <f t="shared" si="5"/>
        <v/>
      </c>
      <c r="AA137" s="73" t="s">
        <v>26</v>
      </c>
      <c r="AB137" s="73" t="str">
        <f t="shared" si="6"/>
        <v>Trim 1</v>
      </c>
      <c r="AC137" s="73">
        <f t="shared" si="7"/>
        <v>1</v>
      </c>
      <c r="AD137" s="73">
        <f t="shared" si="8"/>
        <v>1</v>
      </c>
      <c r="AE137" s="73"/>
      <c r="AF137" s="73"/>
      <c r="AG137" s="73"/>
      <c r="AH137" s="73"/>
      <c r="AI137" s="73"/>
    </row>
    <row r="138" spans="1:35" ht="90">
      <c r="A138" s="94" t="s">
        <v>487</v>
      </c>
      <c r="B138" s="94">
        <v>1</v>
      </c>
      <c r="C138" s="95" t="s">
        <v>488</v>
      </c>
      <c r="D138" s="96">
        <v>0.6</v>
      </c>
      <c r="E138" s="94" t="s">
        <v>47</v>
      </c>
      <c r="F138" s="95" t="s">
        <v>497</v>
      </c>
      <c r="G138" s="98">
        <v>0.27</v>
      </c>
      <c r="H138" s="95" t="s">
        <v>498</v>
      </c>
      <c r="I138" s="94" t="s">
        <v>491</v>
      </c>
      <c r="J138" s="100" t="s">
        <v>492</v>
      </c>
      <c r="K138" s="94" t="s">
        <v>133</v>
      </c>
      <c r="L138" s="94" t="s">
        <v>493</v>
      </c>
      <c r="M138" s="94" t="s">
        <v>494</v>
      </c>
      <c r="N138" s="94" t="s">
        <v>41</v>
      </c>
      <c r="O138" s="94" t="s">
        <v>42</v>
      </c>
      <c r="P138" s="94" t="s">
        <v>495</v>
      </c>
      <c r="Q138" s="94" t="s">
        <v>496</v>
      </c>
      <c r="R138" s="94" t="s">
        <v>40</v>
      </c>
      <c r="S138" s="98"/>
      <c r="T138" s="94"/>
      <c r="U138" s="94"/>
      <c r="V138" s="70"/>
      <c r="W138" s="73" t="str">
        <f t="shared" si="2"/>
        <v/>
      </c>
      <c r="X138" s="73" t="str">
        <f t="shared" si="3"/>
        <v/>
      </c>
      <c r="Y138" s="73" t="str">
        <f t="shared" si="4"/>
        <v>X</v>
      </c>
      <c r="Z138" s="73" t="str">
        <f t="shared" si="5"/>
        <v/>
      </c>
      <c r="AA138" s="73" t="s">
        <v>27</v>
      </c>
      <c r="AB138" s="73" t="str">
        <f t="shared" si="6"/>
        <v>Trim 3</v>
      </c>
      <c r="AC138" s="73">
        <f t="shared" si="7"/>
        <v>0</v>
      </c>
      <c r="AD138" s="73">
        <f t="shared" si="8"/>
        <v>0</v>
      </c>
      <c r="AE138" s="73"/>
      <c r="AF138" s="73"/>
      <c r="AG138" s="73"/>
      <c r="AH138" s="73"/>
      <c r="AI138" s="73"/>
    </row>
    <row r="139" spans="1:35" ht="90">
      <c r="A139" s="94" t="s">
        <v>487</v>
      </c>
      <c r="B139" s="94">
        <v>1</v>
      </c>
      <c r="C139" s="95" t="s">
        <v>488</v>
      </c>
      <c r="D139" s="96">
        <v>0.6</v>
      </c>
      <c r="E139" s="94" t="s">
        <v>49</v>
      </c>
      <c r="F139" s="95" t="s">
        <v>499</v>
      </c>
      <c r="G139" s="98">
        <v>0.12</v>
      </c>
      <c r="H139" s="95" t="s">
        <v>500</v>
      </c>
      <c r="I139" s="94" t="s">
        <v>491</v>
      </c>
      <c r="J139" s="100" t="s">
        <v>492</v>
      </c>
      <c r="K139" s="94" t="s">
        <v>138</v>
      </c>
      <c r="L139" s="94" t="s">
        <v>493</v>
      </c>
      <c r="M139" s="94" t="s">
        <v>494</v>
      </c>
      <c r="N139" s="94" t="s">
        <v>41</v>
      </c>
      <c r="O139" s="94" t="s">
        <v>42</v>
      </c>
      <c r="P139" s="94" t="s">
        <v>495</v>
      </c>
      <c r="Q139" s="94" t="s">
        <v>496</v>
      </c>
      <c r="R139" s="94" t="s">
        <v>40</v>
      </c>
      <c r="S139" s="98"/>
      <c r="T139" s="94"/>
      <c r="U139" s="94"/>
      <c r="V139" s="70"/>
      <c r="W139" s="73" t="str">
        <f t="shared" si="2"/>
        <v/>
      </c>
      <c r="X139" s="73" t="str">
        <f t="shared" si="3"/>
        <v/>
      </c>
      <c r="Y139" s="73" t="str">
        <f t="shared" si="4"/>
        <v/>
      </c>
      <c r="Z139" s="73" t="str">
        <f t="shared" si="5"/>
        <v>X</v>
      </c>
      <c r="AA139" s="73" t="s">
        <v>28</v>
      </c>
      <c r="AB139" s="73" t="str">
        <f t="shared" si="6"/>
        <v>Trim 4</v>
      </c>
      <c r="AC139" s="73">
        <f t="shared" si="7"/>
        <v>0</v>
      </c>
      <c r="AD139" s="73">
        <f t="shared" si="8"/>
        <v>0</v>
      </c>
      <c r="AE139" s="73"/>
      <c r="AF139" s="73"/>
      <c r="AG139" s="73"/>
      <c r="AH139" s="73"/>
      <c r="AI139" s="73"/>
    </row>
    <row r="140" spans="1:35" ht="90">
      <c r="A140" s="94" t="s">
        <v>487</v>
      </c>
      <c r="B140" s="94">
        <v>1</v>
      </c>
      <c r="C140" s="95" t="s">
        <v>488</v>
      </c>
      <c r="D140" s="96">
        <v>0.6</v>
      </c>
      <c r="E140" s="94" t="s">
        <v>52</v>
      </c>
      <c r="F140" s="95" t="s">
        <v>501</v>
      </c>
      <c r="G140" s="98">
        <v>0.12</v>
      </c>
      <c r="H140" s="95" t="s">
        <v>502</v>
      </c>
      <c r="I140" s="94" t="s">
        <v>491</v>
      </c>
      <c r="J140" s="100" t="s">
        <v>492</v>
      </c>
      <c r="K140" s="94" t="s">
        <v>39</v>
      </c>
      <c r="L140" s="94" t="s">
        <v>493</v>
      </c>
      <c r="M140" s="94" t="s">
        <v>494</v>
      </c>
      <c r="N140" s="94" t="s">
        <v>41</v>
      </c>
      <c r="O140" s="94" t="s">
        <v>42</v>
      </c>
      <c r="P140" s="94" t="s">
        <v>495</v>
      </c>
      <c r="Q140" s="94" t="s">
        <v>496</v>
      </c>
      <c r="R140" s="94" t="s">
        <v>40</v>
      </c>
      <c r="S140" s="98"/>
      <c r="T140" s="94"/>
      <c r="U140" s="94"/>
      <c r="V140" s="70"/>
      <c r="W140" s="73" t="str">
        <f t="shared" si="2"/>
        <v/>
      </c>
      <c r="X140" s="73" t="str">
        <f t="shared" si="3"/>
        <v/>
      </c>
      <c r="Y140" s="73" t="str">
        <f t="shared" si="4"/>
        <v/>
      </c>
      <c r="Z140" s="73" t="str">
        <f t="shared" si="5"/>
        <v>X</v>
      </c>
      <c r="AA140" s="73" t="s">
        <v>29</v>
      </c>
      <c r="AB140" s="73" t="str">
        <f t="shared" si="6"/>
        <v>Trim 4</v>
      </c>
      <c r="AC140" s="73">
        <f t="shared" si="7"/>
        <v>0</v>
      </c>
      <c r="AD140" s="73">
        <f t="shared" si="8"/>
        <v>0</v>
      </c>
      <c r="AE140" s="73"/>
      <c r="AF140" s="73"/>
      <c r="AG140" s="73"/>
      <c r="AH140" s="73"/>
      <c r="AI140" s="73"/>
    </row>
    <row r="141" spans="1:35" ht="90">
      <c r="A141" s="94" t="s">
        <v>487</v>
      </c>
      <c r="B141" s="94">
        <v>2</v>
      </c>
      <c r="C141" s="95" t="s">
        <v>503</v>
      </c>
      <c r="D141" s="96">
        <v>0.1</v>
      </c>
      <c r="E141" s="94" t="s">
        <v>56</v>
      </c>
      <c r="F141" s="95" t="s">
        <v>503</v>
      </c>
      <c r="G141" s="98">
        <v>2.5000000000000001E-2</v>
      </c>
      <c r="H141" s="95" t="s">
        <v>504</v>
      </c>
      <c r="I141" s="94" t="s">
        <v>505</v>
      </c>
      <c r="J141" s="94" t="s">
        <v>506</v>
      </c>
      <c r="K141" s="94" t="s">
        <v>45</v>
      </c>
      <c r="L141" s="94" t="s">
        <v>507</v>
      </c>
      <c r="M141" s="94" t="s">
        <v>494</v>
      </c>
      <c r="N141" s="94" t="s">
        <v>41</v>
      </c>
      <c r="O141" s="94" t="s">
        <v>42</v>
      </c>
      <c r="P141" s="94" t="s">
        <v>429</v>
      </c>
      <c r="Q141" s="94" t="s">
        <v>496</v>
      </c>
      <c r="R141" s="94" t="s">
        <v>40</v>
      </c>
      <c r="S141" s="98">
        <v>2.5000000000000001E-2</v>
      </c>
      <c r="T141" s="94" t="s">
        <v>45</v>
      </c>
      <c r="U141" s="94"/>
      <c r="V141" s="70"/>
      <c r="W141" s="73" t="str">
        <f t="shared" si="2"/>
        <v>X</v>
      </c>
      <c r="X141" s="73" t="str">
        <f t="shared" si="3"/>
        <v/>
      </c>
      <c r="Y141" s="73" t="str">
        <f t="shared" si="4"/>
        <v/>
      </c>
      <c r="Z141" s="73" t="str">
        <f t="shared" si="5"/>
        <v/>
      </c>
      <c r="AA141" s="73" t="s">
        <v>26</v>
      </c>
      <c r="AB141" s="73" t="str">
        <f t="shared" si="6"/>
        <v>Trim 1</v>
      </c>
      <c r="AC141" s="73">
        <f t="shared" si="7"/>
        <v>1</v>
      </c>
      <c r="AD141" s="73">
        <f t="shared" si="8"/>
        <v>1</v>
      </c>
      <c r="AE141" s="73"/>
      <c r="AF141" s="73"/>
      <c r="AG141" s="73"/>
      <c r="AH141" s="73"/>
      <c r="AI141" s="73"/>
    </row>
    <row r="142" spans="1:35" ht="90">
      <c r="A142" s="94" t="s">
        <v>487</v>
      </c>
      <c r="B142" s="94">
        <v>2</v>
      </c>
      <c r="C142" s="95" t="s">
        <v>503</v>
      </c>
      <c r="D142" s="96">
        <v>0.1</v>
      </c>
      <c r="E142" s="94" t="s">
        <v>60</v>
      </c>
      <c r="F142" s="95" t="s">
        <v>503</v>
      </c>
      <c r="G142" s="98">
        <v>2.5000000000000001E-2</v>
      </c>
      <c r="H142" s="95" t="s">
        <v>508</v>
      </c>
      <c r="I142" s="94" t="s">
        <v>505</v>
      </c>
      <c r="J142" s="94" t="s">
        <v>506</v>
      </c>
      <c r="K142" s="94" t="s">
        <v>111</v>
      </c>
      <c r="L142" s="94" t="s">
        <v>507</v>
      </c>
      <c r="M142" s="94" t="s">
        <v>494</v>
      </c>
      <c r="N142" s="94" t="s">
        <v>41</v>
      </c>
      <c r="O142" s="94" t="s">
        <v>42</v>
      </c>
      <c r="P142" s="94" t="s">
        <v>429</v>
      </c>
      <c r="Q142" s="94" t="s">
        <v>496</v>
      </c>
      <c r="R142" s="94" t="s">
        <v>40</v>
      </c>
      <c r="S142" s="98"/>
      <c r="T142" s="94"/>
      <c r="U142" s="94"/>
      <c r="V142" s="70"/>
      <c r="W142" s="73" t="str">
        <f t="shared" si="2"/>
        <v/>
      </c>
      <c r="X142" s="73" t="str">
        <f t="shared" si="3"/>
        <v>X</v>
      </c>
      <c r="Y142" s="73" t="str">
        <f t="shared" si="4"/>
        <v/>
      </c>
      <c r="Z142" s="73" t="str">
        <f t="shared" si="5"/>
        <v/>
      </c>
      <c r="AA142" s="73" t="s">
        <v>27</v>
      </c>
      <c r="AB142" s="73" t="str">
        <f t="shared" si="6"/>
        <v>Trim 2</v>
      </c>
      <c r="AC142" s="73">
        <f t="shared" si="7"/>
        <v>0</v>
      </c>
      <c r="AD142" s="73">
        <f t="shared" si="8"/>
        <v>0</v>
      </c>
      <c r="AE142" s="73"/>
      <c r="AF142" s="73"/>
      <c r="AG142" s="73"/>
      <c r="AH142" s="73"/>
      <c r="AI142" s="73"/>
    </row>
    <row r="143" spans="1:35" ht="90">
      <c r="A143" s="94" t="s">
        <v>487</v>
      </c>
      <c r="B143" s="94">
        <v>2</v>
      </c>
      <c r="C143" s="95" t="s">
        <v>503</v>
      </c>
      <c r="D143" s="96">
        <v>0.1</v>
      </c>
      <c r="E143" s="94" t="s">
        <v>63</v>
      </c>
      <c r="F143" s="95" t="s">
        <v>503</v>
      </c>
      <c r="G143" s="98">
        <v>2.5000000000000001E-2</v>
      </c>
      <c r="H143" s="95" t="s">
        <v>509</v>
      </c>
      <c r="I143" s="94" t="s">
        <v>505</v>
      </c>
      <c r="J143" s="94" t="s">
        <v>506</v>
      </c>
      <c r="K143" s="94" t="s">
        <v>115</v>
      </c>
      <c r="L143" s="94" t="s">
        <v>507</v>
      </c>
      <c r="M143" s="94" t="s">
        <v>494</v>
      </c>
      <c r="N143" s="94" t="s">
        <v>41</v>
      </c>
      <c r="O143" s="94" t="s">
        <v>42</v>
      </c>
      <c r="P143" s="94" t="s">
        <v>429</v>
      </c>
      <c r="Q143" s="94" t="s">
        <v>496</v>
      </c>
      <c r="R143" s="94" t="s">
        <v>40</v>
      </c>
      <c r="S143" s="98"/>
      <c r="T143" s="94"/>
      <c r="U143" s="94"/>
      <c r="V143" s="70"/>
      <c r="W143" s="73" t="str">
        <f t="shared" si="2"/>
        <v/>
      </c>
      <c r="X143" s="73" t="str">
        <f t="shared" si="3"/>
        <v/>
      </c>
      <c r="Y143" s="73" t="str">
        <f t="shared" si="4"/>
        <v>X</v>
      </c>
      <c r="Z143" s="73" t="str">
        <f t="shared" si="5"/>
        <v/>
      </c>
      <c r="AA143" s="73" t="s">
        <v>28</v>
      </c>
      <c r="AB143" s="73" t="str">
        <f t="shared" si="6"/>
        <v>Trim 3</v>
      </c>
      <c r="AC143" s="73">
        <f t="shared" si="7"/>
        <v>0</v>
      </c>
      <c r="AD143" s="73">
        <f t="shared" si="8"/>
        <v>0</v>
      </c>
      <c r="AE143" s="73"/>
      <c r="AF143" s="73"/>
      <c r="AG143" s="73"/>
      <c r="AH143" s="73"/>
      <c r="AI143" s="73"/>
    </row>
    <row r="144" spans="1:35" ht="90">
      <c r="A144" s="94" t="s">
        <v>487</v>
      </c>
      <c r="B144" s="94">
        <v>2</v>
      </c>
      <c r="C144" s="95" t="s">
        <v>503</v>
      </c>
      <c r="D144" s="96">
        <v>0.1</v>
      </c>
      <c r="E144" s="94" t="s">
        <v>110</v>
      </c>
      <c r="F144" s="95" t="s">
        <v>503</v>
      </c>
      <c r="G144" s="98">
        <v>2.5000000000000001E-2</v>
      </c>
      <c r="H144" s="95" t="s">
        <v>510</v>
      </c>
      <c r="I144" s="94" t="s">
        <v>505</v>
      </c>
      <c r="J144" s="94" t="s">
        <v>506</v>
      </c>
      <c r="K144" s="94" t="s">
        <v>39</v>
      </c>
      <c r="L144" s="94" t="s">
        <v>507</v>
      </c>
      <c r="M144" s="94" t="s">
        <v>494</v>
      </c>
      <c r="N144" s="94" t="s">
        <v>41</v>
      </c>
      <c r="O144" s="94" t="s">
        <v>42</v>
      </c>
      <c r="P144" s="94" t="s">
        <v>429</v>
      </c>
      <c r="Q144" s="94" t="s">
        <v>496</v>
      </c>
      <c r="R144" s="94" t="s">
        <v>40</v>
      </c>
      <c r="S144" s="98"/>
      <c r="T144" s="94"/>
      <c r="U144" s="94"/>
      <c r="V144" s="70"/>
      <c r="W144" s="73" t="str">
        <f t="shared" si="2"/>
        <v/>
      </c>
      <c r="X144" s="73" t="str">
        <f t="shared" si="3"/>
        <v/>
      </c>
      <c r="Y144" s="73" t="str">
        <f t="shared" si="4"/>
        <v/>
      </c>
      <c r="Z144" s="73" t="str">
        <f t="shared" si="5"/>
        <v>X</v>
      </c>
      <c r="AA144" s="73" t="s">
        <v>29</v>
      </c>
      <c r="AB144" s="73" t="str">
        <f t="shared" si="6"/>
        <v>Trim 4</v>
      </c>
      <c r="AC144" s="73">
        <f t="shared" si="7"/>
        <v>0</v>
      </c>
      <c r="AD144" s="73">
        <f t="shared" si="8"/>
        <v>0</v>
      </c>
      <c r="AE144" s="73"/>
      <c r="AF144" s="73"/>
      <c r="AG144" s="73"/>
      <c r="AH144" s="73"/>
      <c r="AI144" s="73"/>
    </row>
    <row r="145" spans="1:35" ht="90">
      <c r="A145" s="94" t="s">
        <v>487</v>
      </c>
      <c r="B145" s="94">
        <v>3</v>
      </c>
      <c r="C145" s="95" t="s">
        <v>511</v>
      </c>
      <c r="D145" s="96">
        <v>0.2</v>
      </c>
      <c r="E145" s="94" t="s">
        <v>68</v>
      </c>
      <c r="F145" s="95" t="s">
        <v>512</v>
      </c>
      <c r="G145" s="98">
        <v>0.03</v>
      </c>
      <c r="H145" s="95" t="s">
        <v>513</v>
      </c>
      <c r="I145" s="94" t="s">
        <v>491</v>
      </c>
      <c r="J145" s="94" t="s">
        <v>514</v>
      </c>
      <c r="K145" s="94" t="s">
        <v>133</v>
      </c>
      <c r="L145" s="94" t="s">
        <v>515</v>
      </c>
      <c r="M145" s="94" t="s">
        <v>494</v>
      </c>
      <c r="N145" s="94" t="s">
        <v>41</v>
      </c>
      <c r="O145" s="94" t="s">
        <v>42</v>
      </c>
      <c r="P145" s="94" t="s">
        <v>443</v>
      </c>
      <c r="Q145" s="94" t="s">
        <v>496</v>
      </c>
      <c r="R145" s="94" t="s">
        <v>40</v>
      </c>
      <c r="S145" s="98"/>
      <c r="T145" s="94"/>
      <c r="U145" s="94"/>
      <c r="V145" s="70"/>
      <c r="W145" s="73" t="str">
        <f t="shared" si="2"/>
        <v/>
      </c>
      <c r="X145" s="73" t="str">
        <f t="shared" si="3"/>
        <v/>
      </c>
      <c r="Y145" s="73" t="str">
        <f t="shared" si="4"/>
        <v>X</v>
      </c>
      <c r="Z145" s="73" t="str">
        <f t="shared" si="5"/>
        <v/>
      </c>
      <c r="AA145" s="73" t="s">
        <v>28</v>
      </c>
      <c r="AB145" s="73" t="str">
        <f t="shared" si="6"/>
        <v>Trim 3</v>
      </c>
      <c r="AC145" s="73">
        <f t="shared" si="7"/>
        <v>0</v>
      </c>
      <c r="AD145" s="73">
        <f t="shared" si="8"/>
        <v>0</v>
      </c>
      <c r="AE145" s="73"/>
      <c r="AF145" s="73"/>
      <c r="AG145" s="73"/>
      <c r="AH145" s="73"/>
      <c r="AI145" s="73"/>
    </row>
    <row r="146" spans="1:35" ht="90">
      <c r="A146" s="94" t="s">
        <v>487</v>
      </c>
      <c r="B146" s="94">
        <v>3</v>
      </c>
      <c r="C146" s="95" t="s">
        <v>511</v>
      </c>
      <c r="D146" s="96">
        <v>0.2</v>
      </c>
      <c r="E146" s="94" t="s">
        <v>73</v>
      </c>
      <c r="F146" s="95" t="s">
        <v>516</v>
      </c>
      <c r="G146" s="98">
        <v>0.02</v>
      </c>
      <c r="H146" s="95" t="s">
        <v>517</v>
      </c>
      <c r="I146" s="94" t="s">
        <v>491</v>
      </c>
      <c r="J146" s="94" t="s">
        <v>514</v>
      </c>
      <c r="K146" s="94" t="s">
        <v>109</v>
      </c>
      <c r="L146" s="94" t="s">
        <v>515</v>
      </c>
      <c r="M146" s="94" t="s">
        <v>494</v>
      </c>
      <c r="N146" s="94" t="s">
        <v>41</v>
      </c>
      <c r="O146" s="94" t="s">
        <v>42</v>
      </c>
      <c r="P146" s="94" t="s">
        <v>443</v>
      </c>
      <c r="Q146" s="94" t="s">
        <v>496</v>
      </c>
      <c r="R146" s="94" t="s">
        <v>40</v>
      </c>
      <c r="S146" s="98"/>
      <c r="T146" s="94"/>
      <c r="U146" s="94"/>
      <c r="V146" s="70"/>
      <c r="W146" s="73" t="str">
        <f t="shared" si="2"/>
        <v/>
      </c>
      <c r="X146" s="73" t="str">
        <f t="shared" si="3"/>
        <v>X</v>
      </c>
      <c r="Y146" s="73" t="str">
        <f t="shared" si="4"/>
        <v/>
      </c>
      <c r="Z146" s="73" t="str">
        <f t="shared" si="5"/>
        <v/>
      </c>
      <c r="AA146" s="73" t="s">
        <v>27</v>
      </c>
      <c r="AB146" s="73" t="str">
        <f t="shared" si="6"/>
        <v>Trim 2</v>
      </c>
      <c r="AC146" s="73">
        <f t="shared" si="7"/>
        <v>0</v>
      </c>
      <c r="AD146" s="73">
        <f t="shared" si="8"/>
        <v>0</v>
      </c>
      <c r="AE146" s="73"/>
      <c r="AF146" s="73"/>
      <c r="AG146" s="73"/>
      <c r="AH146" s="73"/>
      <c r="AI146" s="73"/>
    </row>
    <row r="147" spans="1:35" ht="90">
      <c r="A147" s="94" t="s">
        <v>487</v>
      </c>
      <c r="B147" s="94">
        <v>3</v>
      </c>
      <c r="C147" s="95" t="s">
        <v>511</v>
      </c>
      <c r="D147" s="96">
        <v>0.2</v>
      </c>
      <c r="E147" s="94" t="s">
        <v>75</v>
      </c>
      <c r="F147" s="95" t="s">
        <v>518</v>
      </c>
      <c r="G147" s="98">
        <v>0.03</v>
      </c>
      <c r="H147" s="95" t="s">
        <v>519</v>
      </c>
      <c r="I147" s="94" t="s">
        <v>520</v>
      </c>
      <c r="J147" s="94" t="s">
        <v>521</v>
      </c>
      <c r="K147" s="94" t="s">
        <v>39</v>
      </c>
      <c r="L147" s="94" t="s">
        <v>507</v>
      </c>
      <c r="M147" s="94" t="s">
        <v>494</v>
      </c>
      <c r="N147" s="94" t="s">
        <v>41</v>
      </c>
      <c r="O147" s="94" t="s">
        <v>42</v>
      </c>
      <c r="P147" s="94" t="s">
        <v>495</v>
      </c>
      <c r="Q147" s="94" t="s">
        <v>496</v>
      </c>
      <c r="R147" s="94" t="s">
        <v>40</v>
      </c>
      <c r="S147" s="98"/>
      <c r="T147" s="94"/>
      <c r="U147" s="94"/>
      <c r="V147" s="70"/>
      <c r="W147" s="73" t="str">
        <f t="shared" si="2"/>
        <v/>
      </c>
      <c r="X147" s="73" t="str">
        <f t="shared" si="3"/>
        <v/>
      </c>
      <c r="Y147" s="73" t="str">
        <f t="shared" si="4"/>
        <v/>
      </c>
      <c r="Z147" s="73" t="str">
        <f t="shared" si="5"/>
        <v>X</v>
      </c>
      <c r="AA147" s="73" t="s">
        <v>29</v>
      </c>
      <c r="AB147" s="73" t="str">
        <f t="shared" si="6"/>
        <v>Trim 4</v>
      </c>
      <c r="AC147" s="73">
        <f t="shared" si="7"/>
        <v>0</v>
      </c>
      <c r="AD147" s="73">
        <f t="shared" si="8"/>
        <v>0</v>
      </c>
      <c r="AE147" s="73"/>
      <c r="AF147" s="73"/>
      <c r="AG147" s="73"/>
      <c r="AH147" s="73"/>
      <c r="AI147" s="73"/>
    </row>
    <row r="148" spans="1:35" ht="114">
      <c r="A148" s="94" t="s">
        <v>487</v>
      </c>
      <c r="B148" s="94">
        <v>3</v>
      </c>
      <c r="C148" s="95" t="s">
        <v>511</v>
      </c>
      <c r="D148" s="96">
        <v>0.2</v>
      </c>
      <c r="E148" s="94" t="s">
        <v>287</v>
      </c>
      <c r="F148" s="104" t="s">
        <v>522</v>
      </c>
      <c r="G148" s="98">
        <v>0.05</v>
      </c>
      <c r="H148" s="106" t="s">
        <v>523</v>
      </c>
      <c r="I148" s="94" t="s">
        <v>491</v>
      </c>
      <c r="J148" s="94" t="s">
        <v>524</v>
      </c>
      <c r="K148" s="94" t="s">
        <v>117</v>
      </c>
      <c r="L148" s="94" t="s">
        <v>525</v>
      </c>
      <c r="M148" s="94" t="s">
        <v>494</v>
      </c>
      <c r="N148" s="94" t="s">
        <v>41</v>
      </c>
      <c r="O148" s="94" t="s">
        <v>42</v>
      </c>
      <c r="P148" s="94" t="s">
        <v>495</v>
      </c>
      <c r="Q148" s="94" t="s">
        <v>496</v>
      </c>
      <c r="R148" s="94" t="s">
        <v>40</v>
      </c>
      <c r="S148" s="98"/>
      <c r="T148" s="94"/>
      <c r="U148" s="94"/>
      <c r="V148" s="70"/>
      <c r="W148" s="73" t="str">
        <f t="shared" si="2"/>
        <v/>
      </c>
      <c r="X148" s="73" t="str">
        <f t="shared" si="3"/>
        <v/>
      </c>
      <c r="Y148" s="73" t="str">
        <f t="shared" si="4"/>
        <v/>
      </c>
      <c r="Z148" s="73" t="str">
        <f t="shared" si="5"/>
        <v>X</v>
      </c>
      <c r="AA148" s="73" t="s">
        <v>28</v>
      </c>
      <c r="AB148" s="73" t="str">
        <f t="shared" si="6"/>
        <v>Trim 4</v>
      </c>
      <c r="AC148" s="73">
        <f t="shared" si="7"/>
        <v>0</v>
      </c>
      <c r="AD148" s="73">
        <f t="shared" si="8"/>
        <v>0</v>
      </c>
      <c r="AE148" s="73"/>
      <c r="AF148" s="73"/>
      <c r="AG148" s="73"/>
      <c r="AH148" s="73"/>
      <c r="AI148" s="73"/>
    </row>
    <row r="149" spans="1:35" ht="90">
      <c r="A149" s="94" t="s">
        <v>487</v>
      </c>
      <c r="B149" s="94">
        <v>3</v>
      </c>
      <c r="C149" s="95" t="s">
        <v>511</v>
      </c>
      <c r="D149" s="96">
        <v>0.2</v>
      </c>
      <c r="E149" s="94" t="s">
        <v>290</v>
      </c>
      <c r="F149" s="95" t="s">
        <v>526</v>
      </c>
      <c r="G149" s="98">
        <v>0.03</v>
      </c>
      <c r="H149" s="95" t="s">
        <v>527</v>
      </c>
      <c r="I149" s="94" t="s">
        <v>491</v>
      </c>
      <c r="J149" s="94" t="s">
        <v>528</v>
      </c>
      <c r="K149" s="94" t="s">
        <v>115</v>
      </c>
      <c r="L149" s="94" t="s">
        <v>515</v>
      </c>
      <c r="M149" s="94" t="s">
        <v>494</v>
      </c>
      <c r="N149" s="94" t="s">
        <v>41</v>
      </c>
      <c r="O149" s="94" t="s">
        <v>42</v>
      </c>
      <c r="P149" s="94" t="s">
        <v>495</v>
      </c>
      <c r="Q149" s="94" t="s">
        <v>496</v>
      </c>
      <c r="R149" s="94" t="s">
        <v>40</v>
      </c>
      <c r="S149" s="98"/>
      <c r="T149" s="94"/>
      <c r="U149" s="94"/>
      <c r="V149" s="70"/>
      <c r="W149" s="73" t="str">
        <f t="shared" si="2"/>
        <v/>
      </c>
      <c r="X149" s="73" t="str">
        <f t="shared" si="3"/>
        <v/>
      </c>
      <c r="Y149" s="73" t="str">
        <f t="shared" si="4"/>
        <v>X</v>
      </c>
      <c r="Z149" s="73" t="str">
        <f t="shared" si="5"/>
        <v/>
      </c>
      <c r="AA149" s="73" t="s">
        <v>28</v>
      </c>
      <c r="AB149" s="73" t="str">
        <f t="shared" si="6"/>
        <v>Trim 3</v>
      </c>
      <c r="AC149" s="73">
        <f t="shared" si="7"/>
        <v>0</v>
      </c>
      <c r="AD149" s="73">
        <f t="shared" si="8"/>
        <v>0</v>
      </c>
      <c r="AE149" s="73"/>
      <c r="AF149" s="73"/>
      <c r="AG149" s="73"/>
      <c r="AH149" s="73"/>
      <c r="AI149" s="73"/>
    </row>
    <row r="150" spans="1:35" ht="90">
      <c r="A150" s="94" t="s">
        <v>487</v>
      </c>
      <c r="B150" s="94">
        <v>3</v>
      </c>
      <c r="C150" s="95" t="s">
        <v>529</v>
      </c>
      <c r="D150" s="96">
        <v>0.2</v>
      </c>
      <c r="E150" s="94" t="s">
        <v>293</v>
      </c>
      <c r="F150" s="95" t="s">
        <v>530</v>
      </c>
      <c r="G150" s="98">
        <v>0.02</v>
      </c>
      <c r="H150" s="95" t="s">
        <v>531</v>
      </c>
      <c r="I150" s="94" t="s">
        <v>491</v>
      </c>
      <c r="J150" s="94" t="s">
        <v>532</v>
      </c>
      <c r="K150" s="94" t="s">
        <v>109</v>
      </c>
      <c r="L150" s="94" t="s">
        <v>515</v>
      </c>
      <c r="M150" s="94" t="s">
        <v>494</v>
      </c>
      <c r="N150" s="94" t="s">
        <v>41</v>
      </c>
      <c r="O150" s="94" t="s">
        <v>42</v>
      </c>
      <c r="P150" s="94" t="s">
        <v>495</v>
      </c>
      <c r="Q150" s="94" t="s">
        <v>496</v>
      </c>
      <c r="R150" s="94" t="s">
        <v>40</v>
      </c>
      <c r="S150" s="98"/>
      <c r="T150" s="94"/>
      <c r="U150" s="94"/>
      <c r="V150" s="70"/>
      <c r="W150" s="73" t="str">
        <f t="shared" si="2"/>
        <v/>
      </c>
      <c r="X150" s="73" t="str">
        <f t="shared" si="3"/>
        <v>X</v>
      </c>
      <c r="Y150" s="73" t="str">
        <f t="shared" si="4"/>
        <v/>
      </c>
      <c r="Z150" s="73" t="str">
        <f t="shared" si="5"/>
        <v/>
      </c>
      <c r="AA150" s="73" t="s">
        <v>27</v>
      </c>
      <c r="AB150" s="73" t="str">
        <f t="shared" si="6"/>
        <v>Trim 2</v>
      </c>
      <c r="AC150" s="73">
        <f t="shared" si="7"/>
        <v>0</v>
      </c>
      <c r="AD150" s="73">
        <f t="shared" si="8"/>
        <v>0</v>
      </c>
      <c r="AE150" s="73"/>
      <c r="AF150" s="73"/>
      <c r="AG150" s="73"/>
      <c r="AH150" s="73"/>
      <c r="AI150" s="73"/>
    </row>
    <row r="151" spans="1:35" ht="255">
      <c r="A151" s="94" t="s">
        <v>487</v>
      </c>
      <c r="B151" s="94">
        <v>3</v>
      </c>
      <c r="C151" s="95" t="s">
        <v>533</v>
      </c>
      <c r="D151" s="96">
        <v>0.2</v>
      </c>
      <c r="E151" s="94" t="s">
        <v>296</v>
      </c>
      <c r="F151" s="95" t="s">
        <v>534</v>
      </c>
      <c r="G151" s="98">
        <v>0.02</v>
      </c>
      <c r="H151" s="95" t="s">
        <v>535</v>
      </c>
      <c r="I151" s="94" t="s">
        <v>491</v>
      </c>
      <c r="J151" s="94" t="s">
        <v>536</v>
      </c>
      <c r="K151" s="94" t="s">
        <v>39</v>
      </c>
      <c r="L151" s="94" t="s">
        <v>515</v>
      </c>
      <c r="M151" s="94" t="s">
        <v>494</v>
      </c>
      <c r="N151" s="94" t="s">
        <v>41</v>
      </c>
      <c r="O151" s="94" t="s">
        <v>42</v>
      </c>
      <c r="P151" s="94" t="s">
        <v>495</v>
      </c>
      <c r="Q151" s="94" t="s">
        <v>496</v>
      </c>
      <c r="R151" s="94" t="s">
        <v>40</v>
      </c>
      <c r="S151" s="98"/>
      <c r="T151" s="94"/>
      <c r="U151" s="94"/>
      <c r="V151" s="70"/>
      <c r="W151" s="73" t="str">
        <f t="shared" si="2"/>
        <v/>
      </c>
      <c r="X151" s="73" t="str">
        <f t="shared" si="3"/>
        <v/>
      </c>
      <c r="Y151" s="73" t="str">
        <f t="shared" si="4"/>
        <v/>
      </c>
      <c r="Z151" s="73" t="str">
        <f t="shared" si="5"/>
        <v>X</v>
      </c>
      <c r="AA151" s="73" t="s">
        <v>29</v>
      </c>
      <c r="AB151" s="73" t="str">
        <f t="shared" si="6"/>
        <v>Trim 4</v>
      </c>
      <c r="AC151" s="73">
        <f t="shared" si="7"/>
        <v>0</v>
      </c>
      <c r="AD151" s="73">
        <f t="shared" si="8"/>
        <v>0</v>
      </c>
      <c r="AE151" s="73"/>
      <c r="AF151" s="73"/>
      <c r="AG151" s="73"/>
      <c r="AH151" s="73"/>
      <c r="AI151" s="73"/>
    </row>
    <row r="152" spans="1:35" ht="90">
      <c r="A152" s="94" t="s">
        <v>487</v>
      </c>
      <c r="B152" s="94">
        <v>4</v>
      </c>
      <c r="C152" s="95" t="s">
        <v>537</v>
      </c>
      <c r="D152" s="96">
        <v>0.1</v>
      </c>
      <c r="E152" s="94" t="s">
        <v>79</v>
      </c>
      <c r="F152" s="95" t="s">
        <v>538</v>
      </c>
      <c r="G152" s="98">
        <v>0.01</v>
      </c>
      <c r="H152" s="95" t="s">
        <v>539</v>
      </c>
      <c r="I152" s="94" t="s">
        <v>540</v>
      </c>
      <c r="J152" s="94" t="s">
        <v>524</v>
      </c>
      <c r="K152" s="94" t="s">
        <v>45</v>
      </c>
      <c r="L152" s="94" t="s">
        <v>493</v>
      </c>
      <c r="M152" s="94" t="s">
        <v>494</v>
      </c>
      <c r="N152" s="94" t="s">
        <v>41</v>
      </c>
      <c r="O152" s="94" t="s">
        <v>42</v>
      </c>
      <c r="P152" s="94" t="s">
        <v>429</v>
      </c>
      <c r="Q152" s="94" t="s">
        <v>496</v>
      </c>
      <c r="R152" s="94" t="s">
        <v>40</v>
      </c>
      <c r="S152" s="98">
        <v>0.01</v>
      </c>
      <c r="T152" s="94" t="s">
        <v>45</v>
      </c>
      <c r="U152" s="94"/>
      <c r="V152" s="70"/>
      <c r="W152" s="73" t="str">
        <f t="shared" si="2"/>
        <v>X</v>
      </c>
      <c r="X152" s="73" t="str">
        <f t="shared" si="3"/>
        <v/>
      </c>
      <c r="Y152" s="73" t="str">
        <f t="shared" si="4"/>
        <v/>
      </c>
      <c r="Z152" s="73" t="str">
        <f t="shared" si="5"/>
        <v/>
      </c>
      <c r="AA152" s="73" t="s">
        <v>26</v>
      </c>
      <c r="AB152" s="73" t="str">
        <f t="shared" si="6"/>
        <v>Trim 1</v>
      </c>
      <c r="AC152" s="73">
        <f t="shared" si="7"/>
        <v>1</v>
      </c>
      <c r="AD152" s="73">
        <f t="shared" si="8"/>
        <v>1</v>
      </c>
      <c r="AE152" s="73"/>
      <c r="AF152" s="73"/>
      <c r="AG152" s="73"/>
      <c r="AH152" s="73"/>
      <c r="AI152" s="73"/>
    </row>
    <row r="153" spans="1:35" ht="90">
      <c r="A153" s="94" t="s">
        <v>487</v>
      </c>
      <c r="B153" s="94">
        <v>4</v>
      </c>
      <c r="C153" s="95" t="s">
        <v>537</v>
      </c>
      <c r="D153" s="96">
        <v>0.1</v>
      </c>
      <c r="E153" s="94" t="s">
        <v>83</v>
      </c>
      <c r="F153" s="95" t="s">
        <v>538</v>
      </c>
      <c r="G153" s="98">
        <v>0.01</v>
      </c>
      <c r="H153" s="95" t="s">
        <v>541</v>
      </c>
      <c r="I153" s="94" t="s">
        <v>540</v>
      </c>
      <c r="J153" s="94" t="s">
        <v>532</v>
      </c>
      <c r="K153" s="94" t="s">
        <v>115</v>
      </c>
      <c r="L153" s="94" t="s">
        <v>493</v>
      </c>
      <c r="M153" s="94" t="s">
        <v>494</v>
      </c>
      <c r="N153" s="94" t="s">
        <v>41</v>
      </c>
      <c r="O153" s="94" t="s">
        <v>42</v>
      </c>
      <c r="P153" s="94" t="s">
        <v>429</v>
      </c>
      <c r="Q153" s="94" t="s">
        <v>496</v>
      </c>
      <c r="R153" s="94" t="s">
        <v>40</v>
      </c>
      <c r="S153" s="98"/>
      <c r="T153" s="94"/>
      <c r="U153" s="94"/>
      <c r="V153" s="70"/>
      <c r="W153" s="73" t="str">
        <f t="shared" si="2"/>
        <v/>
      </c>
      <c r="X153" s="73" t="str">
        <f t="shared" si="3"/>
        <v/>
      </c>
      <c r="Y153" s="73" t="str">
        <f t="shared" si="4"/>
        <v>X</v>
      </c>
      <c r="Z153" s="73" t="str">
        <f t="shared" si="5"/>
        <v/>
      </c>
      <c r="AA153" s="73" t="s">
        <v>28</v>
      </c>
      <c r="AB153" s="73" t="str">
        <f t="shared" si="6"/>
        <v>Trim 3</v>
      </c>
      <c r="AC153" s="73">
        <f t="shared" si="7"/>
        <v>0</v>
      </c>
      <c r="AD153" s="73">
        <f t="shared" si="8"/>
        <v>0</v>
      </c>
      <c r="AE153" s="73"/>
      <c r="AF153" s="73"/>
      <c r="AG153" s="73"/>
      <c r="AH153" s="73"/>
      <c r="AI153" s="73"/>
    </row>
    <row r="154" spans="1:35" ht="90">
      <c r="A154" s="94" t="s">
        <v>487</v>
      </c>
      <c r="B154" s="94">
        <v>4</v>
      </c>
      <c r="C154" s="95" t="s">
        <v>537</v>
      </c>
      <c r="D154" s="96">
        <v>0.1</v>
      </c>
      <c r="E154" s="94" t="s">
        <v>86</v>
      </c>
      <c r="F154" s="95" t="s">
        <v>538</v>
      </c>
      <c r="G154" s="98">
        <v>0.01</v>
      </c>
      <c r="H154" s="95" t="s">
        <v>542</v>
      </c>
      <c r="I154" s="94" t="s">
        <v>540</v>
      </c>
      <c r="J154" s="94" t="s">
        <v>543</v>
      </c>
      <c r="K154" s="94" t="s">
        <v>45</v>
      </c>
      <c r="L154" s="94" t="s">
        <v>493</v>
      </c>
      <c r="M154" s="94" t="s">
        <v>494</v>
      </c>
      <c r="N154" s="94" t="s">
        <v>41</v>
      </c>
      <c r="O154" s="94" t="s">
        <v>42</v>
      </c>
      <c r="P154" s="94" t="s">
        <v>429</v>
      </c>
      <c r="Q154" s="94" t="s">
        <v>496</v>
      </c>
      <c r="R154" s="94" t="s">
        <v>40</v>
      </c>
      <c r="S154" s="98">
        <v>0.01</v>
      </c>
      <c r="T154" s="94" t="s">
        <v>45</v>
      </c>
      <c r="U154" s="94"/>
      <c r="V154" s="70"/>
      <c r="W154" s="73" t="str">
        <f t="shared" si="2"/>
        <v>X</v>
      </c>
      <c r="X154" s="73" t="str">
        <f t="shared" si="3"/>
        <v/>
      </c>
      <c r="Y154" s="73" t="str">
        <f t="shared" si="4"/>
        <v/>
      </c>
      <c r="Z154" s="73" t="str">
        <f t="shared" si="5"/>
        <v/>
      </c>
      <c r="AA154" s="73" t="s">
        <v>26</v>
      </c>
      <c r="AB154" s="73" t="str">
        <f t="shared" si="6"/>
        <v>Trim 1</v>
      </c>
      <c r="AC154" s="73">
        <f t="shared" si="7"/>
        <v>1</v>
      </c>
      <c r="AD154" s="73">
        <f t="shared" si="8"/>
        <v>1</v>
      </c>
      <c r="AE154" s="73"/>
      <c r="AF154" s="73"/>
      <c r="AG154" s="73"/>
      <c r="AH154" s="73"/>
      <c r="AI154" s="73"/>
    </row>
    <row r="155" spans="1:35" ht="90">
      <c r="A155" s="94" t="s">
        <v>487</v>
      </c>
      <c r="B155" s="94">
        <v>4</v>
      </c>
      <c r="C155" s="95" t="s">
        <v>537</v>
      </c>
      <c r="D155" s="96">
        <v>0.1</v>
      </c>
      <c r="E155" s="94" t="s">
        <v>89</v>
      </c>
      <c r="F155" s="95" t="s">
        <v>538</v>
      </c>
      <c r="G155" s="98">
        <v>0.01</v>
      </c>
      <c r="H155" s="95" t="s">
        <v>544</v>
      </c>
      <c r="I155" s="94" t="s">
        <v>540</v>
      </c>
      <c r="J155" s="94" t="s">
        <v>543</v>
      </c>
      <c r="K155" s="94" t="s">
        <v>39</v>
      </c>
      <c r="L155" s="94" t="s">
        <v>493</v>
      </c>
      <c r="M155" s="94" t="s">
        <v>494</v>
      </c>
      <c r="N155" s="94" t="s">
        <v>41</v>
      </c>
      <c r="O155" s="94" t="s">
        <v>42</v>
      </c>
      <c r="P155" s="94" t="s">
        <v>429</v>
      </c>
      <c r="Q155" s="94" t="s">
        <v>496</v>
      </c>
      <c r="R155" s="94" t="s">
        <v>40</v>
      </c>
      <c r="S155" s="98"/>
      <c r="T155" s="94"/>
      <c r="U155" s="94"/>
      <c r="V155" s="70"/>
      <c r="W155" s="73" t="str">
        <f t="shared" si="2"/>
        <v/>
      </c>
      <c r="X155" s="73" t="str">
        <f t="shared" si="3"/>
        <v/>
      </c>
      <c r="Y155" s="73" t="str">
        <f t="shared" si="4"/>
        <v/>
      </c>
      <c r="Z155" s="73" t="str">
        <f t="shared" si="5"/>
        <v>X</v>
      </c>
      <c r="AA155" s="73" t="s">
        <v>29</v>
      </c>
      <c r="AB155" s="73" t="str">
        <f t="shared" si="6"/>
        <v>Trim 4</v>
      </c>
      <c r="AC155" s="73">
        <f t="shared" si="7"/>
        <v>0</v>
      </c>
      <c r="AD155" s="73">
        <f t="shared" si="8"/>
        <v>0</v>
      </c>
      <c r="AE155" s="73"/>
      <c r="AF155" s="73"/>
      <c r="AG155" s="73"/>
      <c r="AH155" s="73"/>
      <c r="AI155" s="73"/>
    </row>
    <row r="156" spans="1:35" ht="90">
      <c r="A156" s="94" t="s">
        <v>487</v>
      </c>
      <c r="B156" s="94">
        <v>4</v>
      </c>
      <c r="C156" s="95" t="s">
        <v>537</v>
      </c>
      <c r="D156" s="96">
        <v>0.1</v>
      </c>
      <c r="E156" s="94" t="s">
        <v>321</v>
      </c>
      <c r="F156" s="95" t="s">
        <v>545</v>
      </c>
      <c r="G156" s="98">
        <v>0.02</v>
      </c>
      <c r="H156" s="95" t="s">
        <v>546</v>
      </c>
      <c r="I156" s="94" t="s">
        <v>547</v>
      </c>
      <c r="J156" s="94" t="s">
        <v>548</v>
      </c>
      <c r="K156" s="94" t="s">
        <v>39</v>
      </c>
      <c r="L156" s="94" t="s">
        <v>493</v>
      </c>
      <c r="M156" s="94" t="s">
        <v>494</v>
      </c>
      <c r="N156" s="94" t="s">
        <v>41</v>
      </c>
      <c r="O156" s="94" t="s">
        <v>450</v>
      </c>
      <c r="P156" s="94" t="s">
        <v>429</v>
      </c>
      <c r="Q156" s="94" t="s">
        <v>496</v>
      </c>
      <c r="R156" s="94" t="s">
        <v>40</v>
      </c>
      <c r="S156" s="98"/>
      <c r="T156" s="94"/>
      <c r="U156" s="94"/>
      <c r="V156" s="70"/>
      <c r="W156" s="73" t="str">
        <f t="shared" si="2"/>
        <v/>
      </c>
      <c r="X156" s="73" t="str">
        <f t="shared" si="3"/>
        <v/>
      </c>
      <c r="Y156" s="73" t="str">
        <f t="shared" si="4"/>
        <v/>
      </c>
      <c r="Z156" s="73" t="str">
        <f t="shared" si="5"/>
        <v>X</v>
      </c>
      <c r="AA156" s="73" t="s">
        <v>29</v>
      </c>
      <c r="AB156" s="73" t="str">
        <f t="shared" si="6"/>
        <v>Trim 4</v>
      </c>
      <c r="AC156" s="73">
        <f t="shared" si="7"/>
        <v>0</v>
      </c>
      <c r="AD156" s="73">
        <f t="shared" si="8"/>
        <v>0</v>
      </c>
      <c r="AE156" s="73"/>
      <c r="AF156" s="73"/>
      <c r="AG156" s="73"/>
      <c r="AH156" s="73"/>
      <c r="AI156" s="73"/>
    </row>
    <row r="157" spans="1:35" ht="90">
      <c r="A157" s="94" t="s">
        <v>487</v>
      </c>
      <c r="B157" s="94">
        <v>4</v>
      </c>
      <c r="C157" s="95" t="s">
        <v>537</v>
      </c>
      <c r="D157" s="96">
        <v>0.1</v>
      </c>
      <c r="E157" s="94" t="s">
        <v>324</v>
      </c>
      <c r="F157" s="95" t="s">
        <v>549</v>
      </c>
      <c r="G157" s="98">
        <v>0.02</v>
      </c>
      <c r="H157" s="95" t="s">
        <v>550</v>
      </c>
      <c r="I157" s="94" t="s">
        <v>547</v>
      </c>
      <c r="J157" s="94" t="s">
        <v>548</v>
      </c>
      <c r="K157" s="94" t="s">
        <v>39</v>
      </c>
      <c r="L157" s="94" t="s">
        <v>493</v>
      </c>
      <c r="M157" s="94" t="s">
        <v>494</v>
      </c>
      <c r="N157" s="94" t="s">
        <v>41</v>
      </c>
      <c r="O157" s="94" t="s">
        <v>450</v>
      </c>
      <c r="P157" s="94" t="s">
        <v>429</v>
      </c>
      <c r="Q157" s="94" t="s">
        <v>496</v>
      </c>
      <c r="R157" s="94" t="s">
        <v>40</v>
      </c>
      <c r="S157" s="98"/>
      <c r="T157" s="94"/>
      <c r="U157" s="94"/>
      <c r="V157" s="70"/>
      <c r="W157" s="73" t="str">
        <f t="shared" si="2"/>
        <v/>
      </c>
      <c r="X157" s="73" t="str">
        <f t="shared" si="3"/>
        <v/>
      </c>
      <c r="Y157" s="73" t="str">
        <f t="shared" si="4"/>
        <v/>
      </c>
      <c r="Z157" s="73" t="str">
        <f t="shared" si="5"/>
        <v>X</v>
      </c>
      <c r="AA157" s="73" t="s">
        <v>29</v>
      </c>
      <c r="AB157" s="73" t="str">
        <f t="shared" si="6"/>
        <v>Trim 4</v>
      </c>
      <c r="AC157" s="73">
        <f t="shared" si="7"/>
        <v>0</v>
      </c>
      <c r="AD157" s="73">
        <f t="shared" si="8"/>
        <v>0</v>
      </c>
      <c r="AE157" s="73"/>
      <c r="AF157" s="73"/>
      <c r="AG157" s="73"/>
      <c r="AH157" s="73"/>
      <c r="AI157" s="73"/>
    </row>
    <row r="158" spans="1:35" ht="90">
      <c r="A158" s="94" t="s">
        <v>487</v>
      </c>
      <c r="B158" s="94">
        <v>4</v>
      </c>
      <c r="C158" s="95" t="s">
        <v>537</v>
      </c>
      <c r="D158" s="96">
        <v>0.1</v>
      </c>
      <c r="E158" s="94" t="s">
        <v>551</v>
      </c>
      <c r="F158" s="95" t="s">
        <v>552</v>
      </c>
      <c r="G158" s="98">
        <v>0.02</v>
      </c>
      <c r="H158" s="95" t="s">
        <v>553</v>
      </c>
      <c r="I158" s="94" t="s">
        <v>547</v>
      </c>
      <c r="J158" s="94" t="s">
        <v>548</v>
      </c>
      <c r="K158" s="94" t="s">
        <v>39</v>
      </c>
      <c r="L158" s="94" t="s">
        <v>493</v>
      </c>
      <c r="M158" s="94" t="s">
        <v>494</v>
      </c>
      <c r="N158" s="94" t="s">
        <v>41</v>
      </c>
      <c r="O158" s="94" t="s">
        <v>450</v>
      </c>
      <c r="P158" s="94" t="s">
        <v>429</v>
      </c>
      <c r="Q158" s="94" t="s">
        <v>496</v>
      </c>
      <c r="R158" s="94" t="s">
        <v>40</v>
      </c>
      <c r="S158" s="98"/>
      <c r="T158" s="94"/>
      <c r="U158" s="94"/>
      <c r="V158" s="70"/>
      <c r="W158" s="73" t="str">
        <f t="shared" si="2"/>
        <v/>
      </c>
      <c r="X158" s="73" t="str">
        <f t="shared" si="3"/>
        <v/>
      </c>
      <c r="Y158" s="73" t="str">
        <f t="shared" si="4"/>
        <v/>
      </c>
      <c r="Z158" s="73" t="str">
        <f t="shared" si="5"/>
        <v>X</v>
      </c>
      <c r="AA158" s="73" t="s">
        <v>29</v>
      </c>
      <c r="AB158" s="73" t="str">
        <f t="shared" si="6"/>
        <v>Trim 4</v>
      </c>
      <c r="AC158" s="73">
        <f t="shared" si="7"/>
        <v>0</v>
      </c>
      <c r="AD158" s="73">
        <f t="shared" si="8"/>
        <v>0</v>
      </c>
      <c r="AE158" s="73"/>
      <c r="AF158" s="73"/>
      <c r="AG158" s="73"/>
      <c r="AH158" s="73"/>
      <c r="AI158" s="73"/>
    </row>
    <row r="159" spans="1:35" ht="60">
      <c r="A159" s="94" t="s">
        <v>554</v>
      </c>
      <c r="B159" s="94">
        <v>1</v>
      </c>
      <c r="C159" s="94" t="s">
        <v>555</v>
      </c>
      <c r="D159" s="96">
        <v>0.51</v>
      </c>
      <c r="E159" s="94" t="s">
        <v>34</v>
      </c>
      <c r="F159" s="95" t="s">
        <v>556</v>
      </c>
      <c r="G159" s="98">
        <f t="shared" ref="G159:G191" si="16">D159/33</f>
        <v>1.5454545454545455E-2</v>
      </c>
      <c r="H159" s="95" t="s">
        <v>557</v>
      </c>
      <c r="I159" s="94" t="s">
        <v>558</v>
      </c>
      <c r="J159" s="94" t="s">
        <v>559</v>
      </c>
      <c r="K159" s="94" t="s">
        <v>97</v>
      </c>
      <c r="L159" s="94" t="s">
        <v>40</v>
      </c>
      <c r="M159" s="94" t="s">
        <v>40</v>
      </c>
      <c r="N159" s="94" t="s">
        <v>560</v>
      </c>
      <c r="O159" s="94" t="s">
        <v>561</v>
      </c>
      <c r="P159" s="94" t="s">
        <v>100</v>
      </c>
      <c r="Q159" s="94" t="s">
        <v>562</v>
      </c>
      <c r="R159" s="94" t="s">
        <v>563</v>
      </c>
      <c r="S159" s="98">
        <v>1.7299999999999999E-2</v>
      </c>
      <c r="T159" s="94" t="s">
        <v>97</v>
      </c>
      <c r="U159" s="94"/>
      <c r="V159" s="70"/>
      <c r="W159" s="73" t="str">
        <f t="shared" si="2"/>
        <v>X</v>
      </c>
      <c r="X159" s="73" t="str">
        <f t="shared" si="3"/>
        <v/>
      </c>
      <c r="Y159" s="73" t="str">
        <f t="shared" si="4"/>
        <v/>
      </c>
      <c r="Z159" s="73" t="str">
        <f t="shared" si="5"/>
        <v/>
      </c>
      <c r="AA159" s="73" t="s">
        <v>26</v>
      </c>
      <c r="AB159" s="73" t="str">
        <f t="shared" si="6"/>
        <v>Trim 1</v>
      </c>
      <c r="AC159" s="73">
        <f t="shared" si="7"/>
        <v>0</v>
      </c>
      <c r="AD159" s="73">
        <f t="shared" si="8"/>
        <v>1</v>
      </c>
      <c r="AE159" s="73"/>
      <c r="AF159" s="73"/>
      <c r="AG159" s="73"/>
      <c r="AH159" s="73"/>
      <c r="AI159" s="73"/>
    </row>
    <row r="160" spans="1:35" ht="60">
      <c r="A160" s="94" t="s">
        <v>554</v>
      </c>
      <c r="B160" s="94">
        <v>1</v>
      </c>
      <c r="C160" s="94" t="s">
        <v>555</v>
      </c>
      <c r="D160" s="96">
        <v>0.51</v>
      </c>
      <c r="E160" s="94" t="s">
        <v>47</v>
      </c>
      <c r="F160" s="95" t="s">
        <v>564</v>
      </c>
      <c r="G160" s="98">
        <f t="shared" si="16"/>
        <v>1.5454545454545455E-2</v>
      </c>
      <c r="H160" s="95" t="s">
        <v>565</v>
      </c>
      <c r="I160" s="94" t="s">
        <v>558</v>
      </c>
      <c r="J160" s="94" t="s">
        <v>559</v>
      </c>
      <c r="K160" s="94" t="s">
        <v>45</v>
      </c>
      <c r="L160" s="94" t="s">
        <v>40</v>
      </c>
      <c r="M160" s="94" t="s">
        <v>40</v>
      </c>
      <c r="N160" s="94" t="s">
        <v>560</v>
      </c>
      <c r="O160" s="94" t="s">
        <v>561</v>
      </c>
      <c r="P160" s="94" t="s">
        <v>100</v>
      </c>
      <c r="Q160" s="94" t="s">
        <v>562</v>
      </c>
      <c r="R160" s="94" t="s">
        <v>563</v>
      </c>
      <c r="S160" s="98">
        <v>1.7299999999999999E-2</v>
      </c>
      <c r="T160" s="94" t="s">
        <v>45</v>
      </c>
      <c r="U160" s="94"/>
      <c r="V160" s="70"/>
      <c r="W160" s="73" t="str">
        <f t="shared" si="2"/>
        <v>X</v>
      </c>
      <c r="X160" s="73" t="str">
        <f t="shared" si="3"/>
        <v/>
      </c>
      <c r="Y160" s="73" t="str">
        <f t="shared" si="4"/>
        <v/>
      </c>
      <c r="Z160" s="73" t="str">
        <f t="shared" si="5"/>
        <v/>
      </c>
      <c r="AA160" s="73" t="s">
        <v>26</v>
      </c>
      <c r="AB160" s="73" t="str">
        <f t="shared" si="6"/>
        <v>Trim 1</v>
      </c>
      <c r="AC160" s="73">
        <f t="shared" si="7"/>
        <v>0</v>
      </c>
      <c r="AD160" s="73">
        <f t="shared" si="8"/>
        <v>1</v>
      </c>
      <c r="AE160" s="73"/>
      <c r="AF160" s="73"/>
      <c r="AG160" s="73"/>
      <c r="AH160" s="73"/>
      <c r="AI160" s="73"/>
    </row>
    <row r="161" spans="1:35" ht="60">
      <c r="A161" s="94" t="s">
        <v>554</v>
      </c>
      <c r="B161" s="94">
        <v>1</v>
      </c>
      <c r="C161" s="94" t="s">
        <v>555</v>
      </c>
      <c r="D161" s="96">
        <v>0.51</v>
      </c>
      <c r="E161" s="94" t="s">
        <v>49</v>
      </c>
      <c r="F161" s="95" t="s">
        <v>566</v>
      </c>
      <c r="G161" s="98">
        <f t="shared" si="16"/>
        <v>1.5454545454545455E-2</v>
      </c>
      <c r="H161" s="95" t="s">
        <v>565</v>
      </c>
      <c r="I161" s="94" t="s">
        <v>558</v>
      </c>
      <c r="J161" s="94" t="s">
        <v>559</v>
      </c>
      <c r="K161" s="94" t="s">
        <v>111</v>
      </c>
      <c r="L161" s="94" t="s">
        <v>40</v>
      </c>
      <c r="M161" s="94" t="s">
        <v>40</v>
      </c>
      <c r="N161" s="94" t="s">
        <v>560</v>
      </c>
      <c r="O161" s="94" t="s">
        <v>561</v>
      </c>
      <c r="P161" s="94" t="s">
        <v>100</v>
      </c>
      <c r="Q161" s="94" t="s">
        <v>562</v>
      </c>
      <c r="R161" s="94" t="s">
        <v>563</v>
      </c>
      <c r="S161" s="98"/>
      <c r="T161" s="94"/>
      <c r="U161" s="94"/>
      <c r="V161" s="70"/>
      <c r="W161" s="73" t="str">
        <f t="shared" si="2"/>
        <v/>
      </c>
      <c r="X161" s="73" t="str">
        <f t="shared" si="3"/>
        <v>X</v>
      </c>
      <c r="Y161" s="73" t="str">
        <f t="shared" si="4"/>
        <v/>
      </c>
      <c r="Z161" s="73" t="str">
        <f t="shared" si="5"/>
        <v/>
      </c>
      <c r="AA161" s="73" t="s">
        <v>27</v>
      </c>
      <c r="AB161" s="73" t="str">
        <f t="shared" si="6"/>
        <v>Trim 2</v>
      </c>
      <c r="AC161" s="73">
        <f t="shared" si="7"/>
        <v>0</v>
      </c>
      <c r="AD161" s="73">
        <f t="shared" si="8"/>
        <v>0</v>
      </c>
      <c r="AE161" s="73"/>
      <c r="AF161" s="73"/>
      <c r="AG161" s="73"/>
      <c r="AH161" s="73"/>
      <c r="AI161" s="73"/>
    </row>
    <row r="162" spans="1:35" ht="60">
      <c r="A162" s="94" t="s">
        <v>554</v>
      </c>
      <c r="B162" s="94">
        <v>1</v>
      </c>
      <c r="C162" s="94" t="s">
        <v>555</v>
      </c>
      <c r="D162" s="96">
        <v>0.51</v>
      </c>
      <c r="E162" s="94" t="s">
        <v>52</v>
      </c>
      <c r="F162" s="95" t="s">
        <v>566</v>
      </c>
      <c r="G162" s="98">
        <f t="shared" si="16"/>
        <v>1.5454545454545455E-2</v>
      </c>
      <c r="H162" s="95" t="s">
        <v>565</v>
      </c>
      <c r="I162" s="94" t="s">
        <v>558</v>
      </c>
      <c r="J162" s="94" t="s">
        <v>559</v>
      </c>
      <c r="K162" s="94" t="s">
        <v>115</v>
      </c>
      <c r="L162" s="94" t="s">
        <v>40</v>
      </c>
      <c r="M162" s="94" t="s">
        <v>40</v>
      </c>
      <c r="N162" s="94" t="s">
        <v>560</v>
      </c>
      <c r="O162" s="94" t="s">
        <v>561</v>
      </c>
      <c r="P162" s="94" t="s">
        <v>100</v>
      </c>
      <c r="Q162" s="94" t="s">
        <v>562</v>
      </c>
      <c r="R162" s="94" t="s">
        <v>563</v>
      </c>
      <c r="S162" s="98"/>
      <c r="T162" s="94"/>
      <c r="U162" s="94"/>
      <c r="V162" s="70"/>
      <c r="W162" s="73" t="str">
        <f t="shared" si="2"/>
        <v/>
      </c>
      <c r="X162" s="73" t="str">
        <f t="shared" si="3"/>
        <v/>
      </c>
      <c r="Y162" s="73" t="str">
        <f t="shared" si="4"/>
        <v>X</v>
      </c>
      <c r="Z162" s="73" t="str">
        <f t="shared" si="5"/>
        <v/>
      </c>
      <c r="AA162" s="73" t="s">
        <v>28</v>
      </c>
      <c r="AB162" s="73" t="str">
        <f t="shared" si="6"/>
        <v>Trim 3</v>
      </c>
      <c r="AC162" s="73">
        <f t="shared" si="7"/>
        <v>0</v>
      </c>
      <c r="AD162" s="73">
        <f t="shared" si="8"/>
        <v>0</v>
      </c>
      <c r="AE162" s="73"/>
      <c r="AF162" s="73"/>
      <c r="AG162" s="73"/>
      <c r="AH162" s="73"/>
      <c r="AI162" s="73"/>
    </row>
    <row r="163" spans="1:35" ht="60">
      <c r="A163" s="94" t="s">
        <v>554</v>
      </c>
      <c r="B163" s="94">
        <v>1</v>
      </c>
      <c r="C163" s="94" t="s">
        <v>555</v>
      </c>
      <c r="D163" s="96">
        <v>0.51</v>
      </c>
      <c r="E163" s="94" t="s">
        <v>184</v>
      </c>
      <c r="F163" s="95" t="s">
        <v>566</v>
      </c>
      <c r="G163" s="98">
        <f t="shared" si="16"/>
        <v>1.5454545454545455E-2</v>
      </c>
      <c r="H163" s="95" t="s">
        <v>565</v>
      </c>
      <c r="I163" s="94" t="s">
        <v>558</v>
      </c>
      <c r="J163" s="94" t="s">
        <v>559</v>
      </c>
      <c r="K163" s="94" t="s">
        <v>39</v>
      </c>
      <c r="L163" s="94" t="s">
        <v>40</v>
      </c>
      <c r="M163" s="94" t="s">
        <v>40</v>
      </c>
      <c r="N163" s="94" t="s">
        <v>560</v>
      </c>
      <c r="O163" s="94" t="s">
        <v>561</v>
      </c>
      <c r="P163" s="94" t="s">
        <v>100</v>
      </c>
      <c r="Q163" s="94" t="s">
        <v>562</v>
      </c>
      <c r="R163" s="94" t="s">
        <v>563</v>
      </c>
      <c r="S163" s="98"/>
      <c r="T163" s="94"/>
      <c r="U163" s="94"/>
      <c r="V163" s="70"/>
      <c r="W163" s="73" t="str">
        <f t="shared" si="2"/>
        <v/>
      </c>
      <c r="X163" s="73" t="str">
        <f t="shared" si="3"/>
        <v/>
      </c>
      <c r="Y163" s="73" t="str">
        <f t="shared" si="4"/>
        <v/>
      </c>
      <c r="Z163" s="73" t="str">
        <f t="shared" si="5"/>
        <v>X</v>
      </c>
      <c r="AA163" s="73" t="s">
        <v>29</v>
      </c>
      <c r="AB163" s="73" t="str">
        <f t="shared" si="6"/>
        <v>Trim 4</v>
      </c>
      <c r="AC163" s="73">
        <f t="shared" si="7"/>
        <v>0</v>
      </c>
      <c r="AD163" s="73">
        <f t="shared" si="8"/>
        <v>0</v>
      </c>
      <c r="AE163" s="73"/>
      <c r="AF163" s="73"/>
      <c r="AG163" s="73"/>
      <c r="AH163" s="73"/>
      <c r="AI163" s="73"/>
    </row>
    <row r="164" spans="1:35" ht="60">
      <c r="A164" s="94" t="s">
        <v>554</v>
      </c>
      <c r="B164" s="94">
        <v>1</v>
      </c>
      <c r="C164" s="94" t="s">
        <v>555</v>
      </c>
      <c r="D164" s="96">
        <v>0.51</v>
      </c>
      <c r="E164" s="94" t="s">
        <v>189</v>
      </c>
      <c r="F164" s="95" t="s">
        <v>567</v>
      </c>
      <c r="G164" s="98">
        <f t="shared" si="16"/>
        <v>1.5454545454545455E-2</v>
      </c>
      <c r="H164" s="95" t="s">
        <v>568</v>
      </c>
      <c r="I164" s="94" t="s">
        <v>558</v>
      </c>
      <c r="J164" s="94" t="s">
        <v>559</v>
      </c>
      <c r="K164" s="94" t="s">
        <v>97</v>
      </c>
      <c r="L164" s="94" t="s">
        <v>40</v>
      </c>
      <c r="M164" s="94" t="s">
        <v>40</v>
      </c>
      <c r="N164" s="94" t="s">
        <v>560</v>
      </c>
      <c r="O164" s="94" t="s">
        <v>561</v>
      </c>
      <c r="P164" s="94" t="s">
        <v>100</v>
      </c>
      <c r="Q164" s="94" t="s">
        <v>562</v>
      </c>
      <c r="R164" s="94" t="s">
        <v>569</v>
      </c>
      <c r="S164" s="98">
        <v>1.7299999999999999E-2</v>
      </c>
      <c r="T164" s="94" t="s">
        <v>97</v>
      </c>
      <c r="U164" s="94"/>
      <c r="V164" s="70"/>
      <c r="W164" s="73" t="str">
        <f t="shared" si="2"/>
        <v>X</v>
      </c>
      <c r="X164" s="73" t="str">
        <f t="shared" si="3"/>
        <v/>
      </c>
      <c r="Y164" s="73" t="str">
        <f t="shared" si="4"/>
        <v/>
      </c>
      <c r="Z164" s="73" t="str">
        <f t="shared" si="5"/>
        <v/>
      </c>
      <c r="AA164" s="73" t="s">
        <v>26</v>
      </c>
      <c r="AB164" s="73" t="str">
        <f t="shared" si="6"/>
        <v>Trim 1</v>
      </c>
      <c r="AC164" s="73">
        <f t="shared" si="7"/>
        <v>0</v>
      </c>
      <c r="AD164" s="73">
        <f t="shared" si="8"/>
        <v>1</v>
      </c>
      <c r="AE164" s="73"/>
      <c r="AF164" s="73"/>
      <c r="AG164" s="73"/>
      <c r="AH164" s="73"/>
      <c r="AI164" s="73"/>
    </row>
    <row r="165" spans="1:35" ht="75">
      <c r="A165" s="94" t="s">
        <v>554</v>
      </c>
      <c r="B165" s="94">
        <v>1</v>
      </c>
      <c r="C165" s="94" t="s">
        <v>555</v>
      </c>
      <c r="D165" s="96">
        <v>0.51</v>
      </c>
      <c r="E165" s="94" t="s">
        <v>195</v>
      </c>
      <c r="F165" s="95" t="s">
        <v>570</v>
      </c>
      <c r="G165" s="98">
        <f t="shared" si="16"/>
        <v>1.5454545454545455E-2</v>
      </c>
      <c r="H165" s="95" t="s">
        <v>571</v>
      </c>
      <c r="I165" s="94" t="s">
        <v>558</v>
      </c>
      <c r="J165" s="94" t="s">
        <v>559</v>
      </c>
      <c r="K165" s="94" t="s">
        <v>45</v>
      </c>
      <c r="L165" s="94" t="s">
        <v>40</v>
      </c>
      <c r="M165" s="94" t="s">
        <v>40</v>
      </c>
      <c r="N165" s="94" t="s">
        <v>560</v>
      </c>
      <c r="O165" s="94" t="s">
        <v>561</v>
      </c>
      <c r="P165" s="94" t="s">
        <v>100</v>
      </c>
      <c r="Q165" s="94" t="s">
        <v>562</v>
      </c>
      <c r="R165" s="94" t="s">
        <v>569</v>
      </c>
      <c r="S165" s="98">
        <v>1.7299999999999999E-2</v>
      </c>
      <c r="T165" s="94" t="s">
        <v>45</v>
      </c>
      <c r="U165" s="94"/>
      <c r="V165" s="70"/>
      <c r="W165" s="73" t="str">
        <f t="shared" si="2"/>
        <v>X</v>
      </c>
      <c r="X165" s="73" t="str">
        <f t="shared" si="3"/>
        <v/>
      </c>
      <c r="Y165" s="73" t="str">
        <f t="shared" si="4"/>
        <v/>
      </c>
      <c r="Z165" s="73" t="str">
        <f t="shared" si="5"/>
        <v/>
      </c>
      <c r="AA165" s="73" t="s">
        <v>26</v>
      </c>
      <c r="AB165" s="73" t="str">
        <f t="shared" si="6"/>
        <v>Trim 1</v>
      </c>
      <c r="AC165" s="73">
        <f t="shared" si="7"/>
        <v>0</v>
      </c>
      <c r="AD165" s="73">
        <f t="shared" si="8"/>
        <v>1</v>
      </c>
      <c r="AE165" s="73"/>
      <c r="AF165" s="73"/>
      <c r="AG165" s="73"/>
      <c r="AH165" s="73"/>
      <c r="AI165" s="73"/>
    </row>
    <row r="166" spans="1:35" ht="75">
      <c r="A166" s="94" t="s">
        <v>554</v>
      </c>
      <c r="B166" s="94">
        <v>1</v>
      </c>
      <c r="C166" s="94" t="s">
        <v>555</v>
      </c>
      <c r="D166" s="96">
        <v>0.51</v>
      </c>
      <c r="E166" s="94" t="s">
        <v>201</v>
      </c>
      <c r="F166" s="95" t="s">
        <v>570</v>
      </c>
      <c r="G166" s="98">
        <f t="shared" si="16"/>
        <v>1.5454545454545455E-2</v>
      </c>
      <c r="H166" s="95" t="s">
        <v>571</v>
      </c>
      <c r="I166" s="94" t="s">
        <v>558</v>
      </c>
      <c r="J166" s="94" t="s">
        <v>559</v>
      </c>
      <c r="K166" s="94" t="s">
        <v>111</v>
      </c>
      <c r="L166" s="94" t="s">
        <v>40</v>
      </c>
      <c r="M166" s="94" t="s">
        <v>40</v>
      </c>
      <c r="N166" s="94" t="s">
        <v>560</v>
      </c>
      <c r="O166" s="94" t="s">
        <v>561</v>
      </c>
      <c r="P166" s="94" t="s">
        <v>100</v>
      </c>
      <c r="Q166" s="94" t="s">
        <v>562</v>
      </c>
      <c r="R166" s="94" t="s">
        <v>569</v>
      </c>
      <c r="S166" s="98"/>
      <c r="T166" s="94"/>
      <c r="U166" s="94"/>
      <c r="V166" s="70"/>
      <c r="W166" s="73" t="str">
        <f t="shared" si="2"/>
        <v/>
      </c>
      <c r="X166" s="73" t="str">
        <f t="shared" si="3"/>
        <v>X</v>
      </c>
      <c r="Y166" s="73" t="str">
        <f t="shared" si="4"/>
        <v/>
      </c>
      <c r="Z166" s="73" t="str">
        <f t="shared" si="5"/>
        <v/>
      </c>
      <c r="AA166" s="73" t="s">
        <v>27</v>
      </c>
      <c r="AB166" s="73" t="str">
        <f t="shared" si="6"/>
        <v>Trim 2</v>
      </c>
      <c r="AC166" s="73">
        <f t="shared" si="7"/>
        <v>0</v>
      </c>
      <c r="AD166" s="73">
        <f t="shared" si="8"/>
        <v>0</v>
      </c>
      <c r="AE166" s="73"/>
      <c r="AF166" s="73"/>
      <c r="AG166" s="73"/>
      <c r="AH166" s="73"/>
      <c r="AI166" s="73"/>
    </row>
    <row r="167" spans="1:35" ht="75">
      <c r="A167" s="94" t="s">
        <v>554</v>
      </c>
      <c r="B167" s="94">
        <v>1</v>
      </c>
      <c r="C167" s="94" t="s">
        <v>555</v>
      </c>
      <c r="D167" s="96">
        <v>0.51</v>
      </c>
      <c r="E167" s="94" t="s">
        <v>203</v>
      </c>
      <c r="F167" s="95" t="s">
        <v>570</v>
      </c>
      <c r="G167" s="98">
        <f t="shared" si="16"/>
        <v>1.5454545454545455E-2</v>
      </c>
      <c r="H167" s="95" t="s">
        <v>571</v>
      </c>
      <c r="I167" s="94" t="s">
        <v>558</v>
      </c>
      <c r="J167" s="94" t="s">
        <v>559</v>
      </c>
      <c r="K167" s="94" t="s">
        <v>115</v>
      </c>
      <c r="L167" s="94" t="s">
        <v>40</v>
      </c>
      <c r="M167" s="94" t="s">
        <v>40</v>
      </c>
      <c r="N167" s="94" t="s">
        <v>560</v>
      </c>
      <c r="O167" s="94" t="s">
        <v>561</v>
      </c>
      <c r="P167" s="94" t="s">
        <v>100</v>
      </c>
      <c r="Q167" s="94" t="s">
        <v>562</v>
      </c>
      <c r="R167" s="94" t="s">
        <v>569</v>
      </c>
      <c r="S167" s="98"/>
      <c r="T167" s="94"/>
      <c r="U167" s="94"/>
      <c r="V167" s="70"/>
      <c r="W167" s="73" t="str">
        <f t="shared" si="2"/>
        <v/>
      </c>
      <c r="X167" s="73" t="str">
        <f t="shared" si="3"/>
        <v/>
      </c>
      <c r="Y167" s="73" t="str">
        <f t="shared" si="4"/>
        <v>X</v>
      </c>
      <c r="Z167" s="73" t="str">
        <f t="shared" si="5"/>
        <v/>
      </c>
      <c r="AA167" s="73" t="s">
        <v>28</v>
      </c>
      <c r="AB167" s="73" t="str">
        <f t="shared" si="6"/>
        <v>Trim 3</v>
      </c>
      <c r="AC167" s="73">
        <f t="shared" si="7"/>
        <v>0</v>
      </c>
      <c r="AD167" s="73">
        <f t="shared" si="8"/>
        <v>0</v>
      </c>
      <c r="AE167" s="73"/>
      <c r="AF167" s="73"/>
      <c r="AG167" s="73"/>
      <c r="AH167" s="73"/>
      <c r="AI167" s="73"/>
    </row>
    <row r="168" spans="1:35" ht="75">
      <c r="A168" s="94" t="s">
        <v>554</v>
      </c>
      <c r="B168" s="94">
        <v>1</v>
      </c>
      <c r="C168" s="94" t="s">
        <v>555</v>
      </c>
      <c r="D168" s="96">
        <v>0.51</v>
      </c>
      <c r="E168" s="94" t="s">
        <v>205</v>
      </c>
      <c r="F168" s="95" t="s">
        <v>570</v>
      </c>
      <c r="G168" s="98">
        <f t="shared" si="16"/>
        <v>1.5454545454545455E-2</v>
      </c>
      <c r="H168" s="95" t="s">
        <v>571</v>
      </c>
      <c r="I168" s="94" t="s">
        <v>558</v>
      </c>
      <c r="J168" s="94" t="s">
        <v>559</v>
      </c>
      <c r="K168" s="94" t="s">
        <v>39</v>
      </c>
      <c r="L168" s="94" t="s">
        <v>40</v>
      </c>
      <c r="M168" s="94" t="s">
        <v>40</v>
      </c>
      <c r="N168" s="94" t="s">
        <v>560</v>
      </c>
      <c r="O168" s="94" t="s">
        <v>561</v>
      </c>
      <c r="P168" s="94" t="s">
        <v>100</v>
      </c>
      <c r="Q168" s="94" t="s">
        <v>562</v>
      </c>
      <c r="R168" s="94" t="s">
        <v>569</v>
      </c>
      <c r="S168" s="98"/>
      <c r="T168" s="94"/>
      <c r="U168" s="94"/>
      <c r="V168" s="70"/>
      <c r="W168" s="73" t="str">
        <f t="shared" si="2"/>
        <v/>
      </c>
      <c r="X168" s="73" t="str">
        <f t="shared" si="3"/>
        <v/>
      </c>
      <c r="Y168" s="73" t="str">
        <f t="shared" si="4"/>
        <v/>
      </c>
      <c r="Z168" s="73" t="str">
        <f t="shared" si="5"/>
        <v>X</v>
      </c>
      <c r="AA168" s="73" t="s">
        <v>29</v>
      </c>
      <c r="AB168" s="73" t="str">
        <f t="shared" si="6"/>
        <v>Trim 4</v>
      </c>
      <c r="AC168" s="73">
        <f t="shared" si="7"/>
        <v>0</v>
      </c>
      <c r="AD168" s="73">
        <f t="shared" si="8"/>
        <v>0</v>
      </c>
      <c r="AE168" s="73"/>
      <c r="AF168" s="73"/>
      <c r="AG168" s="73"/>
      <c r="AH168" s="73"/>
      <c r="AI168" s="73"/>
    </row>
    <row r="169" spans="1:35" ht="60">
      <c r="A169" s="94" t="s">
        <v>554</v>
      </c>
      <c r="B169" s="94">
        <v>1</v>
      </c>
      <c r="C169" s="94" t="s">
        <v>555</v>
      </c>
      <c r="D169" s="96">
        <v>0.51</v>
      </c>
      <c r="E169" s="94" t="s">
        <v>207</v>
      </c>
      <c r="F169" s="95" t="s">
        <v>572</v>
      </c>
      <c r="G169" s="98">
        <f t="shared" si="16"/>
        <v>1.5454545454545455E-2</v>
      </c>
      <c r="H169" s="95" t="s">
        <v>573</v>
      </c>
      <c r="I169" s="94" t="s">
        <v>558</v>
      </c>
      <c r="J169" s="94" t="s">
        <v>574</v>
      </c>
      <c r="K169" s="94" t="s">
        <v>97</v>
      </c>
      <c r="L169" s="94" t="s">
        <v>40</v>
      </c>
      <c r="M169" s="94" t="s">
        <v>40</v>
      </c>
      <c r="N169" s="94" t="s">
        <v>560</v>
      </c>
      <c r="O169" s="94" t="s">
        <v>561</v>
      </c>
      <c r="P169" s="94" t="s">
        <v>100</v>
      </c>
      <c r="Q169" s="94" t="s">
        <v>562</v>
      </c>
      <c r="R169" s="94" t="s">
        <v>575</v>
      </c>
      <c r="S169" s="98">
        <v>1.7299999999999999E-2</v>
      </c>
      <c r="T169" s="94" t="s">
        <v>97</v>
      </c>
      <c r="U169" s="94"/>
      <c r="V169" s="70"/>
      <c r="W169" s="73" t="str">
        <f t="shared" si="2"/>
        <v>X</v>
      </c>
      <c r="X169" s="73" t="str">
        <f t="shared" si="3"/>
        <v/>
      </c>
      <c r="Y169" s="73" t="str">
        <f t="shared" si="4"/>
        <v/>
      </c>
      <c r="Z169" s="73" t="str">
        <f t="shared" si="5"/>
        <v/>
      </c>
      <c r="AA169" s="73" t="s">
        <v>26</v>
      </c>
      <c r="AB169" s="73" t="str">
        <f t="shared" si="6"/>
        <v>Trim 1</v>
      </c>
      <c r="AC169" s="73">
        <f t="shared" si="7"/>
        <v>0</v>
      </c>
      <c r="AD169" s="73">
        <f t="shared" si="8"/>
        <v>1</v>
      </c>
      <c r="AE169" s="73"/>
      <c r="AF169" s="73"/>
      <c r="AG169" s="73"/>
      <c r="AH169" s="73"/>
      <c r="AI169" s="73"/>
    </row>
    <row r="170" spans="1:35" ht="75">
      <c r="A170" s="94" t="s">
        <v>554</v>
      </c>
      <c r="B170" s="94">
        <v>1</v>
      </c>
      <c r="C170" s="94" t="s">
        <v>555</v>
      </c>
      <c r="D170" s="96">
        <v>0.51</v>
      </c>
      <c r="E170" s="94" t="s">
        <v>212</v>
      </c>
      <c r="F170" s="95" t="s">
        <v>576</v>
      </c>
      <c r="G170" s="98">
        <f t="shared" si="16"/>
        <v>1.5454545454545455E-2</v>
      </c>
      <c r="H170" s="95" t="s">
        <v>577</v>
      </c>
      <c r="I170" s="94" t="s">
        <v>558</v>
      </c>
      <c r="J170" s="94" t="s">
        <v>574</v>
      </c>
      <c r="K170" s="94" t="s">
        <v>45</v>
      </c>
      <c r="L170" s="94" t="s">
        <v>40</v>
      </c>
      <c r="M170" s="94" t="s">
        <v>40</v>
      </c>
      <c r="N170" s="94" t="s">
        <v>560</v>
      </c>
      <c r="O170" s="94" t="s">
        <v>252</v>
      </c>
      <c r="P170" s="94" t="s">
        <v>100</v>
      </c>
      <c r="Q170" s="94" t="s">
        <v>562</v>
      </c>
      <c r="R170" s="94" t="s">
        <v>575</v>
      </c>
      <c r="S170" s="98">
        <v>0</v>
      </c>
      <c r="T170" s="94" t="s">
        <v>45</v>
      </c>
      <c r="U170" s="94"/>
      <c r="V170" s="70"/>
      <c r="W170" s="73" t="str">
        <f t="shared" si="2"/>
        <v>X</v>
      </c>
      <c r="X170" s="73" t="str">
        <f t="shared" si="3"/>
        <v/>
      </c>
      <c r="Y170" s="73" t="str">
        <f t="shared" si="4"/>
        <v/>
      </c>
      <c r="Z170" s="73" t="str">
        <f t="shared" si="5"/>
        <v/>
      </c>
      <c r="AA170" s="73" t="s">
        <v>26</v>
      </c>
      <c r="AB170" s="73" t="str">
        <f t="shared" si="6"/>
        <v>Trim 1</v>
      </c>
      <c r="AC170" s="73">
        <f t="shared" si="7"/>
        <v>0</v>
      </c>
      <c r="AD170" s="73">
        <f t="shared" si="8"/>
        <v>1</v>
      </c>
      <c r="AE170" s="73"/>
      <c r="AF170" s="73"/>
      <c r="AG170" s="73"/>
      <c r="AH170" s="73"/>
      <c r="AI170" s="73"/>
    </row>
    <row r="171" spans="1:35" ht="75">
      <c r="A171" s="94" t="s">
        <v>554</v>
      </c>
      <c r="B171" s="94">
        <v>1</v>
      </c>
      <c r="C171" s="94" t="s">
        <v>555</v>
      </c>
      <c r="D171" s="96">
        <v>0.51</v>
      </c>
      <c r="E171" s="94" t="s">
        <v>214</v>
      </c>
      <c r="F171" s="95" t="s">
        <v>576</v>
      </c>
      <c r="G171" s="98">
        <f t="shared" si="16"/>
        <v>1.5454545454545455E-2</v>
      </c>
      <c r="H171" s="95" t="s">
        <v>577</v>
      </c>
      <c r="I171" s="94" t="s">
        <v>558</v>
      </c>
      <c r="J171" s="94" t="s">
        <v>574</v>
      </c>
      <c r="K171" s="94" t="s">
        <v>111</v>
      </c>
      <c r="L171" s="94" t="s">
        <v>40</v>
      </c>
      <c r="M171" s="94" t="s">
        <v>40</v>
      </c>
      <c r="N171" s="94" t="s">
        <v>560</v>
      </c>
      <c r="O171" s="94" t="s">
        <v>252</v>
      </c>
      <c r="P171" s="94" t="s">
        <v>100</v>
      </c>
      <c r="Q171" s="94" t="s">
        <v>562</v>
      </c>
      <c r="R171" s="94" t="s">
        <v>575</v>
      </c>
      <c r="S171" s="98"/>
      <c r="T171" s="94"/>
      <c r="U171" s="94"/>
      <c r="V171" s="70"/>
      <c r="W171" s="73" t="str">
        <f t="shared" si="2"/>
        <v/>
      </c>
      <c r="X171" s="73" t="str">
        <f t="shared" si="3"/>
        <v>X</v>
      </c>
      <c r="Y171" s="73" t="str">
        <f t="shared" si="4"/>
        <v/>
      </c>
      <c r="Z171" s="73" t="str">
        <f t="shared" si="5"/>
        <v/>
      </c>
      <c r="AA171" s="73" t="s">
        <v>27</v>
      </c>
      <c r="AB171" s="73" t="str">
        <f t="shared" si="6"/>
        <v>Trim 2</v>
      </c>
      <c r="AC171" s="73">
        <f t="shared" si="7"/>
        <v>0</v>
      </c>
      <c r="AD171" s="73">
        <f t="shared" si="8"/>
        <v>0</v>
      </c>
      <c r="AE171" s="73"/>
      <c r="AF171" s="73"/>
      <c r="AG171" s="73"/>
      <c r="AH171" s="73"/>
      <c r="AI171" s="73"/>
    </row>
    <row r="172" spans="1:35" ht="75">
      <c r="A172" s="94" t="s">
        <v>554</v>
      </c>
      <c r="B172" s="94">
        <v>1</v>
      </c>
      <c r="C172" s="94" t="s">
        <v>555</v>
      </c>
      <c r="D172" s="96">
        <v>0.51</v>
      </c>
      <c r="E172" s="94" t="s">
        <v>216</v>
      </c>
      <c r="F172" s="95" t="s">
        <v>576</v>
      </c>
      <c r="G172" s="98">
        <f t="shared" si="16"/>
        <v>1.5454545454545455E-2</v>
      </c>
      <c r="H172" s="95" t="s">
        <v>577</v>
      </c>
      <c r="I172" s="94" t="s">
        <v>558</v>
      </c>
      <c r="J172" s="94" t="s">
        <v>574</v>
      </c>
      <c r="K172" s="94" t="s">
        <v>115</v>
      </c>
      <c r="L172" s="94" t="s">
        <v>40</v>
      </c>
      <c r="M172" s="94" t="s">
        <v>40</v>
      </c>
      <c r="N172" s="94" t="s">
        <v>560</v>
      </c>
      <c r="O172" s="94" t="s">
        <v>252</v>
      </c>
      <c r="P172" s="94" t="s">
        <v>100</v>
      </c>
      <c r="Q172" s="94" t="s">
        <v>562</v>
      </c>
      <c r="R172" s="94" t="s">
        <v>575</v>
      </c>
      <c r="S172" s="98"/>
      <c r="T172" s="94"/>
      <c r="U172" s="94"/>
      <c r="V172" s="70"/>
      <c r="W172" s="73" t="str">
        <f t="shared" si="2"/>
        <v/>
      </c>
      <c r="X172" s="73" t="str">
        <f t="shared" si="3"/>
        <v/>
      </c>
      <c r="Y172" s="73" t="str">
        <f t="shared" si="4"/>
        <v>X</v>
      </c>
      <c r="Z172" s="73" t="str">
        <f t="shared" si="5"/>
        <v/>
      </c>
      <c r="AA172" s="73" t="s">
        <v>28</v>
      </c>
      <c r="AB172" s="73" t="str">
        <f t="shared" si="6"/>
        <v>Trim 3</v>
      </c>
      <c r="AC172" s="73">
        <f t="shared" si="7"/>
        <v>0</v>
      </c>
      <c r="AD172" s="73">
        <f t="shared" si="8"/>
        <v>0</v>
      </c>
      <c r="AE172" s="73"/>
      <c r="AF172" s="73"/>
      <c r="AG172" s="73"/>
      <c r="AH172" s="73"/>
      <c r="AI172" s="73"/>
    </row>
    <row r="173" spans="1:35" ht="75">
      <c r="A173" s="94" t="s">
        <v>554</v>
      </c>
      <c r="B173" s="94">
        <v>1</v>
      </c>
      <c r="C173" s="94" t="s">
        <v>555</v>
      </c>
      <c r="D173" s="96">
        <v>0.51</v>
      </c>
      <c r="E173" s="94" t="s">
        <v>219</v>
      </c>
      <c r="F173" s="95" t="s">
        <v>576</v>
      </c>
      <c r="G173" s="98">
        <f t="shared" si="16"/>
        <v>1.5454545454545455E-2</v>
      </c>
      <c r="H173" s="95" t="s">
        <v>577</v>
      </c>
      <c r="I173" s="94" t="s">
        <v>558</v>
      </c>
      <c r="J173" s="94" t="s">
        <v>574</v>
      </c>
      <c r="K173" s="94" t="s">
        <v>39</v>
      </c>
      <c r="L173" s="94" t="s">
        <v>40</v>
      </c>
      <c r="M173" s="94" t="s">
        <v>40</v>
      </c>
      <c r="N173" s="94" t="s">
        <v>560</v>
      </c>
      <c r="O173" s="94" t="s">
        <v>252</v>
      </c>
      <c r="P173" s="94" t="s">
        <v>100</v>
      </c>
      <c r="Q173" s="94" t="s">
        <v>562</v>
      </c>
      <c r="R173" s="94" t="s">
        <v>575</v>
      </c>
      <c r="S173" s="98"/>
      <c r="T173" s="94"/>
      <c r="U173" s="94"/>
      <c r="V173" s="70"/>
      <c r="W173" s="73" t="str">
        <f t="shared" si="2"/>
        <v/>
      </c>
      <c r="X173" s="73" t="str">
        <f t="shared" si="3"/>
        <v/>
      </c>
      <c r="Y173" s="73" t="str">
        <f t="shared" si="4"/>
        <v/>
      </c>
      <c r="Z173" s="73" t="str">
        <f t="shared" si="5"/>
        <v>X</v>
      </c>
      <c r="AA173" s="73" t="s">
        <v>29</v>
      </c>
      <c r="AB173" s="73" t="str">
        <f t="shared" si="6"/>
        <v>Trim 4</v>
      </c>
      <c r="AC173" s="73">
        <f t="shared" si="7"/>
        <v>0</v>
      </c>
      <c r="AD173" s="73">
        <f t="shared" si="8"/>
        <v>0</v>
      </c>
      <c r="AE173" s="73"/>
      <c r="AF173" s="73"/>
      <c r="AG173" s="73"/>
      <c r="AH173" s="73"/>
      <c r="AI173" s="73"/>
    </row>
    <row r="174" spans="1:35" ht="60">
      <c r="A174" s="94" t="s">
        <v>554</v>
      </c>
      <c r="B174" s="94">
        <v>1</v>
      </c>
      <c r="C174" s="94" t="s">
        <v>555</v>
      </c>
      <c r="D174" s="96">
        <v>0.51</v>
      </c>
      <c r="E174" s="94" t="s">
        <v>226</v>
      </c>
      <c r="F174" s="95" t="s">
        <v>572</v>
      </c>
      <c r="G174" s="98">
        <f t="shared" si="16"/>
        <v>1.5454545454545455E-2</v>
      </c>
      <c r="H174" s="95" t="s">
        <v>578</v>
      </c>
      <c r="I174" s="94" t="s">
        <v>558</v>
      </c>
      <c r="J174" s="94" t="s">
        <v>579</v>
      </c>
      <c r="K174" s="94" t="s">
        <v>97</v>
      </c>
      <c r="L174" s="94" t="s">
        <v>40</v>
      </c>
      <c r="M174" s="94" t="s">
        <v>40</v>
      </c>
      <c r="N174" s="94" t="s">
        <v>560</v>
      </c>
      <c r="O174" s="94" t="s">
        <v>561</v>
      </c>
      <c r="P174" s="94" t="s">
        <v>100</v>
      </c>
      <c r="Q174" s="94" t="s">
        <v>562</v>
      </c>
      <c r="R174" s="94" t="s">
        <v>580</v>
      </c>
      <c r="S174" s="98">
        <v>1.7299999999999999E-2</v>
      </c>
      <c r="T174" s="94" t="s">
        <v>97</v>
      </c>
      <c r="U174" s="94"/>
      <c r="V174" s="70"/>
      <c r="W174" s="73" t="str">
        <f t="shared" si="2"/>
        <v>X</v>
      </c>
      <c r="X174" s="73" t="str">
        <f t="shared" si="3"/>
        <v/>
      </c>
      <c r="Y174" s="73" t="str">
        <f t="shared" si="4"/>
        <v/>
      </c>
      <c r="Z174" s="73" t="str">
        <f t="shared" si="5"/>
        <v/>
      </c>
      <c r="AA174" s="73" t="s">
        <v>26</v>
      </c>
      <c r="AB174" s="73" t="str">
        <f t="shared" si="6"/>
        <v>Trim 1</v>
      </c>
      <c r="AC174" s="73">
        <f t="shared" si="7"/>
        <v>0</v>
      </c>
      <c r="AD174" s="73">
        <f t="shared" si="8"/>
        <v>1</v>
      </c>
      <c r="AE174" s="73"/>
      <c r="AF174" s="73"/>
      <c r="AG174" s="73"/>
      <c r="AH174" s="73"/>
      <c r="AI174" s="73"/>
    </row>
    <row r="175" spans="1:35" ht="75">
      <c r="A175" s="94" t="s">
        <v>554</v>
      </c>
      <c r="B175" s="94">
        <v>1</v>
      </c>
      <c r="C175" s="94" t="s">
        <v>555</v>
      </c>
      <c r="D175" s="96">
        <v>0.51</v>
      </c>
      <c r="E175" s="94" t="s">
        <v>231</v>
      </c>
      <c r="F175" s="95" t="s">
        <v>581</v>
      </c>
      <c r="G175" s="98">
        <f t="shared" si="16"/>
        <v>1.5454545454545455E-2</v>
      </c>
      <c r="H175" s="95" t="s">
        <v>582</v>
      </c>
      <c r="I175" s="94" t="s">
        <v>558</v>
      </c>
      <c r="J175" s="94" t="s">
        <v>579</v>
      </c>
      <c r="K175" s="94" t="s">
        <v>45</v>
      </c>
      <c r="L175" s="94" t="s">
        <v>40</v>
      </c>
      <c r="M175" s="94" t="s">
        <v>40</v>
      </c>
      <c r="N175" s="94" t="s">
        <v>560</v>
      </c>
      <c r="O175" s="94" t="s">
        <v>561</v>
      </c>
      <c r="P175" s="94" t="s">
        <v>100</v>
      </c>
      <c r="Q175" s="94" t="s">
        <v>562</v>
      </c>
      <c r="R175" s="94" t="s">
        <v>580</v>
      </c>
      <c r="S175" s="98">
        <v>1.5599999999999999E-2</v>
      </c>
      <c r="T175" s="94" t="s">
        <v>45</v>
      </c>
      <c r="U175" s="94"/>
      <c r="V175" s="70"/>
      <c r="W175" s="73" t="str">
        <f t="shared" si="2"/>
        <v>X</v>
      </c>
      <c r="X175" s="73" t="str">
        <f t="shared" si="3"/>
        <v/>
      </c>
      <c r="Y175" s="73" t="str">
        <f t="shared" si="4"/>
        <v/>
      </c>
      <c r="Z175" s="73" t="str">
        <f t="shared" si="5"/>
        <v/>
      </c>
      <c r="AA175" s="73" t="s">
        <v>26</v>
      </c>
      <c r="AB175" s="73" t="str">
        <f t="shared" si="6"/>
        <v>Trim 1</v>
      </c>
      <c r="AC175" s="73">
        <f t="shared" si="7"/>
        <v>0</v>
      </c>
      <c r="AD175" s="73">
        <f t="shared" si="8"/>
        <v>1</v>
      </c>
      <c r="AE175" s="73"/>
      <c r="AF175" s="73"/>
      <c r="AG175" s="73"/>
      <c r="AH175" s="73"/>
      <c r="AI175" s="73"/>
    </row>
    <row r="176" spans="1:35" ht="75">
      <c r="A176" s="94" t="s">
        <v>554</v>
      </c>
      <c r="B176" s="94">
        <v>1</v>
      </c>
      <c r="C176" s="94" t="s">
        <v>555</v>
      </c>
      <c r="D176" s="96">
        <v>0.51</v>
      </c>
      <c r="E176" s="94" t="s">
        <v>233</v>
      </c>
      <c r="F176" s="95" t="s">
        <v>581</v>
      </c>
      <c r="G176" s="98">
        <f t="shared" si="16"/>
        <v>1.5454545454545455E-2</v>
      </c>
      <c r="H176" s="95" t="s">
        <v>582</v>
      </c>
      <c r="I176" s="94" t="s">
        <v>558</v>
      </c>
      <c r="J176" s="94" t="s">
        <v>579</v>
      </c>
      <c r="K176" s="94" t="s">
        <v>111</v>
      </c>
      <c r="L176" s="94" t="s">
        <v>40</v>
      </c>
      <c r="M176" s="94" t="s">
        <v>40</v>
      </c>
      <c r="N176" s="94" t="s">
        <v>560</v>
      </c>
      <c r="O176" s="94" t="s">
        <v>561</v>
      </c>
      <c r="P176" s="94" t="s">
        <v>100</v>
      </c>
      <c r="Q176" s="94" t="s">
        <v>562</v>
      </c>
      <c r="R176" s="94" t="s">
        <v>580</v>
      </c>
      <c r="S176" s="98"/>
      <c r="T176" s="94"/>
      <c r="U176" s="94"/>
      <c r="V176" s="70"/>
      <c r="W176" s="73" t="str">
        <f t="shared" si="2"/>
        <v/>
      </c>
      <c r="X176" s="73" t="str">
        <f t="shared" si="3"/>
        <v>X</v>
      </c>
      <c r="Y176" s="73" t="str">
        <f t="shared" si="4"/>
        <v/>
      </c>
      <c r="Z176" s="73" t="str">
        <f t="shared" si="5"/>
        <v/>
      </c>
      <c r="AA176" s="73" t="s">
        <v>27</v>
      </c>
      <c r="AB176" s="73" t="str">
        <f t="shared" si="6"/>
        <v>Trim 2</v>
      </c>
      <c r="AC176" s="73">
        <f t="shared" si="7"/>
        <v>0</v>
      </c>
      <c r="AD176" s="73">
        <f t="shared" si="8"/>
        <v>0</v>
      </c>
      <c r="AE176" s="73"/>
      <c r="AF176" s="73"/>
      <c r="AG176" s="73"/>
      <c r="AH176" s="73"/>
      <c r="AI176" s="73"/>
    </row>
    <row r="177" spans="1:35" ht="75">
      <c r="A177" s="94" t="s">
        <v>554</v>
      </c>
      <c r="B177" s="94">
        <v>1</v>
      </c>
      <c r="C177" s="94" t="s">
        <v>555</v>
      </c>
      <c r="D177" s="96">
        <v>0.51</v>
      </c>
      <c r="E177" s="94" t="s">
        <v>239</v>
      </c>
      <c r="F177" s="95" t="s">
        <v>581</v>
      </c>
      <c r="G177" s="98">
        <f t="shared" si="16"/>
        <v>1.5454545454545455E-2</v>
      </c>
      <c r="H177" s="95" t="s">
        <v>582</v>
      </c>
      <c r="I177" s="94" t="s">
        <v>558</v>
      </c>
      <c r="J177" s="94" t="s">
        <v>579</v>
      </c>
      <c r="K177" s="94" t="s">
        <v>115</v>
      </c>
      <c r="L177" s="94" t="s">
        <v>40</v>
      </c>
      <c r="M177" s="94" t="s">
        <v>40</v>
      </c>
      <c r="N177" s="94" t="s">
        <v>560</v>
      </c>
      <c r="O177" s="94" t="s">
        <v>561</v>
      </c>
      <c r="P177" s="94" t="s">
        <v>100</v>
      </c>
      <c r="Q177" s="94" t="s">
        <v>562</v>
      </c>
      <c r="R177" s="94" t="s">
        <v>580</v>
      </c>
      <c r="S177" s="98"/>
      <c r="T177" s="94"/>
      <c r="U177" s="94"/>
      <c r="V177" s="70"/>
      <c r="W177" s="73" t="str">
        <f t="shared" si="2"/>
        <v/>
      </c>
      <c r="X177" s="73" t="str">
        <f t="shared" si="3"/>
        <v/>
      </c>
      <c r="Y177" s="73" t="str">
        <f t="shared" si="4"/>
        <v>X</v>
      </c>
      <c r="Z177" s="73" t="str">
        <f t="shared" si="5"/>
        <v/>
      </c>
      <c r="AA177" s="73" t="s">
        <v>28</v>
      </c>
      <c r="AB177" s="73" t="str">
        <f t="shared" si="6"/>
        <v>Trim 3</v>
      </c>
      <c r="AC177" s="73">
        <f t="shared" si="7"/>
        <v>0</v>
      </c>
      <c r="AD177" s="73">
        <f t="shared" si="8"/>
        <v>0</v>
      </c>
      <c r="AE177" s="73"/>
      <c r="AF177" s="73"/>
      <c r="AG177" s="73"/>
      <c r="AH177" s="73"/>
      <c r="AI177" s="73"/>
    </row>
    <row r="178" spans="1:35" ht="75">
      <c r="A178" s="94" t="s">
        <v>554</v>
      </c>
      <c r="B178" s="94">
        <v>1</v>
      </c>
      <c r="C178" s="94" t="s">
        <v>555</v>
      </c>
      <c r="D178" s="96">
        <v>0.51</v>
      </c>
      <c r="E178" s="94" t="s">
        <v>243</v>
      </c>
      <c r="F178" s="95" t="s">
        <v>581</v>
      </c>
      <c r="G178" s="98">
        <f t="shared" si="16"/>
        <v>1.5454545454545455E-2</v>
      </c>
      <c r="H178" s="95" t="s">
        <v>582</v>
      </c>
      <c r="I178" s="94" t="s">
        <v>558</v>
      </c>
      <c r="J178" s="94" t="s">
        <v>579</v>
      </c>
      <c r="K178" s="94" t="s">
        <v>39</v>
      </c>
      <c r="L178" s="94" t="s">
        <v>40</v>
      </c>
      <c r="M178" s="94" t="s">
        <v>40</v>
      </c>
      <c r="N178" s="94" t="s">
        <v>560</v>
      </c>
      <c r="O178" s="94" t="s">
        <v>561</v>
      </c>
      <c r="P178" s="94" t="s">
        <v>100</v>
      </c>
      <c r="Q178" s="94" t="s">
        <v>562</v>
      </c>
      <c r="R178" s="94" t="s">
        <v>580</v>
      </c>
      <c r="S178" s="98"/>
      <c r="T178" s="94"/>
      <c r="U178" s="94"/>
      <c r="V178" s="70"/>
      <c r="W178" s="73" t="str">
        <f t="shared" si="2"/>
        <v/>
      </c>
      <c r="X178" s="73" t="str">
        <f t="shared" si="3"/>
        <v/>
      </c>
      <c r="Y178" s="73" t="str">
        <f t="shared" si="4"/>
        <v/>
      </c>
      <c r="Z178" s="73" t="str">
        <f t="shared" si="5"/>
        <v>X</v>
      </c>
      <c r="AA178" s="73" t="s">
        <v>29</v>
      </c>
      <c r="AB178" s="73" t="str">
        <f t="shared" si="6"/>
        <v>Trim 4</v>
      </c>
      <c r="AC178" s="73">
        <f t="shared" si="7"/>
        <v>0</v>
      </c>
      <c r="AD178" s="73">
        <f t="shared" si="8"/>
        <v>0</v>
      </c>
      <c r="AE178" s="73"/>
      <c r="AF178" s="73"/>
      <c r="AG178" s="73"/>
      <c r="AH178" s="73"/>
      <c r="AI178" s="73"/>
    </row>
    <row r="179" spans="1:35" ht="60">
      <c r="A179" s="94" t="s">
        <v>554</v>
      </c>
      <c r="B179" s="94">
        <v>1</v>
      </c>
      <c r="C179" s="94" t="s">
        <v>555</v>
      </c>
      <c r="D179" s="96">
        <v>0.51</v>
      </c>
      <c r="E179" s="94" t="s">
        <v>247</v>
      </c>
      <c r="F179" s="95" t="s">
        <v>583</v>
      </c>
      <c r="G179" s="98">
        <f t="shared" si="16"/>
        <v>1.5454545454545455E-2</v>
      </c>
      <c r="H179" s="95" t="s">
        <v>584</v>
      </c>
      <c r="I179" s="94" t="s">
        <v>558</v>
      </c>
      <c r="J179" s="94" t="s">
        <v>579</v>
      </c>
      <c r="K179" s="94" t="s">
        <v>97</v>
      </c>
      <c r="L179" s="94" t="s">
        <v>40</v>
      </c>
      <c r="M179" s="94" t="s">
        <v>40</v>
      </c>
      <c r="N179" s="94" t="s">
        <v>560</v>
      </c>
      <c r="O179" s="94" t="s">
        <v>561</v>
      </c>
      <c r="P179" s="94" t="s">
        <v>100</v>
      </c>
      <c r="Q179" s="94" t="s">
        <v>562</v>
      </c>
      <c r="R179" s="94" t="s">
        <v>585</v>
      </c>
      <c r="S179" s="98">
        <v>1.7299999999999999E-2</v>
      </c>
      <c r="T179" s="94" t="s">
        <v>97</v>
      </c>
      <c r="U179" s="94"/>
      <c r="V179" s="70"/>
      <c r="W179" s="73" t="str">
        <f t="shared" si="2"/>
        <v>X</v>
      </c>
      <c r="X179" s="73" t="str">
        <f t="shared" si="3"/>
        <v/>
      </c>
      <c r="Y179" s="73" t="str">
        <f t="shared" si="4"/>
        <v/>
      </c>
      <c r="Z179" s="73" t="str">
        <f t="shared" si="5"/>
        <v/>
      </c>
      <c r="AA179" s="73" t="s">
        <v>26</v>
      </c>
      <c r="AB179" s="73" t="str">
        <f t="shared" si="6"/>
        <v>Trim 1</v>
      </c>
      <c r="AC179" s="73">
        <f t="shared" si="7"/>
        <v>0</v>
      </c>
      <c r="AD179" s="73">
        <f t="shared" si="8"/>
        <v>1</v>
      </c>
      <c r="AE179" s="73"/>
      <c r="AF179" s="73"/>
      <c r="AG179" s="73"/>
      <c r="AH179" s="73"/>
      <c r="AI179" s="73"/>
    </row>
    <row r="180" spans="1:35" ht="60">
      <c r="A180" s="94" t="s">
        <v>554</v>
      </c>
      <c r="B180" s="94">
        <v>1</v>
      </c>
      <c r="C180" s="94" t="s">
        <v>555</v>
      </c>
      <c r="D180" s="96">
        <v>0.51</v>
      </c>
      <c r="E180" s="94" t="s">
        <v>254</v>
      </c>
      <c r="F180" s="95" t="s">
        <v>586</v>
      </c>
      <c r="G180" s="98">
        <f t="shared" si="16"/>
        <v>1.5454545454545455E-2</v>
      </c>
      <c r="H180" s="95" t="s">
        <v>587</v>
      </c>
      <c r="I180" s="94" t="s">
        <v>588</v>
      </c>
      <c r="J180" s="94" t="s">
        <v>589</v>
      </c>
      <c r="K180" s="94" t="s">
        <v>176</v>
      </c>
      <c r="L180" s="94" t="s">
        <v>40</v>
      </c>
      <c r="M180" s="94" t="s">
        <v>40</v>
      </c>
      <c r="N180" s="94" t="s">
        <v>560</v>
      </c>
      <c r="O180" s="94" t="s">
        <v>561</v>
      </c>
      <c r="P180" s="94" t="s">
        <v>100</v>
      </c>
      <c r="Q180" s="94" t="s">
        <v>562</v>
      </c>
      <c r="R180" s="94" t="s">
        <v>585</v>
      </c>
      <c r="S180" s="98"/>
      <c r="T180" s="94"/>
      <c r="U180" s="94"/>
      <c r="V180" s="70"/>
      <c r="W180" s="73" t="str">
        <f t="shared" si="2"/>
        <v/>
      </c>
      <c r="X180" s="73" t="str">
        <f t="shared" si="3"/>
        <v/>
      </c>
      <c r="Y180" s="73" t="str">
        <f t="shared" si="4"/>
        <v/>
      </c>
      <c r="Z180" s="73" t="str">
        <f t="shared" si="5"/>
        <v>X</v>
      </c>
      <c r="AA180" s="73" t="s">
        <v>29</v>
      </c>
      <c r="AB180" s="73" t="str">
        <f t="shared" si="6"/>
        <v>Trim 4</v>
      </c>
      <c r="AC180" s="73">
        <f t="shared" si="7"/>
        <v>0</v>
      </c>
      <c r="AD180" s="73">
        <f t="shared" si="8"/>
        <v>0</v>
      </c>
      <c r="AE180" s="73"/>
      <c r="AF180" s="73"/>
      <c r="AG180" s="73"/>
      <c r="AH180" s="73"/>
      <c r="AI180" s="73"/>
    </row>
    <row r="181" spans="1:35" ht="60">
      <c r="A181" s="94" t="s">
        <v>554</v>
      </c>
      <c r="B181" s="94">
        <v>1</v>
      </c>
      <c r="C181" s="94" t="s">
        <v>555</v>
      </c>
      <c r="D181" s="96">
        <v>0.51</v>
      </c>
      <c r="E181" s="94" t="s">
        <v>590</v>
      </c>
      <c r="F181" s="95" t="s">
        <v>586</v>
      </c>
      <c r="G181" s="98">
        <f t="shared" si="16"/>
        <v>1.5454545454545455E-2</v>
      </c>
      <c r="H181" s="95" t="s">
        <v>591</v>
      </c>
      <c r="I181" s="94" t="s">
        <v>588</v>
      </c>
      <c r="J181" s="94" t="s">
        <v>589</v>
      </c>
      <c r="K181" s="94" t="s">
        <v>138</v>
      </c>
      <c r="L181" s="94" t="s">
        <v>40</v>
      </c>
      <c r="M181" s="94" t="s">
        <v>40</v>
      </c>
      <c r="N181" s="94" t="s">
        <v>560</v>
      </c>
      <c r="O181" s="94" t="s">
        <v>561</v>
      </c>
      <c r="P181" s="94" t="s">
        <v>100</v>
      </c>
      <c r="Q181" s="94" t="s">
        <v>562</v>
      </c>
      <c r="R181" s="94" t="s">
        <v>585</v>
      </c>
      <c r="S181" s="98"/>
      <c r="T181" s="94"/>
      <c r="U181" s="94"/>
      <c r="V181" s="70"/>
      <c r="W181" s="73" t="str">
        <f t="shared" si="2"/>
        <v/>
      </c>
      <c r="X181" s="73" t="str">
        <f t="shared" si="3"/>
        <v/>
      </c>
      <c r="Y181" s="73" t="str">
        <f t="shared" si="4"/>
        <v/>
      </c>
      <c r="Z181" s="73" t="str">
        <f t="shared" si="5"/>
        <v>X</v>
      </c>
      <c r="AA181" s="73" t="s">
        <v>29</v>
      </c>
      <c r="AB181" s="73" t="str">
        <f t="shared" si="6"/>
        <v>Trim 4</v>
      </c>
      <c r="AC181" s="73">
        <f t="shared" si="7"/>
        <v>0</v>
      </c>
      <c r="AD181" s="73">
        <f t="shared" si="8"/>
        <v>0</v>
      </c>
      <c r="AE181" s="73"/>
      <c r="AF181" s="73"/>
      <c r="AG181" s="73"/>
      <c r="AH181" s="73"/>
      <c r="AI181" s="73"/>
    </row>
    <row r="182" spans="1:35" ht="60">
      <c r="A182" s="94" t="s">
        <v>554</v>
      </c>
      <c r="B182" s="94">
        <v>1</v>
      </c>
      <c r="C182" s="94" t="s">
        <v>555</v>
      </c>
      <c r="D182" s="96">
        <v>0.51</v>
      </c>
      <c r="E182" s="94" t="s">
        <v>592</v>
      </c>
      <c r="F182" s="95" t="s">
        <v>593</v>
      </c>
      <c r="G182" s="98">
        <f t="shared" si="16"/>
        <v>1.5454545454545455E-2</v>
      </c>
      <c r="H182" s="95" t="s">
        <v>594</v>
      </c>
      <c r="I182" s="94" t="s">
        <v>595</v>
      </c>
      <c r="J182" s="94" t="s">
        <v>589</v>
      </c>
      <c r="K182" s="94" t="s">
        <v>45</v>
      </c>
      <c r="L182" s="94" t="s">
        <v>40</v>
      </c>
      <c r="M182" s="94" t="s">
        <v>40</v>
      </c>
      <c r="N182" s="94" t="s">
        <v>560</v>
      </c>
      <c r="O182" s="94" t="s">
        <v>561</v>
      </c>
      <c r="P182" s="94" t="s">
        <v>100</v>
      </c>
      <c r="Q182" s="94" t="s">
        <v>562</v>
      </c>
      <c r="R182" s="94" t="s">
        <v>585</v>
      </c>
      <c r="S182" s="98">
        <v>1.7299999999999999E-2</v>
      </c>
      <c r="T182" s="94" t="s">
        <v>108</v>
      </c>
      <c r="U182" s="94"/>
      <c r="V182" s="70"/>
      <c r="W182" s="73" t="str">
        <f t="shared" si="2"/>
        <v>X</v>
      </c>
      <c r="X182" s="73" t="str">
        <f t="shared" si="3"/>
        <v/>
      </c>
      <c r="Y182" s="73" t="str">
        <f t="shared" si="4"/>
        <v/>
      </c>
      <c r="Z182" s="73" t="str">
        <f t="shared" si="5"/>
        <v/>
      </c>
      <c r="AA182" s="73" t="s">
        <v>26</v>
      </c>
      <c r="AB182" s="73" t="str">
        <f t="shared" si="6"/>
        <v>Trim 1</v>
      </c>
      <c r="AC182" s="73">
        <f t="shared" si="7"/>
        <v>0</v>
      </c>
      <c r="AD182" s="73">
        <f t="shared" si="8"/>
        <v>1</v>
      </c>
      <c r="AE182" s="73"/>
      <c r="AF182" s="73"/>
      <c r="AG182" s="73"/>
      <c r="AH182" s="73"/>
      <c r="AI182" s="73"/>
    </row>
    <row r="183" spans="1:35" ht="60">
      <c r="A183" s="94" t="s">
        <v>554</v>
      </c>
      <c r="B183" s="94">
        <v>1</v>
      </c>
      <c r="C183" s="94" t="s">
        <v>555</v>
      </c>
      <c r="D183" s="96">
        <v>0.51</v>
      </c>
      <c r="E183" s="94" t="s">
        <v>596</v>
      </c>
      <c r="F183" s="95" t="s">
        <v>597</v>
      </c>
      <c r="G183" s="98">
        <f t="shared" si="16"/>
        <v>1.5454545454545455E-2</v>
      </c>
      <c r="H183" s="95" t="s">
        <v>598</v>
      </c>
      <c r="I183" s="94" t="s">
        <v>599</v>
      </c>
      <c r="J183" s="94" t="s">
        <v>600</v>
      </c>
      <c r="K183" s="94" t="s">
        <v>45</v>
      </c>
      <c r="L183" s="94" t="s">
        <v>40</v>
      </c>
      <c r="M183" s="94" t="s">
        <v>40</v>
      </c>
      <c r="N183" s="94" t="s">
        <v>560</v>
      </c>
      <c r="O183" s="94" t="s">
        <v>561</v>
      </c>
      <c r="P183" s="94" t="s">
        <v>100</v>
      </c>
      <c r="Q183" s="94" t="s">
        <v>562</v>
      </c>
      <c r="R183" s="94" t="s">
        <v>585</v>
      </c>
      <c r="S183" s="98">
        <v>1.7299999999999999E-2</v>
      </c>
      <c r="T183" s="94" t="s">
        <v>45</v>
      </c>
      <c r="U183" s="94"/>
      <c r="V183" s="70"/>
      <c r="W183" s="73" t="str">
        <f t="shared" si="2"/>
        <v>X</v>
      </c>
      <c r="X183" s="73" t="str">
        <f t="shared" si="3"/>
        <v/>
      </c>
      <c r="Y183" s="73" t="str">
        <f t="shared" si="4"/>
        <v/>
      </c>
      <c r="Z183" s="73" t="str">
        <f t="shared" si="5"/>
        <v/>
      </c>
      <c r="AA183" s="73" t="s">
        <v>26</v>
      </c>
      <c r="AB183" s="73" t="str">
        <f t="shared" si="6"/>
        <v>Trim 1</v>
      </c>
      <c r="AC183" s="73">
        <f t="shared" si="7"/>
        <v>0</v>
      </c>
      <c r="AD183" s="73">
        <f t="shared" si="8"/>
        <v>1</v>
      </c>
      <c r="AE183" s="73"/>
      <c r="AF183" s="73"/>
      <c r="AG183" s="73"/>
      <c r="AH183" s="73"/>
      <c r="AI183" s="73"/>
    </row>
    <row r="184" spans="1:35" ht="60">
      <c r="A184" s="94" t="s">
        <v>554</v>
      </c>
      <c r="B184" s="94">
        <v>1</v>
      </c>
      <c r="C184" s="94" t="s">
        <v>555</v>
      </c>
      <c r="D184" s="96">
        <v>0.51</v>
      </c>
      <c r="E184" s="94" t="s">
        <v>601</v>
      </c>
      <c r="F184" s="95" t="s">
        <v>597</v>
      </c>
      <c r="G184" s="98">
        <f t="shared" si="16"/>
        <v>1.5454545454545455E-2</v>
      </c>
      <c r="H184" s="95" t="s">
        <v>598</v>
      </c>
      <c r="I184" s="94" t="s">
        <v>599</v>
      </c>
      <c r="J184" s="94" t="s">
        <v>600</v>
      </c>
      <c r="K184" s="94" t="s">
        <v>111</v>
      </c>
      <c r="L184" s="94" t="s">
        <v>40</v>
      </c>
      <c r="M184" s="94" t="s">
        <v>40</v>
      </c>
      <c r="N184" s="94" t="s">
        <v>560</v>
      </c>
      <c r="O184" s="94" t="s">
        <v>561</v>
      </c>
      <c r="P184" s="94" t="s">
        <v>100</v>
      </c>
      <c r="Q184" s="94" t="s">
        <v>562</v>
      </c>
      <c r="R184" s="94" t="s">
        <v>585</v>
      </c>
      <c r="S184" s="98"/>
      <c r="T184" s="94"/>
      <c r="U184" s="94"/>
      <c r="V184" s="70"/>
      <c r="W184" s="73" t="str">
        <f t="shared" si="2"/>
        <v/>
      </c>
      <c r="X184" s="73" t="str">
        <f t="shared" si="3"/>
        <v>X</v>
      </c>
      <c r="Y184" s="73" t="str">
        <f t="shared" si="4"/>
        <v/>
      </c>
      <c r="Z184" s="73" t="str">
        <f t="shared" si="5"/>
        <v/>
      </c>
      <c r="AA184" s="73" t="s">
        <v>27</v>
      </c>
      <c r="AB184" s="73" t="str">
        <f t="shared" si="6"/>
        <v>Trim 2</v>
      </c>
      <c r="AC184" s="73">
        <f t="shared" si="7"/>
        <v>0</v>
      </c>
      <c r="AD184" s="73">
        <f t="shared" si="8"/>
        <v>0</v>
      </c>
      <c r="AE184" s="73"/>
      <c r="AF184" s="73"/>
      <c r="AG184" s="73"/>
      <c r="AH184" s="73"/>
      <c r="AI184" s="73"/>
    </row>
    <row r="185" spans="1:35" ht="60">
      <c r="A185" s="94" t="s">
        <v>554</v>
      </c>
      <c r="B185" s="94">
        <v>1</v>
      </c>
      <c r="C185" s="94" t="s">
        <v>555</v>
      </c>
      <c r="D185" s="96">
        <v>0.51</v>
      </c>
      <c r="E185" s="94" t="s">
        <v>602</v>
      </c>
      <c r="F185" s="95" t="s">
        <v>597</v>
      </c>
      <c r="G185" s="98">
        <f t="shared" si="16"/>
        <v>1.5454545454545455E-2</v>
      </c>
      <c r="H185" s="95" t="s">
        <v>598</v>
      </c>
      <c r="I185" s="94" t="s">
        <v>599</v>
      </c>
      <c r="J185" s="94" t="s">
        <v>600</v>
      </c>
      <c r="K185" s="94" t="s">
        <v>115</v>
      </c>
      <c r="L185" s="94" t="s">
        <v>40</v>
      </c>
      <c r="M185" s="94" t="s">
        <v>40</v>
      </c>
      <c r="N185" s="94" t="s">
        <v>560</v>
      </c>
      <c r="O185" s="94" t="s">
        <v>561</v>
      </c>
      <c r="P185" s="94" t="s">
        <v>100</v>
      </c>
      <c r="Q185" s="94" t="s">
        <v>562</v>
      </c>
      <c r="R185" s="94" t="s">
        <v>585</v>
      </c>
      <c r="S185" s="98"/>
      <c r="T185" s="94"/>
      <c r="U185" s="94"/>
      <c r="V185" s="70"/>
      <c r="W185" s="73" t="str">
        <f t="shared" si="2"/>
        <v/>
      </c>
      <c r="X185" s="73" t="str">
        <f t="shared" si="3"/>
        <v/>
      </c>
      <c r="Y185" s="73" t="str">
        <f t="shared" si="4"/>
        <v>X</v>
      </c>
      <c r="Z185" s="73" t="str">
        <f t="shared" si="5"/>
        <v/>
      </c>
      <c r="AA185" s="73" t="s">
        <v>28</v>
      </c>
      <c r="AB185" s="73" t="str">
        <f t="shared" si="6"/>
        <v>Trim 3</v>
      </c>
      <c r="AC185" s="73">
        <f t="shared" si="7"/>
        <v>0</v>
      </c>
      <c r="AD185" s="73">
        <f t="shared" si="8"/>
        <v>0</v>
      </c>
      <c r="AE185" s="73"/>
      <c r="AF185" s="73"/>
      <c r="AG185" s="73"/>
      <c r="AH185" s="73"/>
      <c r="AI185" s="73"/>
    </row>
    <row r="186" spans="1:35" ht="60">
      <c r="A186" s="94" t="s">
        <v>554</v>
      </c>
      <c r="B186" s="94">
        <v>1</v>
      </c>
      <c r="C186" s="94" t="s">
        <v>555</v>
      </c>
      <c r="D186" s="96">
        <v>0.51</v>
      </c>
      <c r="E186" s="94" t="s">
        <v>603</v>
      </c>
      <c r="F186" s="95" t="s">
        <v>597</v>
      </c>
      <c r="G186" s="98">
        <f t="shared" si="16"/>
        <v>1.5454545454545455E-2</v>
      </c>
      <c r="H186" s="95" t="s">
        <v>598</v>
      </c>
      <c r="I186" s="94" t="s">
        <v>599</v>
      </c>
      <c r="J186" s="94" t="s">
        <v>600</v>
      </c>
      <c r="K186" s="94" t="s">
        <v>39</v>
      </c>
      <c r="L186" s="94" t="s">
        <v>40</v>
      </c>
      <c r="M186" s="94" t="s">
        <v>40</v>
      </c>
      <c r="N186" s="94" t="s">
        <v>560</v>
      </c>
      <c r="O186" s="94" t="s">
        <v>561</v>
      </c>
      <c r="P186" s="94" t="s">
        <v>100</v>
      </c>
      <c r="Q186" s="94" t="s">
        <v>562</v>
      </c>
      <c r="R186" s="94" t="s">
        <v>585</v>
      </c>
      <c r="S186" s="98"/>
      <c r="T186" s="94"/>
      <c r="U186" s="94"/>
      <c r="V186" s="70"/>
      <c r="W186" s="73" t="str">
        <f t="shared" si="2"/>
        <v/>
      </c>
      <c r="X186" s="73" t="str">
        <f t="shared" si="3"/>
        <v/>
      </c>
      <c r="Y186" s="73" t="str">
        <f t="shared" si="4"/>
        <v/>
      </c>
      <c r="Z186" s="73" t="str">
        <f t="shared" si="5"/>
        <v>X</v>
      </c>
      <c r="AA186" s="73" t="s">
        <v>29</v>
      </c>
      <c r="AB186" s="73" t="str">
        <f t="shared" si="6"/>
        <v>Trim 4</v>
      </c>
      <c r="AC186" s="73">
        <f t="shared" si="7"/>
        <v>0</v>
      </c>
      <c r="AD186" s="73">
        <f t="shared" si="8"/>
        <v>0</v>
      </c>
      <c r="AE186" s="73"/>
      <c r="AF186" s="73"/>
      <c r="AG186" s="73"/>
      <c r="AH186" s="73"/>
      <c r="AI186" s="73"/>
    </row>
    <row r="187" spans="1:35" ht="60">
      <c r="A187" s="94" t="s">
        <v>554</v>
      </c>
      <c r="B187" s="94">
        <v>1</v>
      </c>
      <c r="C187" s="94" t="s">
        <v>555</v>
      </c>
      <c r="D187" s="96">
        <v>0.51</v>
      </c>
      <c r="E187" s="94" t="s">
        <v>604</v>
      </c>
      <c r="F187" s="95" t="s">
        <v>605</v>
      </c>
      <c r="G187" s="98">
        <f t="shared" si="16"/>
        <v>1.5454545454545455E-2</v>
      </c>
      <c r="H187" s="95" t="s">
        <v>606</v>
      </c>
      <c r="I187" s="94" t="s">
        <v>607</v>
      </c>
      <c r="J187" s="94" t="s">
        <v>600</v>
      </c>
      <c r="K187" s="94" t="s">
        <v>108</v>
      </c>
      <c r="L187" s="94" t="s">
        <v>40</v>
      </c>
      <c r="M187" s="94" t="s">
        <v>40</v>
      </c>
      <c r="N187" s="94" t="s">
        <v>64</v>
      </c>
      <c r="O187" s="94" t="s">
        <v>65</v>
      </c>
      <c r="P187" s="94" t="s">
        <v>100</v>
      </c>
      <c r="Q187" s="94" t="s">
        <v>44</v>
      </c>
      <c r="R187" s="94" t="s">
        <v>585</v>
      </c>
      <c r="S187" s="98">
        <v>1.7299999999999999E-2</v>
      </c>
      <c r="T187" s="94" t="s">
        <v>45</v>
      </c>
      <c r="U187" s="94"/>
      <c r="V187" s="70"/>
      <c r="W187" s="73" t="str">
        <f t="shared" si="2"/>
        <v>X</v>
      </c>
      <c r="X187" s="73" t="str">
        <f t="shared" si="3"/>
        <v/>
      </c>
      <c r="Y187" s="73" t="str">
        <f t="shared" si="4"/>
        <v/>
      </c>
      <c r="Z187" s="73" t="str">
        <f t="shared" si="5"/>
        <v/>
      </c>
      <c r="AA187" s="73" t="s">
        <v>26</v>
      </c>
      <c r="AB187" s="73" t="str">
        <f t="shared" si="6"/>
        <v>Trim 1</v>
      </c>
      <c r="AC187" s="73">
        <f t="shared" si="7"/>
        <v>0</v>
      </c>
      <c r="AD187" s="73">
        <f t="shared" si="8"/>
        <v>1</v>
      </c>
      <c r="AE187" s="73"/>
      <c r="AF187" s="73"/>
      <c r="AG187" s="73"/>
      <c r="AH187" s="73"/>
      <c r="AI187" s="73"/>
    </row>
    <row r="188" spans="1:35" ht="60">
      <c r="A188" s="94" t="s">
        <v>554</v>
      </c>
      <c r="B188" s="94">
        <v>1</v>
      </c>
      <c r="C188" s="94" t="s">
        <v>555</v>
      </c>
      <c r="D188" s="96">
        <v>0.51</v>
      </c>
      <c r="E188" s="94" t="s">
        <v>608</v>
      </c>
      <c r="F188" s="95" t="s">
        <v>609</v>
      </c>
      <c r="G188" s="98">
        <f t="shared" si="16"/>
        <v>1.5454545454545455E-2</v>
      </c>
      <c r="H188" s="95" t="s">
        <v>610</v>
      </c>
      <c r="I188" s="94" t="s">
        <v>611</v>
      </c>
      <c r="J188" s="94" t="s">
        <v>600</v>
      </c>
      <c r="K188" s="94" t="s">
        <v>109</v>
      </c>
      <c r="L188" s="94" t="s">
        <v>40</v>
      </c>
      <c r="M188" s="94" t="s">
        <v>40</v>
      </c>
      <c r="N188" s="94" t="s">
        <v>560</v>
      </c>
      <c r="O188" s="94" t="s">
        <v>561</v>
      </c>
      <c r="P188" s="94" t="s">
        <v>100</v>
      </c>
      <c r="Q188" s="94" t="s">
        <v>562</v>
      </c>
      <c r="R188" s="94" t="s">
        <v>585</v>
      </c>
      <c r="S188" s="98"/>
      <c r="T188" s="94"/>
      <c r="U188" s="94"/>
      <c r="V188" s="70"/>
      <c r="W188" s="73" t="str">
        <f t="shared" si="2"/>
        <v/>
      </c>
      <c r="X188" s="73" t="str">
        <f t="shared" si="3"/>
        <v>X</v>
      </c>
      <c r="Y188" s="73" t="str">
        <f t="shared" si="4"/>
        <v/>
      </c>
      <c r="Z188" s="73" t="str">
        <f t="shared" si="5"/>
        <v/>
      </c>
      <c r="AA188" s="73" t="s">
        <v>27</v>
      </c>
      <c r="AB188" s="73" t="str">
        <f t="shared" si="6"/>
        <v>Trim 2</v>
      </c>
      <c r="AC188" s="73">
        <f t="shared" si="7"/>
        <v>0</v>
      </c>
      <c r="AD188" s="73">
        <f t="shared" si="8"/>
        <v>0</v>
      </c>
      <c r="AE188" s="73"/>
      <c r="AF188" s="73"/>
      <c r="AG188" s="73"/>
      <c r="AH188" s="73"/>
      <c r="AI188" s="73"/>
    </row>
    <row r="189" spans="1:35" ht="60">
      <c r="A189" s="94" t="s">
        <v>554</v>
      </c>
      <c r="B189" s="94">
        <v>1</v>
      </c>
      <c r="C189" s="94" t="s">
        <v>555</v>
      </c>
      <c r="D189" s="96">
        <v>0.51</v>
      </c>
      <c r="E189" s="94" t="s">
        <v>612</v>
      </c>
      <c r="F189" s="95" t="s">
        <v>613</v>
      </c>
      <c r="G189" s="98">
        <f t="shared" si="16"/>
        <v>1.5454545454545455E-2</v>
      </c>
      <c r="H189" s="95" t="s">
        <v>614</v>
      </c>
      <c r="I189" s="94" t="s">
        <v>588</v>
      </c>
      <c r="J189" s="94" t="s">
        <v>600</v>
      </c>
      <c r="K189" s="94" t="s">
        <v>97</v>
      </c>
      <c r="L189" s="94" t="s">
        <v>40</v>
      </c>
      <c r="M189" s="94" t="s">
        <v>40</v>
      </c>
      <c r="N189" s="94" t="s">
        <v>560</v>
      </c>
      <c r="O189" s="94" t="s">
        <v>561</v>
      </c>
      <c r="P189" s="94" t="s">
        <v>100</v>
      </c>
      <c r="Q189" s="94" t="s">
        <v>562</v>
      </c>
      <c r="R189" s="94" t="s">
        <v>615</v>
      </c>
      <c r="S189" s="98">
        <v>1.7299999999999999E-2</v>
      </c>
      <c r="T189" s="94" t="s">
        <v>97</v>
      </c>
      <c r="U189" s="94"/>
      <c r="V189" s="70"/>
      <c r="W189" s="73" t="str">
        <f t="shared" si="2"/>
        <v>X</v>
      </c>
      <c r="X189" s="73" t="str">
        <f t="shared" si="3"/>
        <v/>
      </c>
      <c r="Y189" s="73" t="str">
        <f t="shared" si="4"/>
        <v/>
      </c>
      <c r="Z189" s="73" t="str">
        <f t="shared" si="5"/>
        <v/>
      </c>
      <c r="AA189" s="73" t="s">
        <v>26</v>
      </c>
      <c r="AB189" s="73" t="str">
        <f t="shared" si="6"/>
        <v>Trim 1</v>
      </c>
      <c r="AC189" s="73">
        <f t="shared" si="7"/>
        <v>0</v>
      </c>
      <c r="AD189" s="73">
        <f t="shared" si="8"/>
        <v>1</v>
      </c>
      <c r="AE189" s="73"/>
      <c r="AF189" s="73"/>
      <c r="AG189" s="73"/>
      <c r="AH189" s="73"/>
      <c r="AI189" s="73"/>
    </row>
    <row r="190" spans="1:35" ht="60">
      <c r="A190" s="94" t="s">
        <v>554</v>
      </c>
      <c r="B190" s="94">
        <v>1</v>
      </c>
      <c r="C190" s="94" t="s">
        <v>555</v>
      </c>
      <c r="D190" s="96">
        <v>0.51</v>
      </c>
      <c r="E190" s="94" t="s">
        <v>616</v>
      </c>
      <c r="F190" s="95" t="s">
        <v>617</v>
      </c>
      <c r="G190" s="98">
        <f t="shared" si="16"/>
        <v>1.5454545454545455E-2</v>
      </c>
      <c r="H190" s="95" t="s">
        <v>618</v>
      </c>
      <c r="I190" s="94" t="s">
        <v>619</v>
      </c>
      <c r="J190" s="94" t="s">
        <v>600</v>
      </c>
      <c r="K190" s="94" t="s">
        <v>113</v>
      </c>
      <c r="L190" s="94" t="s">
        <v>40</v>
      </c>
      <c r="M190" s="94" t="s">
        <v>40</v>
      </c>
      <c r="N190" s="94" t="s">
        <v>560</v>
      </c>
      <c r="O190" s="94" t="s">
        <v>561</v>
      </c>
      <c r="P190" s="94" t="s">
        <v>100</v>
      </c>
      <c r="Q190" s="94" t="s">
        <v>562</v>
      </c>
      <c r="R190" s="94" t="s">
        <v>615</v>
      </c>
      <c r="S190" s="98"/>
      <c r="T190" s="94"/>
      <c r="U190" s="94"/>
      <c r="V190" s="70"/>
      <c r="W190" s="73" t="str">
        <f t="shared" si="2"/>
        <v/>
      </c>
      <c r="X190" s="73" t="str">
        <f t="shared" si="3"/>
        <v/>
      </c>
      <c r="Y190" s="73" t="str">
        <f t="shared" si="4"/>
        <v>X</v>
      </c>
      <c r="Z190" s="73" t="str">
        <f t="shared" si="5"/>
        <v/>
      </c>
      <c r="AA190" s="73" t="s">
        <v>28</v>
      </c>
      <c r="AB190" s="73" t="str">
        <f t="shared" si="6"/>
        <v>Trim 3</v>
      </c>
      <c r="AC190" s="73">
        <f t="shared" si="7"/>
        <v>0</v>
      </c>
      <c r="AD190" s="73">
        <f t="shared" si="8"/>
        <v>0</v>
      </c>
      <c r="AE190" s="73"/>
      <c r="AF190" s="73"/>
      <c r="AG190" s="73"/>
      <c r="AH190" s="73"/>
      <c r="AI190" s="73"/>
    </row>
    <row r="191" spans="1:35" ht="60">
      <c r="A191" s="94" t="s">
        <v>554</v>
      </c>
      <c r="B191" s="94">
        <v>1</v>
      </c>
      <c r="C191" s="94" t="s">
        <v>555</v>
      </c>
      <c r="D191" s="96">
        <v>0.51</v>
      </c>
      <c r="E191" s="94" t="s">
        <v>620</v>
      </c>
      <c r="F191" s="95" t="s">
        <v>617</v>
      </c>
      <c r="G191" s="98">
        <f t="shared" si="16"/>
        <v>1.5454545454545455E-2</v>
      </c>
      <c r="H191" s="95" t="s">
        <v>618</v>
      </c>
      <c r="I191" s="94" t="s">
        <v>619</v>
      </c>
      <c r="J191" s="94" t="s">
        <v>600</v>
      </c>
      <c r="K191" s="94" t="s">
        <v>176</v>
      </c>
      <c r="L191" s="94" t="s">
        <v>40</v>
      </c>
      <c r="M191" s="94" t="s">
        <v>40</v>
      </c>
      <c r="N191" s="94" t="s">
        <v>560</v>
      </c>
      <c r="O191" s="94" t="s">
        <v>561</v>
      </c>
      <c r="P191" s="94" t="s">
        <v>100</v>
      </c>
      <c r="Q191" s="94" t="s">
        <v>562</v>
      </c>
      <c r="R191" s="94" t="s">
        <v>615</v>
      </c>
      <c r="S191" s="98"/>
      <c r="T191" s="94"/>
      <c r="U191" s="94"/>
      <c r="V191" s="70"/>
      <c r="W191" s="73" t="str">
        <f t="shared" si="2"/>
        <v/>
      </c>
      <c r="X191" s="73" t="str">
        <f t="shared" si="3"/>
        <v/>
      </c>
      <c r="Y191" s="73" t="str">
        <f t="shared" si="4"/>
        <v/>
      </c>
      <c r="Z191" s="73" t="str">
        <f t="shared" si="5"/>
        <v>X</v>
      </c>
      <c r="AA191" s="73" t="s">
        <v>29</v>
      </c>
      <c r="AB191" s="73" t="str">
        <f t="shared" si="6"/>
        <v>Trim 4</v>
      </c>
      <c r="AC191" s="73">
        <f t="shared" si="7"/>
        <v>0</v>
      </c>
      <c r="AD191" s="73">
        <f t="shared" si="8"/>
        <v>0</v>
      </c>
      <c r="AE191" s="73"/>
      <c r="AF191" s="73"/>
      <c r="AG191" s="73"/>
      <c r="AH191" s="73"/>
      <c r="AI191" s="73"/>
    </row>
    <row r="192" spans="1:35" ht="45">
      <c r="A192" s="94" t="s">
        <v>554</v>
      </c>
      <c r="B192" s="94">
        <v>2</v>
      </c>
      <c r="C192" s="94" t="s">
        <v>621</v>
      </c>
      <c r="D192" s="96">
        <v>0.3</v>
      </c>
      <c r="E192" s="94" t="s">
        <v>56</v>
      </c>
      <c r="F192" s="95" t="s">
        <v>622</v>
      </c>
      <c r="G192" s="98">
        <f t="shared" ref="G192:G199" si="17">D192/8</f>
        <v>3.7499999999999999E-2</v>
      </c>
      <c r="H192" s="95" t="s">
        <v>623</v>
      </c>
      <c r="I192" s="94" t="s">
        <v>588</v>
      </c>
      <c r="J192" s="94" t="s">
        <v>624</v>
      </c>
      <c r="K192" s="94" t="s">
        <v>109</v>
      </c>
      <c r="L192" s="94" t="s">
        <v>40</v>
      </c>
      <c r="M192" s="94" t="s">
        <v>40</v>
      </c>
      <c r="N192" s="94" t="s">
        <v>64</v>
      </c>
      <c r="O192" s="94" t="s">
        <v>65</v>
      </c>
      <c r="P192" s="94" t="s">
        <v>100</v>
      </c>
      <c r="Q192" s="94" t="s">
        <v>44</v>
      </c>
      <c r="R192" s="94" t="s">
        <v>585</v>
      </c>
      <c r="S192" s="98"/>
      <c r="T192" s="94"/>
      <c r="U192" s="94"/>
      <c r="V192" s="70"/>
      <c r="W192" s="73" t="str">
        <f t="shared" si="2"/>
        <v/>
      </c>
      <c r="X192" s="73" t="str">
        <f t="shared" si="3"/>
        <v>X</v>
      </c>
      <c r="Y192" s="73" t="str">
        <f t="shared" si="4"/>
        <v/>
      </c>
      <c r="Z192" s="73" t="str">
        <f t="shared" si="5"/>
        <v/>
      </c>
      <c r="AA192" s="73" t="s">
        <v>27</v>
      </c>
      <c r="AB192" s="73" t="str">
        <f t="shared" si="6"/>
        <v>Trim 2</v>
      </c>
      <c r="AC192" s="73">
        <f t="shared" si="7"/>
        <v>0</v>
      </c>
      <c r="AD192" s="73">
        <f t="shared" si="8"/>
        <v>0</v>
      </c>
      <c r="AE192" s="73"/>
      <c r="AF192" s="73"/>
      <c r="AG192" s="73"/>
      <c r="AH192" s="73"/>
      <c r="AI192" s="73"/>
    </row>
    <row r="193" spans="1:35" ht="60">
      <c r="A193" s="94" t="s">
        <v>554</v>
      </c>
      <c r="B193" s="94">
        <v>2</v>
      </c>
      <c r="C193" s="94" t="s">
        <v>621</v>
      </c>
      <c r="D193" s="96">
        <v>0.3</v>
      </c>
      <c r="E193" s="94" t="s">
        <v>60</v>
      </c>
      <c r="F193" s="95" t="s">
        <v>625</v>
      </c>
      <c r="G193" s="98">
        <f t="shared" si="17"/>
        <v>3.7499999999999999E-2</v>
      </c>
      <c r="H193" s="95" t="s">
        <v>626</v>
      </c>
      <c r="I193" s="94" t="s">
        <v>588</v>
      </c>
      <c r="J193" s="94" t="s">
        <v>624</v>
      </c>
      <c r="K193" s="94" t="s">
        <v>111</v>
      </c>
      <c r="L193" s="94" t="s">
        <v>40</v>
      </c>
      <c r="M193" s="94" t="s">
        <v>40</v>
      </c>
      <c r="N193" s="94" t="s">
        <v>560</v>
      </c>
      <c r="O193" s="94" t="s">
        <v>65</v>
      </c>
      <c r="P193" s="94" t="s">
        <v>100</v>
      </c>
      <c r="Q193" s="94" t="s">
        <v>44</v>
      </c>
      <c r="R193" s="94" t="s">
        <v>40</v>
      </c>
      <c r="S193" s="98"/>
      <c r="T193" s="94"/>
      <c r="U193" s="94"/>
      <c r="V193" s="70"/>
      <c r="W193" s="73" t="str">
        <f t="shared" si="2"/>
        <v/>
      </c>
      <c r="X193" s="73" t="str">
        <f t="shared" si="3"/>
        <v>X</v>
      </c>
      <c r="Y193" s="73" t="str">
        <f t="shared" si="4"/>
        <v/>
      </c>
      <c r="Z193" s="73" t="str">
        <f t="shared" si="5"/>
        <v/>
      </c>
      <c r="AA193" s="73" t="s">
        <v>27</v>
      </c>
      <c r="AB193" s="73" t="str">
        <f t="shared" si="6"/>
        <v>Trim 2</v>
      </c>
      <c r="AC193" s="73">
        <f t="shared" si="7"/>
        <v>0</v>
      </c>
      <c r="AD193" s="73">
        <f t="shared" si="8"/>
        <v>0</v>
      </c>
      <c r="AE193" s="73"/>
      <c r="AF193" s="73"/>
      <c r="AG193" s="73"/>
      <c r="AH193" s="73"/>
      <c r="AI193" s="73"/>
    </row>
    <row r="194" spans="1:35" ht="45">
      <c r="A194" s="94" t="s">
        <v>554</v>
      </c>
      <c r="B194" s="94">
        <v>2</v>
      </c>
      <c r="C194" s="94" t="s">
        <v>621</v>
      </c>
      <c r="D194" s="96">
        <v>0.3</v>
      </c>
      <c r="E194" s="94" t="s">
        <v>63</v>
      </c>
      <c r="F194" s="95" t="s">
        <v>627</v>
      </c>
      <c r="G194" s="98">
        <f t="shared" si="17"/>
        <v>3.7499999999999999E-2</v>
      </c>
      <c r="H194" s="95" t="s">
        <v>628</v>
      </c>
      <c r="I194" s="94" t="s">
        <v>588</v>
      </c>
      <c r="J194" s="94" t="s">
        <v>624</v>
      </c>
      <c r="K194" s="94" t="s">
        <v>111</v>
      </c>
      <c r="L194" s="94" t="s">
        <v>40</v>
      </c>
      <c r="M194" s="94" t="s">
        <v>40</v>
      </c>
      <c r="N194" s="94" t="s">
        <v>560</v>
      </c>
      <c r="O194" s="94" t="s">
        <v>65</v>
      </c>
      <c r="P194" s="94" t="s">
        <v>100</v>
      </c>
      <c r="Q194" s="94" t="s">
        <v>44</v>
      </c>
      <c r="R194" s="94" t="s">
        <v>40</v>
      </c>
      <c r="S194" s="98"/>
      <c r="T194" s="94"/>
      <c r="U194" s="94"/>
      <c r="V194" s="70"/>
      <c r="W194" s="73" t="str">
        <f t="shared" si="2"/>
        <v/>
      </c>
      <c r="X194" s="73" t="str">
        <f t="shared" si="3"/>
        <v>X</v>
      </c>
      <c r="Y194" s="73" t="str">
        <f t="shared" si="4"/>
        <v/>
      </c>
      <c r="Z194" s="73" t="str">
        <f t="shared" si="5"/>
        <v/>
      </c>
      <c r="AA194" s="73" t="s">
        <v>27</v>
      </c>
      <c r="AB194" s="73" t="str">
        <f t="shared" si="6"/>
        <v>Trim 2</v>
      </c>
      <c r="AC194" s="73">
        <f t="shared" si="7"/>
        <v>0</v>
      </c>
      <c r="AD194" s="73">
        <f t="shared" si="8"/>
        <v>0</v>
      </c>
      <c r="AE194" s="73"/>
      <c r="AF194" s="73"/>
      <c r="AG194" s="73"/>
      <c r="AH194" s="73"/>
      <c r="AI194" s="73"/>
    </row>
    <row r="195" spans="1:35" ht="90">
      <c r="A195" s="94" t="s">
        <v>554</v>
      </c>
      <c r="B195" s="94">
        <v>2</v>
      </c>
      <c r="C195" s="94" t="s">
        <v>621</v>
      </c>
      <c r="D195" s="96">
        <v>0.3</v>
      </c>
      <c r="E195" s="94" t="s">
        <v>110</v>
      </c>
      <c r="F195" s="95" t="s">
        <v>629</v>
      </c>
      <c r="G195" s="98">
        <f t="shared" si="17"/>
        <v>3.7499999999999999E-2</v>
      </c>
      <c r="H195" s="95" t="s">
        <v>630</v>
      </c>
      <c r="I195" s="94" t="s">
        <v>631</v>
      </c>
      <c r="J195" s="94" t="s">
        <v>624</v>
      </c>
      <c r="K195" s="94" t="s">
        <v>115</v>
      </c>
      <c r="L195" s="94" t="s">
        <v>40</v>
      </c>
      <c r="M195" s="94" t="s">
        <v>40</v>
      </c>
      <c r="N195" s="94" t="s">
        <v>560</v>
      </c>
      <c r="O195" s="94" t="s">
        <v>65</v>
      </c>
      <c r="P195" s="94" t="s">
        <v>100</v>
      </c>
      <c r="Q195" s="94" t="s">
        <v>44</v>
      </c>
      <c r="R195" s="94" t="s">
        <v>40</v>
      </c>
      <c r="S195" s="98"/>
      <c r="T195" s="94"/>
      <c r="U195" s="94"/>
      <c r="V195" s="70"/>
      <c r="W195" s="73" t="str">
        <f t="shared" si="2"/>
        <v/>
      </c>
      <c r="X195" s="73" t="str">
        <f t="shared" si="3"/>
        <v/>
      </c>
      <c r="Y195" s="73" t="str">
        <f t="shared" si="4"/>
        <v>X</v>
      </c>
      <c r="Z195" s="73" t="str">
        <f t="shared" si="5"/>
        <v/>
      </c>
      <c r="AA195" s="73" t="s">
        <v>28</v>
      </c>
      <c r="AB195" s="73" t="str">
        <f t="shared" si="6"/>
        <v>Trim 3</v>
      </c>
      <c r="AC195" s="73">
        <f t="shared" si="7"/>
        <v>0</v>
      </c>
      <c r="AD195" s="73">
        <f t="shared" si="8"/>
        <v>0</v>
      </c>
      <c r="AE195" s="73"/>
      <c r="AF195" s="73"/>
      <c r="AG195" s="73"/>
      <c r="AH195" s="73"/>
      <c r="AI195" s="73"/>
    </row>
    <row r="196" spans="1:35" ht="60">
      <c r="A196" s="94" t="s">
        <v>554</v>
      </c>
      <c r="B196" s="94">
        <v>2</v>
      </c>
      <c r="C196" s="94" t="s">
        <v>621</v>
      </c>
      <c r="D196" s="96">
        <v>0.3</v>
      </c>
      <c r="E196" s="94" t="s">
        <v>112</v>
      </c>
      <c r="F196" s="95" t="s">
        <v>632</v>
      </c>
      <c r="G196" s="98">
        <f t="shared" si="17"/>
        <v>3.7499999999999999E-2</v>
      </c>
      <c r="H196" s="95" t="s">
        <v>633</v>
      </c>
      <c r="I196" s="94" t="s">
        <v>588</v>
      </c>
      <c r="J196" s="94" t="s">
        <v>624</v>
      </c>
      <c r="K196" s="94" t="s">
        <v>39</v>
      </c>
      <c r="L196" s="94" t="s">
        <v>40</v>
      </c>
      <c r="M196" s="94" t="s">
        <v>40</v>
      </c>
      <c r="N196" s="94" t="s">
        <v>560</v>
      </c>
      <c r="O196" s="94" t="s">
        <v>65</v>
      </c>
      <c r="P196" s="94" t="s">
        <v>100</v>
      </c>
      <c r="Q196" s="94" t="s">
        <v>44</v>
      </c>
      <c r="R196" s="94" t="s">
        <v>40</v>
      </c>
      <c r="S196" s="98"/>
      <c r="T196" s="94"/>
      <c r="U196" s="94"/>
      <c r="V196" s="70"/>
      <c r="W196" s="73" t="str">
        <f t="shared" si="2"/>
        <v/>
      </c>
      <c r="X196" s="73" t="str">
        <f t="shared" si="3"/>
        <v/>
      </c>
      <c r="Y196" s="73" t="str">
        <f t="shared" si="4"/>
        <v/>
      </c>
      <c r="Z196" s="73" t="str">
        <f t="shared" si="5"/>
        <v>X</v>
      </c>
      <c r="AA196" s="73" t="s">
        <v>29</v>
      </c>
      <c r="AB196" s="73" t="str">
        <f t="shared" si="6"/>
        <v>Trim 4</v>
      </c>
      <c r="AC196" s="73">
        <f t="shared" si="7"/>
        <v>0</v>
      </c>
      <c r="AD196" s="73">
        <f t="shared" si="8"/>
        <v>0</v>
      </c>
      <c r="AE196" s="73"/>
      <c r="AF196" s="73"/>
      <c r="AG196" s="73"/>
      <c r="AH196" s="73"/>
      <c r="AI196" s="73"/>
    </row>
    <row r="197" spans="1:35" ht="75">
      <c r="A197" s="94" t="s">
        <v>554</v>
      </c>
      <c r="B197" s="94">
        <v>2</v>
      </c>
      <c r="C197" s="94" t="s">
        <v>621</v>
      </c>
      <c r="D197" s="96">
        <v>0.3</v>
      </c>
      <c r="E197" s="94" t="s">
        <v>114</v>
      </c>
      <c r="F197" s="95" t="s">
        <v>634</v>
      </c>
      <c r="G197" s="98">
        <f t="shared" si="17"/>
        <v>3.7499999999999999E-2</v>
      </c>
      <c r="H197" s="95" t="s">
        <v>635</v>
      </c>
      <c r="I197" s="94" t="s">
        <v>588</v>
      </c>
      <c r="J197" s="94" t="s">
        <v>624</v>
      </c>
      <c r="K197" s="94" t="s">
        <v>39</v>
      </c>
      <c r="L197" s="94" t="s">
        <v>40</v>
      </c>
      <c r="M197" s="94" t="s">
        <v>40</v>
      </c>
      <c r="N197" s="94" t="s">
        <v>560</v>
      </c>
      <c r="O197" s="94" t="s">
        <v>65</v>
      </c>
      <c r="P197" s="94" t="s">
        <v>100</v>
      </c>
      <c r="Q197" s="94" t="s">
        <v>44</v>
      </c>
      <c r="R197" s="94" t="s">
        <v>40</v>
      </c>
      <c r="S197" s="98"/>
      <c r="T197" s="94"/>
      <c r="U197" s="94"/>
      <c r="V197" s="70"/>
      <c r="W197" s="73" t="str">
        <f t="shared" si="2"/>
        <v/>
      </c>
      <c r="X197" s="73" t="str">
        <f t="shared" si="3"/>
        <v/>
      </c>
      <c r="Y197" s="73" t="str">
        <f t="shared" si="4"/>
        <v/>
      </c>
      <c r="Z197" s="73" t="str">
        <f t="shared" si="5"/>
        <v>X</v>
      </c>
      <c r="AA197" s="73" t="s">
        <v>29</v>
      </c>
      <c r="AB197" s="73" t="str">
        <f t="shared" si="6"/>
        <v>Trim 4</v>
      </c>
      <c r="AC197" s="73">
        <f t="shared" si="7"/>
        <v>0</v>
      </c>
      <c r="AD197" s="73">
        <f t="shared" si="8"/>
        <v>0</v>
      </c>
      <c r="AE197" s="73"/>
      <c r="AF197" s="73"/>
      <c r="AG197" s="73"/>
      <c r="AH197" s="73"/>
      <c r="AI197" s="73"/>
    </row>
    <row r="198" spans="1:35" ht="75">
      <c r="A198" s="94" t="s">
        <v>554</v>
      </c>
      <c r="B198" s="94">
        <v>2</v>
      </c>
      <c r="C198" s="94" t="s">
        <v>621</v>
      </c>
      <c r="D198" s="96">
        <v>0.3</v>
      </c>
      <c r="E198" s="94" t="s">
        <v>116</v>
      </c>
      <c r="F198" s="95" t="s">
        <v>636</v>
      </c>
      <c r="G198" s="98">
        <f t="shared" si="17"/>
        <v>3.7499999999999999E-2</v>
      </c>
      <c r="H198" s="95" t="s">
        <v>637</v>
      </c>
      <c r="I198" s="94" t="s">
        <v>588</v>
      </c>
      <c r="J198" s="94" t="s">
        <v>624</v>
      </c>
      <c r="K198" s="94" t="s">
        <v>39</v>
      </c>
      <c r="L198" s="94" t="s">
        <v>40</v>
      </c>
      <c r="M198" s="94" t="s">
        <v>40</v>
      </c>
      <c r="N198" s="94" t="s">
        <v>560</v>
      </c>
      <c r="O198" s="94" t="s">
        <v>65</v>
      </c>
      <c r="P198" s="94" t="s">
        <v>100</v>
      </c>
      <c r="Q198" s="94" t="s">
        <v>44</v>
      </c>
      <c r="R198" s="94" t="s">
        <v>40</v>
      </c>
      <c r="S198" s="98"/>
      <c r="T198" s="94"/>
      <c r="U198" s="94"/>
      <c r="V198" s="70"/>
      <c r="W198" s="73" t="str">
        <f t="shared" si="2"/>
        <v/>
      </c>
      <c r="X198" s="73" t="str">
        <f t="shared" si="3"/>
        <v/>
      </c>
      <c r="Y198" s="73" t="str">
        <f t="shared" si="4"/>
        <v/>
      </c>
      <c r="Z198" s="73" t="str">
        <f t="shared" si="5"/>
        <v>X</v>
      </c>
      <c r="AA198" s="73" t="s">
        <v>29</v>
      </c>
      <c r="AB198" s="73" t="str">
        <f t="shared" si="6"/>
        <v>Trim 4</v>
      </c>
      <c r="AC198" s="73">
        <f t="shared" si="7"/>
        <v>0</v>
      </c>
      <c r="AD198" s="73">
        <f t="shared" si="8"/>
        <v>0</v>
      </c>
      <c r="AE198" s="73"/>
      <c r="AF198" s="73"/>
      <c r="AG198" s="73"/>
      <c r="AH198" s="73"/>
      <c r="AI198" s="73"/>
    </row>
    <row r="199" spans="1:35" ht="60">
      <c r="A199" s="94" t="s">
        <v>554</v>
      </c>
      <c r="B199" s="94">
        <v>2</v>
      </c>
      <c r="C199" s="94" t="s">
        <v>621</v>
      </c>
      <c r="D199" s="96">
        <v>0.3</v>
      </c>
      <c r="E199" s="94" t="s">
        <v>118</v>
      </c>
      <c r="F199" s="95" t="s">
        <v>638</v>
      </c>
      <c r="G199" s="98">
        <f t="shared" si="17"/>
        <v>3.7499999999999999E-2</v>
      </c>
      <c r="H199" s="95" t="s">
        <v>639</v>
      </c>
      <c r="I199" s="94" t="s">
        <v>588</v>
      </c>
      <c r="J199" s="94" t="s">
        <v>624</v>
      </c>
      <c r="K199" s="94" t="s">
        <v>39</v>
      </c>
      <c r="L199" s="94" t="s">
        <v>40</v>
      </c>
      <c r="M199" s="94" t="s">
        <v>40</v>
      </c>
      <c r="N199" s="94" t="s">
        <v>560</v>
      </c>
      <c r="O199" s="94" t="s">
        <v>65</v>
      </c>
      <c r="P199" s="94" t="s">
        <v>100</v>
      </c>
      <c r="Q199" s="94" t="s">
        <v>44</v>
      </c>
      <c r="R199" s="94" t="s">
        <v>40</v>
      </c>
      <c r="S199" s="98"/>
      <c r="T199" s="94"/>
      <c r="U199" s="94"/>
      <c r="V199" s="70"/>
      <c r="W199" s="73" t="str">
        <f t="shared" si="2"/>
        <v/>
      </c>
      <c r="X199" s="73" t="str">
        <f t="shared" si="3"/>
        <v/>
      </c>
      <c r="Y199" s="73" t="str">
        <f t="shared" si="4"/>
        <v/>
      </c>
      <c r="Z199" s="73" t="str">
        <f t="shared" si="5"/>
        <v>X</v>
      </c>
      <c r="AA199" s="73" t="s">
        <v>29</v>
      </c>
      <c r="AB199" s="73" t="str">
        <f t="shared" si="6"/>
        <v>Trim 4</v>
      </c>
      <c r="AC199" s="73">
        <f t="shared" si="7"/>
        <v>0</v>
      </c>
      <c r="AD199" s="73">
        <f t="shared" si="8"/>
        <v>0</v>
      </c>
      <c r="AE199" s="73"/>
      <c r="AF199" s="73"/>
      <c r="AG199" s="73"/>
      <c r="AH199" s="73"/>
      <c r="AI199" s="73"/>
    </row>
    <row r="200" spans="1:35" ht="105">
      <c r="A200" s="94" t="s">
        <v>554</v>
      </c>
      <c r="B200" s="94">
        <v>4</v>
      </c>
      <c r="C200" s="94" t="s">
        <v>640</v>
      </c>
      <c r="D200" s="96">
        <v>7.0000000000000007E-2</v>
      </c>
      <c r="E200" s="94" t="s">
        <v>79</v>
      </c>
      <c r="F200" s="95" t="s">
        <v>641</v>
      </c>
      <c r="G200" s="98">
        <f t="shared" ref="G200:G202" si="18">D200/3</f>
        <v>2.3333333333333334E-2</v>
      </c>
      <c r="H200" s="95" t="s">
        <v>642</v>
      </c>
      <c r="I200" s="94" t="s">
        <v>558</v>
      </c>
      <c r="J200" s="94" t="s">
        <v>579</v>
      </c>
      <c r="K200" s="94" t="s">
        <v>45</v>
      </c>
      <c r="L200" s="94" t="s">
        <v>40</v>
      </c>
      <c r="M200" s="94" t="s">
        <v>40</v>
      </c>
      <c r="N200" s="94" t="s">
        <v>64</v>
      </c>
      <c r="O200" s="94" t="s">
        <v>643</v>
      </c>
      <c r="P200" s="94" t="s">
        <v>100</v>
      </c>
      <c r="Q200" s="94" t="s">
        <v>644</v>
      </c>
      <c r="R200" s="94" t="s">
        <v>173</v>
      </c>
      <c r="S200" s="98">
        <v>1.7500000000000002E-2</v>
      </c>
      <c r="T200" s="94" t="s">
        <v>45</v>
      </c>
      <c r="U200" s="94"/>
      <c r="V200" s="70"/>
      <c r="W200" s="73" t="str">
        <f t="shared" si="2"/>
        <v>X</v>
      </c>
      <c r="X200" s="73" t="str">
        <f t="shared" si="3"/>
        <v/>
      </c>
      <c r="Y200" s="73" t="str">
        <f t="shared" si="4"/>
        <v/>
      </c>
      <c r="Z200" s="73" t="str">
        <f t="shared" si="5"/>
        <v/>
      </c>
      <c r="AA200" s="73" t="s">
        <v>26</v>
      </c>
      <c r="AB200" s="73" t="str">
        <f t="shared" si="6"/>
        <v>Trim 1</v>
      </c>
      <c r="AC200" s="73">
        <f t="shared" si="7"/>
        <v>0</v>
      </c>
      <c r="AD200" s="73">
        <f t="shared" si="8"/>
        <v>1</v>
      </c>
      <c r="AE200" s="73"/>
      <c r="AF200" s="73"/>
      <c r="AG200" s="73"/>
      <c r="AH200" s="73"/>
      <c r="AI200" s="73"/>
    </row>
    <row r="201" spans="1:35" ht="105">
      <c r="A201" s="94" t="s">
        <v>554</v>
      </c>
      <c r="B201" s="94">
        <v>4</v>
      </c>
      <c r="C201" s="94" t="s">
        <v>640</v>
      </c>
      <c r="D201" s="96">
        <v>7.0000000000000007E-2</v>
      </c>
      <c r="E201" s="94" t="s">
        <v>83</v>
      </c>
      <c r="F201" s="95" t="s">
        <v>645</v>
      </c>
      <c r="G201" s="98">
        <f t="shared" si="18"/>
        <v>2.3333333333333334E-2</v>
      </c>
      <c r="H201" s="95" t="s">
        <v>642</v>
      </c>
      <c r="I201" s="94" t="s">
        <v>558</v>
      </c>
      <c r="J201" s="94" t="s">
        <v>579</v>
      </c>
      <c r="K201" s="94" t="s">
        <v>111</v>
      </c>
      <c r="L201" s="94" t="s">
        <v>40</v>
      </c>
      <c r="M201" s="94" t="s">
        <v>40</v>
      </c>
      <c r="N201" s="94" t="s">
        <v>64</v>
      </c>
      <c r="O201" s="94" t="s">
        <v>643</v>
      </c>
      <c r="P201" s="94" t="s">
        <v>100</v>
      </c>
      <c r="Q201" s="94" t="s">
        <v>644</v>
      </c>
      <c r="R201" s="94" t="s">
        <v>173</v>
      </c>
      <c r="S201" s="98"/>
      <c r="T201" s="94"/>
      <c r="U201" s="94"/>
      <c r="V201" s="70"/>
      <c r="W201" s="73" t="str">
        <f t="shared" si="2"/>
        <v/>
      </c>
      <c r="X201" s="73" t="str">
        <f t="shared" si="3"/>
        <v>X</v>
      </c>
      <c r="Y201" s="73" t="str">
        <f t="shared" si="4"/>
        <v/>
      </c>
      <c r="Z201" s="73" t="str">
        <f t="shared" si="5"/>
        <v/>
      </c>
      <c r="AA201" s="73" t="s">
        <v>27</v>
      </c>
      <c r="AB201" s="73" t="str">
        <f t="shared" si="6"/>
        <v>Trim 2</v>
      </c>
      <c r="AC201" s="73">
        <f t="shared" si="7"/>
        <v>0</v>
      </c>
      <c r="AD201" s="73">
        <f t="shared" si="8"/>
        <v>0</v>
      </c>
      <c r="AE201" s="73"/>
      <c r="AF201" s="73"/>
      <c r="AG201" s="73"/>
      <c r="AH201" s="73"/>
      <c r="AI201" s="73"/>
    </row>
    <row r="202" spans="1:35" ht="105">
      <c r="A202" s="94" t="s">
        <v>554</v>
      </c>
      <c r="B202" s="94">
        <v>4</v>
      </c>
      <c r="C202" s="94" t="s">
        <v>640</v>
      </c>
      <c r="D202" s="96">
        <v>7.0000000000000007E-2</v>
      </c>
      <c r="E202" s="94" t="s">
        <v>86</v>
      </c>
      <c r="F202" s="95" t="s">
        <v>646</v>
      </c>
      <c r="G202" s="98">
        <f t="shared" si="18"/>
        <v>2.3333333333333334E-2</v>
      </c>
      <c r="H202" s="95" t="s">
        <v>642</v>
      </c>
      <c r="I202" s="94" t="s">
        <v>558</v>
      </c>
      <c r="J202" s="94" t="s">
        <v>579</v>
      </c>
      <c r="K202" s="94" t="s">
        <v>115</v>
      </c>
      <c r="L202" s="94" t="s">
        <v>40</v>
      </c>
      <c r="M202" s="94" t="s">
        <v>40</v>
      </c>
      <c r="N202" s="94" t="s">
        <v>64</v>
      </c>
      <c r="O202" s="94" t="s">
        <v>643</v>
      </c>
      <c r="P202" s="94" t="s">
        <v>100</v>
      </c>
      <c r="Q202" s="94" t="s">
        <v>644</v>
      </c>
      <c r="R202" s="94" t="s">
        <v>173</v>
      </c>
      <c r="S202" s="98"/>
      <c r="T202" s="94"/>
      <c r="U202" s="94"/>
      <c r="V202" s="70"/>
      <c r="W202" s="73" t="str">
        <f t="shared" si="2"/>
        <v/>
      </c>
      <c r="X202" s="73" t="str">
        <f t="shared" si="3"/>
        <v/>
      </c>
      <c r="Y202" s="73" t="str">
        <f t="shared" si="4"/>
        <v>X</v>
      </c>
      <c r="Z202" s="73" t="str">
        <f t="shared" si="5"/>
        <v/>
      </c>
      <c r="AA202" s="73" t="s">
        <v>28</v>
      </c>
      <c r="AB202" s="73" t="str">
        <f t="shared" si="6"/>
        <v>Trim 3</v>
      </c>
      <c r="AC202" s="73">
        <f t="shared" si="7"/>
        <v>0</v>
      </c>
      <c r="AD202" s="73">
        <f t="shared" si="8"/>
        <v>0</v>
      </c>
      <c r="AE202" s="73"/>
      <c r="AF202" s="73"/>
      <c r="AG202" s="73"/>
      <c r="AH202" s="73"/>
      <c r="AI202" s="73"/>
    </row>
    <row r="203" spans="1:35" ht="90">
      <c r="A203" s="94" t="s">
        <v>554</v>
      </c>
      <c r="B203" s="94">
        <v>6</v>
      </c>
      <c r="C203" s="94" t="s">
        <v>647</v>
      </c>
      <c r="D203" s="96">
        <v>0.03</v>
      </c>
      <c r="E203" s="94" t="s">
        <v>648</v>
      </c>
      <c r="F203" s="95" t="s">
        <v>649</v>
      </c>
      <c r="G203" s="98">
        <v>1.4999999999999999E-2</v>
      </c>
      <c r="H203" s="95" t="s">
        <v>650</v>
      </c>
      <c r="I203" s="94" t="s">
        <v>558</v>
      </c>
      <c r="J203" s="94" t="s">
        <v>579</v>
      </c>
      <c r="K203" s="94" t="s">
        <v>113</v>
      </c>
      <c r="L203" s="94" t="s">
        <v>40</v>
      </c>
      <c r="M203" s="94" t="s">
        <v>40</v>
      </c>
      <c r="N203" s="94" t="s">
        <v>560</v>
      </c>
      <c r="O203" s="94" t="s">
        <v>561</v>
      </c>
      <c r="P203" s="94" t="s">
        <v>100</v>
      </c>
      <c r="Q203" s="94" t="s">
        <v>562</v>
      </c>
      <c r="R203" s="94" t="s">
        <v>563</v>
      </c>
      <c r="S203" s="98"/>
      <c r="T203" s="94"/>
      <c r="U203" s="94"/>
      <c r="V203" s="70"/>
      <c r="W203" s="73" t="str">
        <f t="shared" si="2"/>
        <v/>
      </c>
      <c r="X203" s="73" t="str">
        <f t="shared" si="3"/>
        <v/>
      </c>
      <c r="Y203" s="73" t="str">
        <f t="shared" si="4"/>
        <v>X</v>
      </c>
      <c r="Z203" s="73" t="str">
        <f t="shared" si="5"/>
        <v/>
      </c>
      <c r="AA203" s="73" t="s">
        <v>28</v>
      </c>
      <c r="AB203" s="73" t="str">
        <f t="shared" si="6"/>
        <v>Trim 3</v>
      </c>
      <c r="AC203" s="73">
        <f t="shared" si="7"/>
        <v>0</v>
      </c>
      <c r="AD203" s="73">
        <f t="shared" si="8"/>
        <v>0</v>
      </c>
      <c r="AE203" s="73"/>
      <c r="AF203" s="73"/>
      <c r="AG203" s="73"/>
      <c r="AH203" s="73"/>
      <c r="AI203" s="73"/>
    </row>
    <row r="204" spans="1:35" ht="90">
      <c r="A204" s="94" t="s">
        <v>554</v>
      </c>
      <c r="B204" s="94">
        <v>6</v>
      </c>
      <c r="C204" s="94" t="s">
        <v>647</v>
      </c>
      <c r="D204" s="96">
        <v>0.03</v>
      </c>
      <c r="E204" s="94" t="s">
        <v>651</v>
      </c>
      <c r="F204" s="95" t="s">
        <v>649</v>
      </c>
      <c r="G204" s="98">
        <v>1.4999999999999999E-2</v>
      </c>
      <c r="H204" s="95" t="s">
        <v>650</v>
      </c>
      <c r="I204" s="94" t="s">
        <v>558</v>
      </c>
      <c r="J204" s="94" t="s">
        <v>579</v>
      </c>
      <c r="K204" s="94" t="s">
        <v>176</v>
      </c>
      <c r="L204" s="94" t="s">
        <v>40</v>
      </c>
      <c r="M204" s="94" t="s">
        <v>40</v>
      </c>
      <c r="N204" s="94" t="s">
        <v>560</v>
      </c>
      <c r="O204" s="94" t="s">
        <v>561</v>
      </c>
      <c r="P204" s="94" t="s">
        <v>100</v>
      </c>
      <c r="Q204" s="94" t="s">
        <v>562</v>
      </c>
      <c r="R204" s="94" t="s">
        <v>563</v>
      </c>
      <c r="S204" s="98"/>
      <c r="T204" s="94"/>
      <c r="U204" s="94"/>
      <c r="V204" s="70"/>
      <c r="W204" s="73" t="str">
        <f t="shared" si="2"/>
        <v/>
      </c>
      <c r="X204" s="73" t="str">
        <f t="shared" si="3"/>
        <v/>
      </c>
      <c r="Y204" s="73" t="str">
        <f t="shared" si="4"/>
        <v/>
      </c>
      <c r="Z204" s="73" t="str">
        <f t="shared" si="5"/>
        <v>X</v>
      </c>
      <c r="AA204" s="73" t="s">
        <v>29</v>
      </c>
      <c r="AB204" s="73" t="str">
        <f t="shared" si="6"/>
        <v>Trim 4</v>
      </c>
      <c r="AC204" s="73">
        <f t="shared" si="7"/>
        <v>0</v>
      </c>
      <c r="AD204" s="73">
        <f t="shared" si="8"/>
        <v>0</v>
      </c>
      <c r="AE204" s="73"/>
      <c r="AF204" s="73"/>
      <c r="AG204" s="73"/>
      <c r="AH204" s="73"/>
      <c r="AI204" s="73"/>
    </row>
    <row r="205" spans="1:35" ht="60">
      <c r="A205" s="94" t="s">
        <v>554</v>
      </c>
      <c r="B205" s="94">
        <v>7</v>
      </c>
      <c r="C205" s="94" t="s">
        <v>652</v>
      </c>
      <c r="D205" s="96">
        <v>0.03</v>
      </c>
      <c r="E205" s="94" t="s">
        <v>653</v>
      </c>
      <c r="F205" s="95" t="s">
        <v>654</v>
      </c>
      <c r="G205" s="98">
        <v>1.4999999999999999E-2</v>
      </c>
      <c r="H205" s="95" t="s">
        <v>655</v>
      </c>
      <c r="I205" s="94" t="s">
        <v>656</v>
      </c>
      <c r="J205" s="94" t="s">
        <v>589</v>
      </c>
      <c r="K205" s="94" t="s">
        <v>45</v>
      </c>
      <c r="L205" s="94" t="s">
        <v>40</v>
      </c>
      <c r="M205" s="94" t="s">
        <v>40</v>
      </c>
      <c r="N205" s="94" t="s">
        <v>560</v>
      </c>
      <c r="O205" s="94" t="s">
        <v>561</v>
      </c>
      <c r="P205" s="94" t="s">
        <v>100</v>
      </c>
      <c r="Q205" s="94" t="s">
        <v>562</v>
      </c>
      <c r="R205" s="94" t="s">
        <v>40</v>
      </c>
      <c r="S205" s="98">
        <v>1.4999999999999999E-2</v>
      </c>
      <c r="T205" s="94" t="s">
        <v>45</v>
      </c>
      <c r="U205" s="94"/>
      <c r="V205" s="70"/>
      <c r="W205" s="73" t="str">
        <f t="shared" si="2"/>
        <v>X</v>
      </c>
      <c r="X205" s="73" t="str">
        <f t="shared" si="3"/>
        <v/>
      </c>
      <c r="Y205" s="73" t="str">
        <f t="shared" si="4"/>
        <v/>
      </c>
      <c r="Z205" s="73" t="str">
        <f t="shared" si="5"/>
        <v/>
      </c>
      <c r="AA205" s="73" t="s">
        <v>26</v>
      </c>
      <c r="AB205" s="73" t="str">
        <f t="shared" si="6"/>
        <v>Trim 1</v>
      </c>
      <c r="AC205" s="73">
        <f t="shared" si="7"/>
        <v>1</v>
      </c>
      <c r="AD205" s="73">
        <f t="shared" si="8"/>
        <v>1</v>
      </c>
      <c r="AE205" s="73"/>
      <c r="AF205" s="73"/>
      <c r="AG205" s="73"/>
      <c r="AH205" s="73"/>
      <c r="AI205" s="73"/>
    </row>
    <row r="206" spans="1:35" ht="60">
      <c r="A206" s="94" t="s">
        <v>554</v>
      </c>
      <c r="B206" s="94">
        <v>7</v>
      </c>
      <c r="C206" s="94" t="s">
        <v>652</v>
      </c>
      <c r="D206" s="96">
        <v>0.03</v>
      </c>
      <c r="E206" s="94" t="s">
        <v>657</v>
      </c>
      <c r="F206" s="95" t="s">
        <v>658</v>
      </c>
      <c r="G206" s="98">
        <v>1.4999999999999999E-2</v>
      </c>
      <c r="H206" s="95" t="s">
        <v>655</v>
      </c>
      <c r="I206" s="94" t="s">
        <v>656</v>
      </c>
      <c r="J206" s="94" t="s">
        <v>589</v>
      </c>
      <c r="K206" s="94" t="s">
        <v>115</v>
      </c>
      <c r="L206" s="94" t="s">
        <v>40</v>
      </c>
      <c r="M206" s="94" t="s">
        <v>40</v>
      </c>
      <c r="N206" s="94" t="s">
        <v>560</v>
      </c>
      <c r="O206" s="94" t="s">
        <v>561</v>
      </c>
      <c r="P206" s="94" t="s">
        <v>100</v>
      </c>
      <c r="Q206" s="94" t="s">
        <v>562</v>
      </c>
      <c r="R206" s="94" t="s">
        <v>40</v>
      </c>
      <c r="S206" s="98"/>
      <c r="T206" s="94"/>
      <c r="U206" s="94"/>
      <c r="V206" s="70"/>
      <c r="W206" s="73" t="str">
        <f t="shared" si="2"/>
        <v/>
      </c>
      <c r="X206" s="73" t="str">
        <f t="shared" si="3"/>
        <v/>
      </c>
      <c r="Y206" s="73" t="str">
        <f t="shared" si="4"/>
        <v>X</v>
      </c>
      <c r="Z206" s="73" t="str">
        <f t="shared" si="5"/>
        <v/>
      </c>
      <c r="AA206" s="73" t="s">
        <v>28</v>
      </c>
      <c r="AB206" s="73" t="str">
        <f t="shared" si="6"/>
        <v>Trim 3</v>
      </c>
      <c r="AC206" s="73">
        <f t="shared" si="7"/>
        <v>0</v>
      </c>
      <c r="AD206" s="73">
        <f t="shared" si="8"/>
        <v>0</v>
      </c>
      <c r="AE206" s="73"/>
      <c r="AF206" s="73"/>
      <c r="AG206" s="73"/>
      <c r="AH206" s="73"/>
      <c r="AI206" s="73"/>
    </row>
    <row r="207" spans="1:35" ht="75">
      <c r="A207" s="94" t="s">
        <v>554</v>
      </c>
      <c r="B207" s="94">
        <v>8</v>
      </c>
      <c r="C207" s="94" t="s">
        <v>659</v>
      </c>
      <c r="D207" s="96">
        <v>0.03</v>
      </c>
      <c r="E207" s="94" t="s">
        <v>660</v>
      </c>
      <c r="F207" s="95" t="s">
        <v>661</v>
      </c>
      <c r="G207" s="98">
        <v>1.4999999999999999E-2</v>
      </c>
      <c r="H207" s="95" t="s">
        <v>662</v>
      </c>
      <c r="I207" s="94" t="s">
        <v>663</v>
      </c>
      <c r="J207" s="94" t="s">
        <v>664</v>
      </c>
      <c r="K207" s="94" t="s">
        <v>45</v>
      </c>
      <c r="L207" s="94" t="s">
        <v>40</v>
      </c>
      <c r="M207" s="94" t="s">
        <v>40</v>
      </c>
      <c r="N207" s="94" t="s">
        <v>560</v>
      </c>
      <c r="O207" s="94" t="s">
        <v>561</v>
      </c>
      <c r="P207" s="94" t="s">
        <v>100</v>
      </c>
      <c r="Q207" s="94" t="s">
        <v>562</v>
      </c>
      <c r="R207" s="94" t="s">
        <v>40</v>
      </c>
      <c r="S207" s="98">
        <v>1.4999999999999999E-2</v>
      </c>
      <c r="T207" s="94" t="s">
        <v>45</v>
      </c>
      <c r="U207" s="94"/>
      <c r="V207" s="70"/>
      <c r="W207" s="73" t="str">
        <f t="shared" si="2"/>
        <v>X</v>
      </c>
      <c r="X207" s="73" t="str">
        <f t="shared" si="3"/>
        <v/>
      </c>
      <c r="Y207" s="73" t="str">
        <f t="shared" si="4"/>
        <v/>
      </c>
      <c r="Z207" s="73" t="str">
        <f t="shared" si="5"/>
        <v/>
      </c>
      <c r="AA207" s="73" t="s">
        <v>26</v>
      </c>
      <c r="AB207" s="73" t="str">
        <f t="shared" si="6"/>
        <v>Trim 1</v>
      </c>
      <c r="AC207" s="73">
        <f t="shared" si="7"/>
        <v>1</v>
      </c>
      <c r="AD207" s="73">
        <f t="shared" si="8"/>
        <v>1</v>
      </c>
      <c r="AE207" s="73"/>
      <c r="AF207" s="73"/>
      <c r="AG207" s="73"/>
      <c r="AH207" s="73"/>
      <c r="AI207" s="73"/>
    </row>
    <row r="208" spans="1:35" ht="75">
      <c r="A208" s="94" t="s">
        <v>554</v>
      </c>
      <c r="B208" s="94">
        <v>8</v>
      </c>
      <c r="C208" s="94" t="s">
        <v>659</v>
      </c>
      <c r="D208" s="96">
        <v>0.03</v>
      </c>
      <c r="E208" s="94" t="s">
        <v>665</v>
      </c>
      <c r="F208" s="95" t="s">
        <v>661</v>
      </c>
      <c r="G208" s="98">
        <v>1.4999999999999999E-2</v>
      </c>
      <c r="H208" s="95" t="s">
        <v>662</v>
      </c>
      <c r="I208" s="94" t="s">
        <v>663</v>
      </c>
      <c r="J208" s="94" t="s">
        <v>664</v>
      </c>
      <c r="K208" s="94" t="s">
        <v>133</v>
      </c>
      <c r="L208" s="94" t="s">
        <v>40</v>
      </c>
      <c r="M208" s="94" t="s">
        <v>40</v>
      </c>
      <c r="N208" s="94" t="s">
        <v>560</v>
      </c>
      <c r="O208" s="94" t="s">
        <v>561</v>
      </c>
      <c r="P208" s="94" t="s">
        <v>100</v>
      </c>
      <c r="Q208" s="94" t="s">
        <v>562</v>
      </c>
      <c r="R208" s="94" t="s">
        <v>40</v>
      </c>
      <c r="S208" s="98"/>
      <c r="T208" s="94"/>
      <c r="U208" s="94"/>
      <c r="V208" s="70"/>
      <c r="W208" s="73" t="str">
        <f t="shared" si="2"/>
        <v/>
      </c>
      <c r="X208" s="73" t="str">
        <f t="shared" si="3"/>
        <v/>
      </c>
      <c r="Y208" s="73" t="str">
        <f t="shared" si="4"/>
        <v>X</v>
      </c>
      <c r="Z208" s="73" t="str">
        <f t="shared" si="5"/>
        <v/>
      </c>
      <c r="AA208" s="73" t="s">
        <v>28</v>
      </c>
      <c r="AB208" s="73" t="str">
        <f t="shared" si="6"/>
        <v>Trim 3</v>
      </c>
      <c r="AC208" s="73">
        <f t="shared" si="7"/>
        <v>0</v>
      </c>
      <c r="AD208" s="73">
        <f t="shared" si="8"/>
        <v>0</v>
      </c>
      <c r="AE208" s="73"/>
      <c r="AF208" s="73"/>
      <c r="AG208" s="73"/>
      <c r="AH208" s="73"/>
      <c r="AI208" s="73"/>
    </row>
    <row r="209" spans="1:35" ht="120">
      <c r="A209" s="94" t="s">
        <v>554</v>
      </c>
      <c r="B209" s="94">
        <v>9</v>
      </c>
      <c r="C209" s="94" t="s">
        <v>666</v>
      </c>
      <c r="D209" s="96">
        <v>0.03</v>
      </c>
      <c r="E209" s="94" t="s">
        <v>667</v>
      </c>
      <c r="F209" s="95" t="s">
        <v>668</v>
      </c>
      <c r="G209" s="98">
        <v>1.4999999999999999E-2</v>
      </c>
      <c r="H209" s="95" t="s">
        <v>662</v>
      </c>
      <c r="I209" s="94" t="s">
        <v>669</v>
      </c>
      <c r="J209" s="94" t="s">
        <v>664</v>
      </c>
      <c r="K209" s="94" t="s">
        <v>45</v>
      </c>
      <c r="L209" s="94" t="s">
        <v>40</v>
      </c>
      <c r="M209" s="94" t="s">
        <v>40</v>
      </c>
      <c r="N209" s="94" t="s">
        <v>560</v>
      </c>
      <c r="O209" s="94" t="s">
        <v>561</v>
      </c>
      <c r="P209" s="94" t="s">
        <v>100</v>
      </c>
      <c r="Q209" s="94" t="s">
        <v>562</v>
      </c>
      <c r="R209" s="94" t="s">
        <v>40</v>
      </c>
      <c r="S209" s="98">
        <v>1.4999999999999999E-2</v>
      </c>
      <c r="T209" s="94" t="s">
        <v>45</v>
      </c>
      <c r="U209" s="94"/>
      <c r="V209" s="70"/>
      <c r="W209" s="73" t="str">
        <f t="shared" si="2"/>
        <v>X</v>
      </c>
      <c r="X209" s="73" t="str">
        <f t="shared" si="3"/>
        <v/>
      </c>
      <c r="Y209" s="73" t="str">
        <f t="shared" si="4"/>
        <v/>
      </c>
      <c r="Z209" s="73" t="str">
        <f t="shared" si="5"/>
        <v/>
      </c>
      <c r="AA209" s="73" t="s">
        <v>26</v>
      </c>
      <c r="AB209" s="73" t="str">
        <f t="shared" si="6"/>
        <v>Trim 1</v>
      </c>
      <c r="AC209" s="73">
        <f t="shared" si="7"/>
        <v>1</v>
      </c>
      <c r="AD209" s="73">
        <f t="shared" si="8"/>
        <v>1</v>
      </c>
      <c r="AE209" s="73"/>
      <c r="AF209" s="73"/>
      <c r="AG209" s="73"/>
      <c r="AH209" s="73"/>
      <c r="AI209" s="73"/>
    </row>
    <row r="210" spans="1:35" ht="120">
      <c r="A210" s="94" t="s">
        <v>554</v>
      </c>
      <c r="B210" s="94">
        <v>9</v>
      </c>
      <c r="C210" s="94" t="s">
        <v>666</v>
      </c>
      <c r="D210" s="96">
        <v>0.03</v>
      </c>
      <c r="E210" s="94" t="s">
        <v>670</v>
      </c>
      <c r="F210" s="95" t="s">
        <v>668</v>
      </c>
      <c r="G210" s="98">
        <v>1.4999999999999999E-2</v>
      </c>
      <c r="H210" s="95" t="s">
        <v>662</v>
      </c>
      <c r="I210" s="94" t="s">
        <v>669</v>
      </c>
      <c r="J210" s="94" t="s">
        <v>664</v>
      </c>
      <c r="K210" s="94" t="s">
        <v>133</v>
      </c>
      <c r="L210" s="94" t="s">
        <v>40</v>
      </c>
      <c r="M210" s="94" t="s">
        <v>40</v>
      </c>
      <c r="N210" s="94" t="s">
        <v>560</v>
      </c>
      <c r="O210" s="94" t="s">
        <v>561</v>
      </c>
      <c r="P210" s="94" t="s">
        <v>100</v>
      </c>
      <c r="Q210" s="94" t="s">
        <v>562</v>
      </c>
      <c r="R210" s="94" t="s">
        <v>40</v>
      </c>
      <c r="S210" s="98"/>
      <c r="T210" s="94"/>
      <c r="U210" s="94"/>
      <c r="V210" s="70"/>
      <c r="W210" s="73" t="str">
        <f t="shared" si="2"/>
        <v/>
      </c>
      <c r="X210" s="73" t="str">
        <f t="shared" si="3"/>
        <v/>
      </c>
      <c r="Y210" s="73" t="str">
        <f t="shared" si="4"/>
        <v>X</v>
      </c>
      <c r="Z210" s="73" t="str">
        <f t="shared" si="5"/>
        <v/>
      </c>
      <c r="AA210" s="73" t="s">
        <v>28</v>
      </c>
      <c r="AB210" s="73" t="str">
        <f t="shared" si="6"/>
        <v>Trim 3</v>
      </c>
      <c r="AC210" s="73">
        <f t="shared" si="7"/>
        <v>0</v>
      </c>
      <c r="AD210" s="73">
        <f t="shared" si="8"/>
        <v>0</v>
      </c>
      <c r="AE210" s="73"/>
      <c r="AF210" s="73"/>
      <c r="AG210" s="73"/>
      <c r="AH210" s="73"/>
      <c r="AI210" s="73"/>
    </row>
    <row r="211" spans="1:35" ht="90">
      <c r="A211" s="94" t="s">
        <v>671</v>
      </c>
      <c r="B211" s="94">
        <v>1</v>
      </c>
      <c r="C211" s="97" t="s">
        <v>672</v>
      </c>
      <c r="D211" s="96">
        <v>0.1</v>
      </c>
      <c r="E211" s="108" t="s">
        <v>34</v>
      </c>
      <c r="F211" s="97" t="s">
        <v>673</v>
      </c>
      <c r="G211" s="98">
        <v>0.04</v>
      </c>
      <c r="H211" s="97" t="s">
        <v>674</v>
      </c>
      <c r="I211" s="94" t="s">
        <v>675</v>
      </c>
      <c r="J211" s="94" t="s">
        <v>676</v>
      </c>
      <c r="K211" s="94" t="s">
        <v>39</v>
      </c>
      <c r="L211" s="94" t="s">
        <v>172</v>
      </c>
      <c r="M211" s="94" t="s">
        <v>193</v>
      </c>
      <c r="N211" s="94" t="s">
        <v>237</v>
      </c>
      <c r="O211" s="94" t="s">
        <v>474</v>
      </c>
      <c r="P211" s="94" t="s">
        <v>100</v>
      </c>
      <c r="Q211" s="94" t="s">
        <v>677</v>
      </c>
      <c r="R211" s="94" t="s">
        <v>40</v>
      </c>
      <c r="S211" s="96">
        <v>0.09</v>
      </c>
      <c r="T211" s="94" t="s">
        <v>45</v>
      </c>
      <c r="U211" s="94"/>
      <c r="V211" s="70"/>
      <c r="W211" s="73" t="str">
        <f t="shared" si="2"/>
        <v/>
      </c>
      <c r="X211" s="73" t="str">
        <f t="shared" si="3"/>
        <v/>
      </c>
      <c r="Y211" s="73" t="str">
        <f t="shared" si="4"/>
        <v/>
      </c>
      <c r="Z211" s="73" t="str">
        <f t="shared" si="5"/>
        <v>X</v>
      </c>
      <c r="AA211" s="73" t="s">
        <v>29</v>
      </c>
      <c r="AB211" s="73" t="str">
        <f t="shared" si="6"/>
        <v>Trim 4</v>
      </c>
      <c r="AC211" s="73">
        <f t="shared" si="7"/>
        <v>0</v>
      </c>
      <c r="AD211" s="73">
        <f t="shared" si="8"/>
        <v>0</v>
      </c>
      <c r="AE211" s="73"/>
      <c r="AF211" s="73"/>
      <c r="AG211" s="73"/>
      <c r="AH211" s="73"/>
      <c r="AI211" s="73"/>
    </row>
    <row r="212" spans="1:35" ht="90">
      <c r="A212" s="94" t="s">
        <v>671</v>
      </c>
      <c r="B212" s="94">
        <v>1</v>
      </c>
      <c r="C212" s="97" t="s">
        <v>672</v>
      </c>
      <c r="D212" s="96">
        <v>0.1</v>
      </c>
      <c r="E212" s="108" t="s">
        <v>47</v>
      </c>
      <c r="F212" s="97" t="s">
        <v>678</v>
      </c>
      <c r="G212" s="98">
        <v>0.06</v>
      </c>
      <c r="H212" s="97" t="s">
        <v>679</v>
      </c>
      <c r="I212" s="94" t="s">
        <v>680</v>
      </c>
      <c r="J212" s="94" t="s">
        <v>681</v>
      </c>
      <c r="K212" s="94" t="s">
        <v>39</v>
      </c>
      <c r="L212" s="94" t="s">
        <v>40</v>
      </c>
      <c r="M212" s="94" t="s">
        <v>193</v>
      </c>
      <c r="N212" s="94" t="s">
        <v>237</v>
      </c>
      <c r="O212" s="94" t="s">
        <v>474</v>
      </c>
      <c r="P212" s="94" t="s">
        <v>100</v>
      </c>
      <c r="Q212" s="94" t="s">
        <v>677</v>
      </c>
      <c r="R212" s="94" t="s">
        <v>40</v>
      </c>
      <c r="S212" s="96">
        <v>0.1</v>
      </c>
      <c r="T212" s="94" t="s">
        <v>45</v>
      </c>
      <c r="U212" s="94"/>
      <c r="V212" s="70"/>
      <c r="W212" s="73" t="str">
        <f t="shared" si="2"/>
        <v/>
      </c>
      <c r="X212" s="73" t="str">
        <f t="shared" si="3"/>
        <v/>
      </c>
      <c r="Y212" s="73" t="str">
        <f t="shared" si="4"/>
        <v/>
      </c>
      <c r="Z212" s="73" t="str">
        <f t="shared" si="5"/>
        <v>X</v>
      </c>
      <c r="AA212" s="73" t="s">
        <v>29</v>
      </c>
      <c r="AB212" s="73" t="str">
        <f t="shared" si="6"/>
        <v>Trim 4</v>
      </c>
      <c r="AC212" s="73">
        <f t="shared" si="7"/>
        <v>0</v>
      </c>
      <c r="AD212" s="73">
        <f t="shared" si="8"/>
        <v>0</v>
      </c>
      <c r="AE212" s="73"/>
      <c r="AF212" s="73"/>
      <c r="AG212" s="73"/>
      <c r="AH212" s="73"/>
      <c r="AI212" s="73"/>
    </row>
    <row r="213" spans="1:35" ht="90">
      <c r="A213" s="94" t="s">
        <v>671</v>
      </c>
      <c r="B213" s="94">
        <v>2</v>
      </c>
      <c r="C213" s="97" t="s">
        <v>682</v>
      </c>
      <c r="D213" s="96">
        <v>0.04</v>
      </c>
      <c r="E213" s="108" t="s">
        <v>56</v>
      </c>
      <c r="F213" s="97" t="s">
        <v>683</v>
      </c>
      <c r="G213" s="98">
        <v>0.02</v>
      </c>
      <c r="H213" s="97" t="s">
        <v>684</v>
      </c>
      <c r="I213" s="94" t="s">
        <v>685</v>
      </c>
      <c r="J213" s="94" t="s">
        <v>681</v>
      </c>
      <c r="K213" s="94" t="s">
        <v>133</v>
      </c>
      <c r="L213" s="94" t="s">
        <v>40</v>
      </c>
      <c r="M213" s="94" t="s">
        <v>193</v>
      </c>
      <c r="N213" s="94" t="s">
        <v>237</v>
      </c>
      <c r="O213" s="94" t="s">
        <v>474</v>
      </c>
      <c r="P213" s="94" t="s">
        <v>100</v>
      </c>
      <c r="Q213" s="94" t="s">
        <v>677</v>
      </c>
      <c r="R213" s="94" t="s">
        <v>40</v>
      </c>
      <c r="S213" s="96">
        <v>0.7</v>
      </c>
      <c r="T213" s="94" t="s">
        <v>45</v>
      </c>
      <c r="U213" s="94"/>
      <c r="V213" s="70"/>
      <c r="W213" s="73" t="str">
        <f t="shared" si="2"/>
        <v/>
      </c>
      <c r="X213" s="73" t="str">
        <f t="shared" si="3"/>
        <v/>
      </c>
      <c r="Y213" s="73" t="str">
        <f t="shared" si="4"/>
        <v>X</v>
      </c>
      <c r="Z213" s="73" t="str">
        <f t="shared" si="5"/>
        <v/>
      </c>
      <c r="AA213" s="73" t="s">
        <v>28</v>
      </c>
      <c r="AB213" s="73" t="str">
        <f t="shared" si="6"/>
        <v>Trim 3</v>
      </c>
      <c r="AC213" s="73">
        <f t="shared" si="7"/>
        <v>0</v>
      </c>
      <c r="AD213" s="73">
        <f t="shared" si="8"/>
        <v>0</v>
      </c>
      <c r="AE213" s="73"/>
      <c r="AF213" s="73"/>
      <c r="AG213" s="73"/>
      <c r="AH213" s="73"/>
      <c r="AI213" s="73"/>
    </row>
    <row r="214" spans="1:35" ht="90">
      <c r="A214" s="94" t="s">
        <v>671</v>
      </c>
      <c r="B214" s="94">
        <v>2</v>
      </c>
      <c r="C214" s="97" t="s">
        <v>682</v>
      </c>
      <c r="D214" s="96">
        <v>0.04</v>
      </c>
      <c r="E214" s="108" t="s">
        <v>60</v>
      </c>
      <c r="F214" s="97" t="s">
        <v>686</v>
      </c>
      <c r="G214" s="98">
        <v>0.02</v>
      </c>
      <c r="H214" s="97" t="s">
        <v>687</v>
      </c>
      <c r="I214" s="94" t="s">
        <v>685</v>
      </c>
      <c r="J214" s="94" t="s">
        <v>676</v>
      </c>
      <c r="K214" s="94" t="s">
        <v>138</v>
      </c>
      <c r="L214" s="94" t="s">
        <v>40</v>
      </c>
      <c r="M214" s="94" t="s">
        <v>193</v>
      </c>
      <c r="N214" s="94" t="s">
        <v>237</v>
      </c>
      <c r="O214" s="94" t="s">
        <v>474</v>
      </c>
      <c r="P214" s="94" t="s">
        <v>100</v>
      </c>
      <c r="Q214" s="94" t="s">
        <v>677</v>
      </c>
      <c r="R214" s="94" t="s">
        <v>40</v>
      </c>
      <c r="S214" s="110"/>
      <c r="T214" s="97"/>
      <c r="U214" s="94"/>
      <c r="V214" s="70"/>
      <c r="W214" s="73" t="str">
        <f t="shared" si="2"/>
        <v/>
      </c>
      <c r="X214" s="73" t="str">
        <f t="shared" si="3"/>
        <v/>
      </c>
      <c r="Y214" s="73" t="str">
        <f t="shared" si="4"/>
        <v/>
      </c>
      <c r="Z214" s="73" t="str">
        <f t="shared" si="5"/>
        <v>X</v>
      </c>
      <c r="AA214" s="73" t="s">
        <v>29</v>
      </c>
      <c r="AB214" s="73" t="str">
        <f t="shared" si="6"/>
        <v>Trim 4</v>
      </c>
      <c r="AC214" s="73">
        <f t="shared" si="7"/>
        <v>0</v>
      </c>
      <c r="AD214" s="73">
        <f t="shared" si="8"/>
        <v>0</v>
      </c>
      <c r="AE214" s="73"/>
      <c r="AF214" s="73"/>
      <c r="AG214" s="73"/>
      <c r="AH214" s="73"/>
      <c r="AI214" s="73"/>
    </row>
    <row r="215" spans="1:35" ht="90">
      <c r="A215" s="94" t="s">
        <v>671</v>
      </c>
      <c r="B215" s="94">
        <v>3</v>
      </c>
      <c r="C215" s="97" t="s">
        <v>688</v>
      </c>
      <c r="D215" s="96">
        <v>0.1</v>
      </c>
      <c r="E215" s="108" t="s">
        <v>68</v>
      </c>
      <c r="F215" s="97" t="s">
        <v>689</v>
      </c>
      <c r="G215" s="98">
        <v>0.05</v>
      </c>
      <c r="H215" s="97" t="s">
        <v>690</v>
      </c>
      <c r="I215" s="97" t="s">
        <v>691</v>
      </c>
      <c r="J215" s="94" t="s">
        <v>692</v>
      </c>
      <c r="K215" s="94" t="s">
        <v>39</v>
      </c>
      <c r="L215" s="94" t="s">
        <v>40</v>
      </c>
      <c r="M215" s="94" t="s">
        <v>193</v>
      </c>
      <c r="N215" s="94" t="s">
        <v>64</v>
      </c>
      <c r="O215" s="94" t="s">
        <v>428</v>
      </c>
      <c r="P215" s="94" t="s">
        <v>100</v>
      </c>
      <c r="Q215" s="94" t="s">
        <v>693</v>
      </c>
      <c r="R215" s="94" t="s">
        <v>40</v>
      </c>
      <c r="S215" s="110"/>
      <c r="T215" s="97"/>
      <c r="U215" s="94"/>
      <c r="V215" s="70"/>
      <c r="W215" s="73" t="str">
        <f t="shared" si="2"/>
        <v/>
      </c>
      <c r="X215" s="73" t="str">
        <f t="shared" si="3"/>
        <v/>
      </c>
      <c r="Y215" s="73" t="str">
        <f t="shared" si="4"/>
        <v/>
      </c>
      <c r="Z215" s="73" t="str">
        <f t="shared" si="5"/>
        <v>X</v>
      </c>
      <c r="AA215" s="73" t="s">
        <v>29</v>
      </c>
      <c r="AB215" s="73" t="str">
        <f t="shared" si="6"/>
        <v>Trim 4</v>
      </c>
      <c r="AC215" s="73">
        <f t="shared" si="7"/>
        <v>0</v>
      </c>
      <c r="AD215" s="73">
        <f t="shared" si="8"/>
        <v>0</v>
      </c>
      <c r="AE215" s="73"/>
      <c r="AF215" s="73"/>
      <c r="AG215" s="73"/>
      <c r="AH215" s="73"/>
      <c r="AI215" s="73"/>
    </row>
    <row r="216" spans="1:35" ht="90">
      <c r="A216" s="94" t="s">
        <v>671</v>
      </c>
      <c r="B216" s="94">
        <v>3</v>
      </c>
      <c r="C216" s="97" t="s">
        <v>688</v>
      </c>
      <c r="D216" s="96">
        <v>0.1</v>
      </c>
      <c r="E216" s="108" t="s">
        <v>73</v>
      </c>
      <c r="F216" s="97" t="s">
        <v>694</v>
      </c>
      <c r="G216" s="98">
        <v>0.02</v>
      </c>
      <c r="H216" s="97" t="s">
        <v>695</v>
      </c>
      <c r="I216" s="94" t="s">
        <v>696</v>
      </c>
      <c r="J216" s="94" t="s">
        <v>692</v>
      </c>
      <c r="K216" s="94" t="s">
        <v>39</v>
      </c>
      <c r="L216" s="94" t="s">
        <v>40</v>
      </c>
      <c r="M216" s="94" t="s">
        <v>193</v>
      </c>
      <c r="N216" s="94" t="s">
        <v>64</v>
      </c>
      <c r="O216" s="94" t="s">
        <v>428</v>
      </c>
      <c r="P216" s="94" t="s">
        <v>100</v>
      </c>
      <c r="Q216" s="94" t="s">
        <v>693</v>
      </c>
      <c r="R216" s="94" t="s">
        <v>40</v>
      </c>
      <c r="S216" s="110"/>
      <c r="T216" s="97"/>
      <c r="U216" s="94"/>
      <c r="V216" s="70"/>
      <c r="W216" s="73" t="str">
        <f t="shared" si="2"/>
        <v/>
      </c>
      <c r="X216" s="73" t="str">
        <f t="shared" si="3"/>
        <v/>
      </c>
      <c r="Y216" s="73" t="str">
        <f t="shared" si="4"/>
        <v/>
      </c>
      <c r="Z216" s="73" t="str">
        <f t="shared" si="5"/>
        <v>X</v>
      </c>
      <c r="AA216" s="73" t="s">
        <v>29</v>
      </c>
      <c r="AB216" s="73" t="str">
        <f t="shared" si="6"/>
        <v>Trim 4</v>
      </c>
      <c r="AC216" s="73">
        <f t="shared" si="7"/>
        <v>0</v>
      </c>
      <c r="AD216" s="73">
        <f t="shared" si="8"/>
        <v>0</v>
      </c>
      <c r="AE216" s="73"/>
      <c r="AF216" s="73"/>
      <c r="AG216" s="73"/>
      <c r="AH216" s="73"/>
      <c r="AI216" s="73"/>
    </row>
    <row r="217" spans="1:35" ht="90">
      <c r="A217" s="94" t="s">
        <v>671</v>
      </c>
      <c r="B217" s="94">
        <v>3</v>
      </c>
      <c r="C217" s="97" t="s">
        <v>688</v>
      </c>
      <c r="D217" s="96">
        <v>0.1</v>
      </c>
      <c r="E217" s="108" t="s">
        <v>75</v>
      </c>
      <c r="F217" s="97" t="s">
        <v>697</v>
      </c>
      <c r="G217" s="98">
        <v>0.03</v>
      </c>
      <c r="H217" s="97" t="s">
        <v>698</v>
      </c>
      <c r="I217" s="94" t="s">
        <v>699</v>
      </c>
      <c r="J217" s="94" t="s">
        <v>692</v>
      </c>
      <c r="K217" s="94" t="s">
        <v>39</v>
      </c>
      <c r="L217" s="94" t="s">
        <v>40</v>
      </c>
      <c r="M217" s="94" t="s">
        <v>193</v>
      </c>
      <c r="N217" s="94" t="s">
        <v>64</v>
      </c>
      <c r="O217" s="94" t="s">
        <v>428</v>
      </c>
      <c r="P217" s="94" t="s">
        <v>100</v>
      </c>
      <c r="Q217" s="94" t="s">
        <v>693</v>
      </c>
      <c r="R217" s="94" t="s">
        <v>40</v>
      </c>
      <c r="S217" s="110"/>
      <c r="T217" s="97"/>
      <c r="U217" s="94"/>
      <c r="V217" s="70"/>
      <c r="W217" s="73" t="str">
        <f t="shared" si="2"/>
        <v/>
      </c>
      <c r="X217" s="73" t="str">
        <f t="shared" si="3"/>
        <v/>
      </c>
      <c r="Y217" s="73" t="str">
        <f t="shared" si="4"/>
        <v/>
      </c>
      <c r="Z217" s="73" t="str">
        <f t="shared" si="5"/>
        <v>X</v>
      </c>
      <c r="AA217" s="73" t="s">
        <v>29</v>
      </c>
      <c r="AB217" s="73" t="str">
        <f t="shared" si="6"/>
        <v>Trim 4</v>
      </c>
      <c r="AC217" s="73">
        <f t="shared" si="7"/>
        <v>0</v>
      </c>
      <c r="AD217" s="73">
        <f t="shared" si="8"/>
        <v>0</v>
      </c>
      <c r="AE217" s="73"/>
      <c r="AF217" s="73"/>
      <c r="AG217" s="73"/>
      <c r="AH217" s="73"/>
      <c r="AI217" s="73"/>
    </row>
    <row r="218" spans="1:35" ht="90">
      <c r="A218" s="94" t="s">
        <v>671</v>
      </c>
      <c r="B218" s="94">
        <v>4</v>
      </c>
      <c r="C218" s="97" t="s">
        <v>700</v>
      </c>
      <c r="D218" s="96">
        <v>0.1</v>
      </c>
      <c r="E218" s="108" t="s">
        <v>79</v>
      </c>
      <c r="F218" s="97" t="s">
        <v>701</v>
      </c>
      <c r="G218" s="98">
        <v>0.1</v>
      </c>
      <c r="H218" s="97" t="s">
        <v>702</v>
      </c>
      <c r="I218" s="97" t="s">
        <v>703</v>
      </c>
      <c r="J218" s="94" t="s">
        <v>692</v>
      </c>
      <c r="K218" s="94" t="s">
        <v>39</v>
      </c>
      <c r="L218" s="94" t="s">
        <v>40</v>
      </c>
      <c r="M218" s="94" t="s">
        <v>193</v>
      </c>
      <c r="N218" s="94" t="s">
        <v>64</v>
      </c>
      <c r="O218" s="94" t="s">
        <v>428</v>
      </c>
      <c r="P218" s="94" t="s">
        <v>100</v>
      </c>
      <c r="Q218" s="94" t="s">
        <v>704</v>
      </c>
      <c r="R218" s="94" t="s">
        <v>40</v>
      </c>
      <c r="S218" s="110"/>
      <c r="T218" s="97"/>
      <c r="U218" s="94"/>
      <c r="V218" s="70"/>
      <c r="W218" s="73" t="str">
        <f t="shared" si="2"/>
        <v/>
      </c>
      <c r="X218" s="73" t="str">
        <f t="shared" si="3"/>
        <v/>
      </c>
      <c r="Y218" s="73" t="str">
        <f t="shared" si="4"/>
        <v/>
      </c>
      <c r="Z218" s="73" t="str">
        <f t="shared" si="5"/>
        <v>X</v>
      </c>
      <c r="AA218" s="73" t="s">
        <v>29</v>
      </c>
      <c r="AB218" s="73" t="str">
        <f t="shared" si="6"/>
        <v>Trim 4</v>
      </c>
      <c r="AC218" s="73">
        <f t="shared" si="7"/>
        <v>0</v>
      </c>
      <c r="AD218" s="73">
        <f t="shared" si="8"/>
        <v>0</v>
      </c>
      <c r="AE218" s="73"/>
      <c r="AF218" s="73"/>
      <c r="AG218" s="73"/>
      <c r="AH218" s="73"/>
      <c r="AI218" s="73"/>
    </row>
    <row r="219" spans="1:35" ht="90">
      <c r="A219" s="94" t="s">
        <v>671</v>
      </c>
      <c r="B219" s="94">
        <v>5</v>
      </c>
      <c r="C219" s="97" t="s">
        <v>705</v>
      </c>
      <c r="D219" s="96">
        <v>0.06</v>
      </c>
      <c r="E219" s="108" t="s">
        <v>469</v>
      </c>
      <c r="F219" s="97" t="s">
        <v>706</v>
      </c>
      <c r="G219" s="98">
        <v>0.03</v>
      </c>
      <c r="H219" s="97" t="s">
        <v>707</v>
      </c>
      <c r="I219" s="94" t="s">
        <v>708</v>
      </c>
      <c r="J219" s="94" t="s">
        <v>709</v>
      </c>
      <c r="K219" s="94" t="s">
        <v>39</v>
      </c>
      <c r="L219" s="94" t="s">
        <v>40</v>
      </c>
      <c r="M219" s="94" t="s">
        <v>193</v>
      </c>
      <c r="N219" s="94" t="s">
        <v>64</v>
      </c>
      <c r="O219" s="94" t="s">
        <v>428</v>
      </c>
      <c r="P219" s="94" t="s">
        <v>100</v>
      </c>
      <c r="Q219" s="94" t="s">
        <v>704</v>
      </c>
      <c r="R219" s="94" t="s">
        <v>40</v>
      </c>
      <c r="S219" s="96">
        <v>0.15</v>
      </c>
      <c r="T219" s="94" t="s">
        <v>45</v>
      </c>
      <c r="U219" s="94"/>
      <c r="V219" s="70"/>
      <c r="W219" s="73" t="str">
        <f t="shared" si="2"/>
        <v/>
      </c>
      <c r="X219" s="73" t="str">
        <f t="shared" si="3"/>
        <v/>
      </c>
      <c r="Y219" s="73" t="str">
        <f t="shared" si="4"/>
        <v/>
      </c>
      <c r="Z219" s="73" t="str">
        <f t="shared" si="5"/>
        <v>X</v>
      </c>
      <c r="AA219" s="73" t="s">
        <v>29</v>
      </c>
      <c r="AB219" s="73" t="str">
        <f t="shared" si="6"/>
        <v>Trim 4</v>
      </c>
      <c r="AC219" s="73">
        <f t="shared" si="7"/>
        <v>0</v>
      </c>
      <c r="AD219" s="73">
        <f t="shared" si="8"/>
        <v>0</v>
      </c>
      <c r="AE219" s="73"/>
      <c r="AF219" s="73"/>
      <c r="AG219" s="73"/>
      <c r="AH219" s="73"/>
      <c r="AI219" s="73"/>
    </row>
    <row r="220" spans="1:35" ht="90">
      <c r="A220" s="94" t="s">
        <v>671</v>
      </c>
      <c r="B220" s="94">
        <v>5</v>
      </c>
      <c r="C220" s="97" t="s">
        <v>705</v>
      </c>
      <c r="D220" s="96">
        <v>0.06</v>
      </c>
      <c r="E220" s="108" t="s">
        <v>476</v>
      </c>
      <c r="F220" s="97" t="s">
        <v>710</v>
      </c>
      <c r="G220" s="98">
        <v>0.03</v>
      </c>
      <c r="H220" s="97" t="s">
        <v>711</v>
      </c>
      <c r="I220" s="94" t="s">
        <v>712</v>
      </c>
      <c r="J220" s="94" t="s">
        <v>713</v>
      </c>
      <c r="K220" s="94" t="s">
        <v>39</v>
      </c>
      <c r="L220" s="94" t="s">
        <v>40</v>
      </c>
      <c r="M220" s="94" t="s">
        <v>193</v>
      </c>
      <c r="N220" s="94" t="s">
        <v>64</v>
      </c>
      <c r="O220" s="94" t="s">
        <v>428</v>
      </c>
      <c r="P220" s="94" t="s">
        <v>100</v>
      </c>
      <c r="Q220" s="94" t="s">
        <v>704</v>
      </c>
      <c r="R220" s="94" t="s">
        <v>40</v>
      </c>
      <c r="S220" s="96">
        <v>0.05</v>
      </c>
      <c r="T220" s="94" t="s">
        <v>45</v>
      </c>
      <c r="U220" s="94"/>
      <c r="V220" s="70"/>
      <c r="W220" s="73" t="str">
        <f t="shared" si="2"/>
        <v/>
      </c>
      <c r="X220" s="73" t="str">
        <f t="shared" si="3"/>
        <v/>
      </c>
      <c r="Y220" s="73" t="str">
        <f t="shared" si="4"/>
        <v/>
      </c>
      <c r="Z220" s="73" t="str">
        <f t="shared" si="5"/>
        <v>X</v>
      </c>
      <c r="AA220" s="73" t="s">
        <v>29</v>
      </c>
      <c r="AB220" s="73" t="str">
        <f t="shared" si="6"/>
        <v>Trim 4</v>
      </c>
      <c r="AC220" s="73">
        <f t="shared" si="7"/>
        <v>0</v>
      </c>
      <c r="AD220" s="73">
        <f t="shared" si="8"/>
        <v>0</v>
      </c>
      <c r="AE220" s="73"/>
      <c r="AF220" s="73"/>
      <c r="AG220" s="73"/>
      <c r="AH220" s="73"/>
      <c r="AI220" s="73"/>
    </row>
    <row r="221" spans="1:35" ht="90">
      <c r="A221" s="94" t="s">
        <v>671</v>
      </c>
      <c r="B221" s="94">
        <v>6</v>
      </c>
      <c r="C221" s="97" t="s">
        <v>714</v>
      </c>
      <c r="D221" s="96">
        <v>0.03</v>
      </c>
      <c r="E221" s="108" t="s">
        <v>648</v>
      </c>
      <c r="F221" s="97" t="s">
        <v>715</v>
      </c>
      <c r="G221" s="98">
        <v>0.01</v>
      </c>
      <c r="H221" s="97" t="s">
        <v>716</v>
      </c>
      <c r="I221" s="94" t="s">
        <v>717</v>
      </c>
      <c r="J221" s="94" t="s">
        <v>718</v>
      </c>
      <c r="K221" s="94" t="s">
        <v>113</v>
      </c>
      <c r="L221" s="94" t="s">
        <v>40</v>
      </c>
      <c r="M221" s="94" t="s">
        <v>193</v>
      </c>
      <c r="N221" s="94" t="s">
        <v>64</v>
      </c>
      <c r="O221" s="94" t="s">
        <v>428</v>
      </c>
      <c r="P221" s="94" t="s">
        <v>100</v>
      </c>
      <c r="Q221" s="94" t="s">
        <v>719</v>
      </c>
      <c r="R221" s="94" t="s">
        <v>40</v>
      </c>
      <c r="S221" s="110"/>
      <c r="T221" s="97"/>
      <c r="U221" s="94"/>
      <c r="V221" s="70"/>
      <c r="W221" s="73" t="str">
        <f t="shared" si="2"/>
        <v/>
      </c>
      <c r="X221" s="73" t="str">
        <f t="shared" si="3"/>
        <v/>
      </c>
      <c r="Y221" s="73" t="str">
        <f t="shared" si="4"/>
        <v>X</v>
      </c>
      <c r="Z221" s="73" t="str">
        <f t="shared" si="5"/>
        <v/>
      </c>
      <c r="AA221" s="73" t="s">
        <v>28</v>
      </c>
      <c r="AB221" s="73" t="str">
        <f t="shared" si="6"/>
        <v>Trim 3</v>
      </c>
      <c r="AC221" s="73">
        <f t="shared" si="7"/>
        <v>0</v>
      </c>
      <c r="AD221" s="73">
        <f t="shared" si="8"/>
        <v>0</v>
      </c>
      <c r="AE221" s="73"/>
      <c r="AF221" s="73"/>
      <c r="AG221" s="73"/>
      <c r="AH221" s="73"/>
      <c r="AI221" s="73"/>
    </row>
    <row r="222" spans="1:35" ht="90">
      <c r="A222" s="94" t="s">
        <v>671</v>
      </c>
      <c r="B222" s="94">
        <v>6</v>
      </c>
      <c r="C222" s="97" t="s">
        <v>714</v>
      </c>
      <c r="D222" s="96">
        <v>0.03</v>
      </c>
      <c r="E222" s="108" t="s">
        <v>651</v>
      </c>
      <c r="F222" s="97" t="s">
        <v>720</v>
      </c>
      <c r="G222" s="98">
        <v>0.01</v>
      </c>
      <c r="H222" s="97" t="s">
        <v>721</v>
      </c>
      <c r="I222" s="94" t="s">
        <v>722</v>
      </c>
      <c r="J222" s="94" t="s">
        <v>718</v>
      </c>
      <c r="K222" s="94" t="s">
        <v>115</v>
      </c>
      <c r="L222" s="94" t="s">
        <v>40</v>
      </c>
      <c r="M222" s="94" t="s">
        <v>193</v>
      </c>
      <c r="N222" s="94" t="s">
        <v>64</v>
      </c>
      <c r="O222" s="94" t="s">
        <v>428</v>
      </c>
      <c r="P222" s="94" t="s">
        <v>100</v>
      </c>
      <c r="Q222" s="94" t="s">
        <v>719</v>
      </c>
      <c r="R222" s="94" t="s">
        <v>40</v>
      </c>
      <c r="S222" s="110"/>
      <c r="T222" s="97"/>
      <c r="U222" s="94"/>
      <c r="V222" s="70"/>
      <c r="W222" s="73" t="str">
        <f t="shared" si="2"/>
        <v/>
      </c>
      <c r="X222" s="73" t="str">
        <f t="shared" si="3"/>
        <v/>
      </c>
      <c r="Y222" s="73" t="str">
        <f t="shared" si="4"/>
        <v>X</v>
      </c>
      <c r="Z222" s="73" t="str">
        <f t="shared" si="5"/>
        <v/>
      </c>
      <c r="AA222" s="73" t="s">
        <v>28</v>
      </c>
      <c r="AB222" s="73" t="str">
        <f t="shared" si="6"/>
        <v>Trim 3</v>
      </c>
      <c r="AC222" s="73">
        <f t="shared" si="7"/>
        <v>0</v>
      </c>
      <c r="AD222" s="73">
        <f t="shared" si="8"/>
        <v>0</v>
      </c>
      <c r="AE222" s="73"/>
      <c r="AF222" s="73"/>
      <c r="AG222" s="73"/>
      <c r="AH222" s="73"/>
      <c r="AI222" s="73"/>
    </row>
    <row r="223" spans="1:35" ht="90">
      <c r="A223" s="94" t="s">
        <v>671</v>
      </c>
      <c r="B223" s="94">
        <v>6</v>
      </c>
      <c r="C223" s="97" t="s">
        <v>714</v>
      </c>
      <c r="D223" s="96">
        <v>0.03</v>
      </c>
      <c r="E223" s="108" t="s">
        <v>723</v>
      </c>
      <c r="F223" s="97" t="s">
        <v>724</v>
      </c>
      <c r="G223" s="98">
        <v>0.01</v>
      </c>
      <c r="H223" s="97" t="s">
        <v>725</v>
      </c>
      <c r="I223" s="94" t="s">
        <v>726</v>
      </c>
      <c r="J223" s="94" t="s">
        <v>718</v>
      </c>
      <c r="K223" s="94" t="s">
        <v>39</v>
      </c>
      <c r="L223" s="94" t="s">
        <v>40</v>
      </c>
      <c r="M223" s="94" t="s">
        <v>193</v>
      </c>
      <c r="N223" s="94" t="s">
        <v>64</v>
      </c>
      <c r="O223" s="94" t="s">
        <v>428</v>
      </c>
      <c r="P223" s="94" t="s">
        <v>100</v>
      </c>
      <c r="Q223" s="94" t="s">
        <v>719</v>
      </c>
      <c r="R223" s="94" t="s">
        <v>40</v>
      </c>
      <c r="S223" s="110"/>
      <c r="T223" s="97"/>
      <c r="U223" s="94"/>
      <c r="V223" s="70"/>
      <c r="W223" s="73" t="str">
        <f t="shared" si="2"/>
        <v/>
      </c>
      <c r="X223" s="73" t="str">
        <f t="shared" si="3"/>
        <v/>
      </c>
      <c r="Y223" s="73" t="str">
        <f t="shared" si="4"/>
        <v/>
      </c>
      <c r="Z223" s="73" t="str">
        <f t="shared" si="5"/>
        <v>X</v>
      </c>
      <c r="AA223" s="73" t="s">
        <v>29</v>
      </c>
      <c r="AB223" s="73" t="str">
        <f t="shared" si="6"/>
        <v>Trim 4</v>
      </c>
      <c r="AC223" s="73">
        <f t="shared" si="7"/>
        <v>0</v>
      </c>
      <c r="AD223" s="73">
        <f t="shared" si="8"/>
        <v>0</v>
      </c>
      <c r="AE223" s="73"/>
      <c r="AF223" s="73"/>
      <c r="AG223" s="73"/>
      <c r="AH223" s="73"/>
      <c r="AI223" s="73"/>
    </row>
    <row r="224" spans="1:35" ht="90">
      <c r="A224" s="94" t="s">
        <v>671</v>
      </c>
      <c r="B224" s="94">
        <v>7</v>
      </c>
      <c r="C224" s="97" t="s">
        <v>727</v>
      </c>
      <c r="D224" s="96">
        <v>0.1</v>
      </c>
      <c r="E224" s="108" t="s">
        <v>653</v>
      </c>
      <c r="F224" s="97" t="s">
        <v>728</v>
      </c>
      <c r="G224" s="98">
        <v>0.02</v>
      </c>
      <c r="H224" s="97" t="s">
        <v>729</v>
      </c>
      <c r="I224" s="94" t="s">
        <v>730</v>
      </c>
      <c r="J224" s="94" t="s">
        <v>731</v>
      </c>
      <c r="K224" s="94" t="s">
        <v>45</v>
      </c>
      <c r="L224" s="94" t="s">
        <v>40</v>
      </c>
      <c r="M224" s="94" t="s">
        <v>193</v>
      </c>
      <c r="N224" s="94" t="s">
        <v>64</v>
      </c>
      <c r="O224" s="94" t="s">
        <v>428</v>
      </c>
      <c r="P224" s="94" t="s">
        <v>100</v>
      </c>
      <c r="Q224" s="94" t="s">
        <v>704</v>
      </c>
      <c r="R224" s="94" t="s">
        <v>40</v>
      </c>
      <c r="S224" s="96">
        <v>0.01</v>
      </c>
      <c r="T224" s="94" t="s">
        <v>45</v>
      </c>
      <c r="U224" s="94"/>
      <c r="V224" s="70"/>
      <c r="W224" s="73" t="str">
        <f t="shared" si="2"/>
        <v>X</v>
      </c>
      <c r="X224" s="73" t="str">
        <f t="shared" si="3"/>
        <v/>
      </c>
      <c r="Y224" s="73" t="str">
        <f t="shared" si="4"/>
        <v/>
      </c>
      <c r="Z224" s="73" t="str">
        <f t="shared" si="5"/>
        <v/>
      </c>
      <c r="AA224" s="73" t="s">
        <v>26</v>
      </c>
      <c r="AB224" s="73" t="str">
        <f t="shared" si="6"/>
        <v>Trim 1</v>
      </c>
      <c r="AC224" s="73">
        <f t="shared" si="7"/>
        <v>0</v>
      </c>
      <c r="AD224" s="73">
        <f t="shared" si="8"/>
        <v>1</v>
      </c>
      <c r="AE224" s="73"/>
      <c r="AF224" s="73"/>
      <c r="AG224" s="73"/>
      <c r="AH224" s="73"/>
      <c r="AI224" s="73"/>
    </row>
    <row r="225" spans="1:35" ht="90">
      <c r="A225" s="94" t="s">
        <v>671</v>
      </c>
      <c r="B225" s="94">
        <v>7</v>
      </c>
      <c r="C225" s="97" t="s">
        <v>727</v>
      </c>
      <c r="D225" s="96">
        <v>0.1</v>
      </c>
      <c r="E225" s="108" t="s">
        <v>657</v>
      </c>
      <c r="F225" s="97" t="s">
        <v>732</v>
      </c>
      <c r="G225" s="98">
        <v>0.04</v>
      </c>
      <c r="H225" s="97" t="s">
        <v>733</v>
      </c>
      <c r="I225" s="94" t="s">
        <v>730</v>
      </c>
      <c r="J225" s="94" t="s">
        <v>731</v>
      </c>
      <c r="K225" s="94" t="s">
        <v>133</v>
      </c>
      <c r="L225" s="94" t="s">
        <v>40</v>
      </c>
      <c r="M225" s="94" t="s">
        <v>193</v>
      </c>
      <c r="N225" s="94" t="s">
        <v>64</v>
      </c>
      <c r="O225" s="94" t="s">
        <v>428</v>
      </c>
      <c r="P225" s="94" t="s">
        <v>100</v>
      </c>
      <c r="Q225" s="94" t="s">
        <v>704</v>
      </c>
      <c r="R225" s="94" t="s">
        <v>40</v>
      </c>
      <c r="S225" s="110"/>
      <c r="T225" s="97"/>
      <c r="U225" s="94"/>
      <c r="V225" s="70"/>
      <c r="W225" s="73" t="str">
        <f t="shared" si="2"/>
        <v/>
      </c>
      <c r="X225" s="73" t="str">
        <f t="shared" si="3"/>
        <v/>
      </c>
      <c r="Y225" s="73" t="str">
        <f t="shared" si="4"/>
        <v>X</v>
      </c>
      <c r="Z225" s="73" t="str">
        <f t="shared" si="5"/>
        <v/>
      </c>
      <c r="AA225" s="73" t="s">
        <v>28</v>
      </c>
      <c r="AB225" s="73" t="str">
        <f t="shared" si="6"/>
        <v>Trim 3</v>
      </c>
      <c r="AC225" s="73">
        <f t="shared" si="7"/>
        <v>0</v>
      </c>
      <c r="AD225" s="73">
        <f t="shared" si="8"/>
        <v>0</v>
      </c>
      <c r="AE225" s="73"/>
      <c r="AF225" s="73"/>
      <c r="AG225" s="73"/>
      <c r="AH225" s="73"/>
      <c r="AI225" s="73"/>
    </row>
    <row r="226" spans="1:35" ht="90">
      <c r="A226" s="94" t="s">
        <v>671</v>
      </c>
      <c r="B226" s="94">
        <v>7</v>
      </c>
      <c r="C226" s="97" t="s">
        <v>727</v>
      </c>
      <c r="D226" s="96">
        <v>0.1</v>
      </c>
      <c r="E226" s="108" t="s">
        <v>734</v>
      </c>
      <c r="F226" s="97" t="s">
        <v>735</v>
      </c>
      <c r="G226" s="98">
        <v>0.04</v>
      </c>
      <c r="H226" s="97" t="s">
        <v>736</v>
      </c>
      <c r="I226" s="94" t="s">
        <v>730</v>
      </c>
      <c r="J226" s="94" t="s">
        <v>731</v>
      </c>
      <c r="K226" s="94" t="s">
        <v>39</v>
      </c>
      <c r="L226" s="94" t="s">
        <v>40</v>
      </c>
      <c r="M226" s="94" t="s">
        <v>193</v>
      </c>
      <c r="N226" s="94" t="s">
        <v>64</v>
      </c>
      <c r="O226" s="94" t="s">
        <v>428</v>
      </c>
      <c r="P226" s="94" t="s">
        <v>100</v>
      </c>
      <c r="Q226" s="94" t="s">
        <v>704</v>
      </c>
      <c r="R226" s="94" t="s">
        <v>40</v>
      </c>
      <c r="S226" s="110"/>
      <c r="T226" s="97"/>
      <c r="U226" s="94"/>
      <c r="V226" s="70"/>
      <c r="W226" s="73" t="str">
        <f t="shared" si="2"/>
        <v/>
      </c>
      <c r="X226" s="73" t="str">
        <f t="shared" si="3"/>
        <v/>
      </c>
      <c r="Y226" s="73" t="str">
        <f t="shared" si="4"/>
        <v/>
      </c>
      <c r="Z226" s="73" t="str">
        <f t="shared" si="5"/>
        <v>X</v>
      </c>
      <c r="AA226" s="73" t="s">
        <v>29</v>
      </c>
      <c r="AB226" s="73" t="str">
        <f t="shared" si="6"/>
        <v>Trim 4</v>
      </c>
      <c r="AC226" s="73">
        <f t="shared" si="7"/>
        <v>0</v>
      </c>
      <c r="AD226" s="73">
        <f t="shared" si="8"/>
        <v>0</v>
      </c>
      <c r="AE226" s="73"/>
      <c r="AF226" s="73"/>
      <c r="AG226" s="73"/>
      <c r="AH226" s="73"/>
      <c r="AI226" s="73"/>
    </row>
    <row r="227" spans="1:35" ht="90">
      <c r="A227" s="94" t="s">
        <v>671</v>
      </c>
      <c r="B227" s="94">
        <v>8</v>
      </c>
      <c r="C227" s="97" t="s">
        <v>737</v>
      </c>
      <c r="D227" s="96">
        <v>0.1</v>
      </c>
      <c r="E227" s="108" t="s">
        <v>660</v>
      </c>
      <c r="F227" s="97" t="s">
        <v>738</v>
      </c>
      <c r="G227" s="98">
        <v>0.04</v>
      </c>
      <c r="H227" s="97" t="s">
        <v>739</v>
      </c>
      <c r="I227" s="94" t="s">
        <v>740</v>
      </c>
      <c r="J227" s="94" t="s">
        <v>731</v>
      </c>
      <c r="K227" s="94" t="s">
        <v>128</v>
      </c>
      <c r="L227" s="94" t="s">
        <v>40</v>
      </c>
      <c r="M227" s="94" t="s">
        <v>193</v>
      </c>
      <c r="N227" s="94" t="s">
        <v>64</v>
      </c>
      <c r="O227" s="94" t="s">
        <v>428</v>
      </c>
      <c r="P227" s="94" t="s">
        <v>100</v>
      </c>
      <c r="Q227" s="94" t="s">
        <v>704</v>
      </c>
      <c r="R227" s="94" t="s">
        <v>40</v>
      </c>
      <c r="S227" s="110"/>
      <c r="T227" s="97"/>
      <c r="U227" s="94"/>
      <c r="V227" s="70"/>
      <c r="W227" s="73" t="str">
        <f t="shared" si="2"/>
        <v/>
      </c>
      <c r="X227" s="73" t="str">
        <f t="shared" si="3"/>
        <v>X</v>
      </c>
      <c r="Y227" s="73" t="str">
        <f t="shared" si="4"/>
        <v/>
      </c>
      <c r="Z227" s="73" t="str">
        <f t="shared" si="5"/>
        <v/>
      </c>
      <c r="AA227" s="73" t="s">
        <v>27</v>
      </c>
      <c r="AB227" s="73" t="str">
        <f t="shared" si="6"/>
        <v>Trim 2</v>
      </c>
      <c r="AC227" s="73">
        <f t="shared" si="7"/>
        <v>0</v>
      </c>
      <c r="AD227" s="73">
        <f t="shared" si="8"/>
        <v>0</v>
      </c>
      <c r="AE227" s="73"/>
      <c r="AF227" s="73"/>
      <c r="AG227" s="73"/>
      <c r="AH227" s="73"/>
      <c r="AI227" s="73"/>
    </row>
    <row r="228" spans="1:35" ht="90">
      <c r="A228" s="94" t="s">
        <v>671</v>
      </c>
      <c r="B228" s="94">
        <v>8</v>
      </c>
      <c r="C228" s="97" t="s">
        <v>737</v>
      </c>
      <c r="D228" s="96">
        <v>0.1</v>
      </c>
      <c r="E228" s="108" t="s">
        <v>665</v>
      </c>
      <c r="F228" s="97" t="s">
        <v>741</v>
      </c>
      <c r="G228" s="98">
        <v>0.06</v>
      </c>
      <c r="H228" s="94" t="s">
        <v>742</v>
      </c>
      <c r="I228" s="94" t="s">
        <v>743</v>
      </c>
      <c r="J228" s="94" t="s">
        <v>731</v>
      </c>
      <c r="K228" s="94" t="s">
        <v>39</v>
      </c>
      <c r="L228" s="94" t="s">
        <v>40</v>
      </c>
      <c r="M228" s="94" t="s">
        <v>193</v>
      </c>
      <c r="N228" s="94" t="s">
        <v>64</v>
      </c>
      <c r="O228" s="94" t="s">
        <v>428</v>
      </c>
      <c r="P228" s="94" t="s">
        <v>100</v>
      </c>
      <c r="Q228" s="94" t="s">
        <v>704</v>
      </c>
      <c r="R228" s="94" t="s">
        <v>40</v>
      </c>
      <c r="S228" s="110"/>
      <c r="T228" s="97"/>
      <c r="U228" s="94"/>
      <c r="V228" s="70"/>
      <c r="W228" s="73" t="str">
        <f t="shared" si="2"/>
        <v/>
      </c>
      <c r="X228" s="73" t="str">
        <f t="shared" si="3"/>
        <v/>
      </c>
      <c r="Y228" s="73" t="str">
        <f t="shared" si="4"/>
        <v/>
      </c>
      <c r="Z228" s="73" t="str">
        <f t="shared" si="5"/>
        <v>X</v>
      </c>
      <c r="AA228" s="73" t="s">
        <v>29</v>
      </c>
      <c r="AB228" s="73" t="str">
        <f t="shared" si="6"/>
        <v>Trim 4</v>
      </c>
      <c r="AC228" s="73">
        <f t="shared" si="7"/>
        <v>0</v>
      </c>
      <c r="AD228" s="73">
        <f t="shared" si="8"/>
        <v>0</v>
      </c>
      <c r="AE228" s="73"/>
      <c r="AF228" s="73"/>
      <c r="AG228" s="73"/>
      <c r="AH228" s="73"/>
      <c r="AI228" s="73"/>
    </row>
    <row r="229" spans="1:35" ht="90">
      <c r="A229" s="94" t="s">
        <v>671</v>
      </c>
      <c r="B229" s="94">
        <v>9</v>
      </c>
      <c r="C229" s="97" t="s">
        <v>744</v>
      </c>
      <c r="D229" s="96">
        <v>0.06</v>
      </c>
      <c r="E229" s="108" t="s">
        <v>667</v>
      </c>
      <c r="F229" s="97" t="s">
        <v>745</v>
      </c>
      <c r="G229" s="98">
        <v>0.01</v>
      </c>
      <c r="H229" s="97" t="s">
        <v>746</v>
      </c>
      <c r="I229" s="94" t="s">
        <v>730</v>
      </c>
      <c r="J229" s="94" t="s">
        <v>747</v>
      </c>
      <c r="K229" s="94" t="s">
        <v>45</v>
      </c>
      <c r="L229" s="94" t="s">
        <v>40</v>
      </c>
      <c r="M229" s="94" t="s">
        <v>193</v>
      </c>
      <c r="N229" s="94" t="s">
        <v>64</v>
      </c>
      <c r="O229" s="94" t="s">
        <v>748</v>
      </c>
      <c r="P229" s="94" t="s">
        <v>100</v>
      </c>
      <c r="Q229" s="94" t="s">
        <v>719</v>
      </c>
      <c r="R229" s="94" t="s">
        <v>40</v>
      </c>
      <c r="S229" s="96">
        <v>0.01</v>
      </c>
      <c r="T229" s="94" t="s">
        <v>45</v>
      </c>
      <c r="U229" s="94"/>
      <c r="V229" s="70"/>
      <c r="W229" s="73" t="str">
        <f t="shared" si="2"/>
        <v>X</v>
      </c>
      <c r="X229" s="73" t="str">
        <f t="shared" si="3"/>
        <v/>
      </c>
      <c r="Y229" s="73" t="str">
        <f t="shared" si="4"/>
        <v/>
      </c>
      <c r="Z229" s="73" t="str">
        <f t="shared" si="5"/>
        <v/>
      </c>
      <c r="AA229" s="73" t="s">
        <v>26</v>
      </c>
      <c r="AB229" s="73" t="str">
        <f t="shared" si="6"/>
        <v>Trim 1</v>
      </c>
      <c r="AC229" s="73">
        <f t="shared" si="7"/>
        <v>1</v>
      </c>
      <c r="AD229" s="73">
        <f t="shared" si="8"/>
        <v>1</v>
      </c>
      <c r="AE229" s="73"/>
      <c r="AF229" s="73"/>
      <c r="AG229" s="73"/>
      <c r="AH229" s="73"/>
      <c r="AI229" s="73"/>
    </row>
    <row r="230" spans="1:35" ht="90">
      <c r="A230" s="94" t="s">
        <v>671</v>
      </c>
      <c r="B230" s="94">
        <v>9</v>
      </c>
      <c r="C230" s="97" t="s">
        <v>744</v>
      </c>
      <c r="D230" s="96">
        <v>0.06</v>
      </c>
      <c r="E230" s="108" t="s">
        <v>670</v>
      </c>
      <c r="F230" s="97" t="s">
        <v>749</v>
      </c>
      <c r="G230" s="98">
        <v>0.01</v>
      </c>
      <c r="H230" s="97" t="s">
        <v>750</v>
      </c>
      <c r="I230" s="94" t="s">
        <v>730</v>
      </c>
      <c r="J230" s="94" t="s">
        <v>747</v>
      </c>
      <c r="K230" s="94" t="s">
        <v>45</v>
      </c>
      <c r="L230" s="94" t="s">
        <v>40</v>
      </c>
      <c r="M230" s="94" t="s">
        <v>193</v>
      </c>
      <c r="N230" s="94" t="s">
        <v>64</v>
      </c>
      <c r="O230" s="94" t="s">
        <v>748</v>
      </c>
      <c r="P230" s="94" t="s">
        <v>100</v>
      </c>
      <c r="Q230" s="94" t="s">
        <v>719</v>
      </c>
      <c r="R230" s="94" t="s">
        <v>40</v>
      </c>
      <c r="S230" s="96">
        <v>0.01</v>
      </c>
      <c r="T230" s="94" t="s">
        <v>45</v>
      </c>
      <c r="U230" s="94"/>
      <c r="V230" s="70"/>
      <c r="W230" s="73" t="str">
        <f t="shared" si="2"/>
        <v>X</v>
      </c>
      <c r="X230" s="73" t="str">
        <f t="shared" si="3"/>
        <v/>
      </c>
      <c r="Y230" s="73" t="str">
        <f t="shared" si="4"/>
        <v/>
      </c>
      <c r="Z230" s="73" t="str">
        <f t="shared" si="5"/>
        <v/>
      </c>
      <c r="AA230" s="73" t="s">
        <v>26</v>
      </c>
      <c r="AB230" s="73" t="str">
        <f t="shared" si="6"/>
        <v>Trim 1</v>
      </c>
      <c r="AC230" s="73">
        <f t="shared" si="7"/>
        <v>1</v>
      </c>
      <c r="AD230" s="73">
        <f t="shared" si="8"/>
        <v>1</v>
      </c>
      <c r="AE230" s="73"/>
      <c r="AF230" s="73"/>
      <c r="AG230" s="73"/>
      <c r="AH230" s="73"/>
      <c r="AI230" s="73"/>
    </row>
    <row r="231" spans="1:35" ht="90">
      <c r="A231" s="94" t="s">
        <v>671</v>
      </c>
      <c r="B231" s="94">
        <v>9</v>
      </c>
      <c r="C231" s="97" t="s">
        <v>744</v>
      </c>
      <c r="D231" s="96">
        <v>0.06</v>
      </c>
      <c r="E231" s="108" t="s">
        <v>751</v>
      </c>
      <c r="F231" s="97" t="s">
        <v>752</v>
      </c>
      <c r="G231" s="98">
        <v>0.02</v>
      </c>
      <c r="H231" s="97" t="s">
        <v>753</v>
      </c>
      <c r="I231" s="94" t="s">
        <v>754</v>
      </c>
      <c r="J231" s="94" t="s">
        <v>747</v>
      </c>
      <c r="K231" s="94" t="s">
        <v>39</v>
      </c>
      <c r="L231" s="94" t="s">
        <v>40</v>
      </c>
      <c r="M231" s="94" t="s">
        <v>193</v>
      </c>
      <c r="N231" s="94" t="s">
        <v>64</v>
      </c>
      <c r="O231" s="94" t="s">
        <v>748</v>
      </c>
      <c r="P231" s="94" t="s">
        <v>100</v>
      </c>
      <c r="Q231" s="94" t="s">
        <v>719</v>
      </c>
      <c r="R231" s="94" t="s">
        <v>40</v>
      </c>
      <c r="S231" s="110"/>
      <c r="T231" s="97"/>
      <c r="U231" s="94"/>
      <c r="V231" s="70"/>
      <c r="W231" s="73" t="str">
        <f t="shared" si="2"/>
        <v/>
      </c>
      <c r="X231" s="73" t="str">
        <f t="shared" si="3"/>
        <v/>
      </c>
      <c r="Y231" s="73" t="str">
        <f t="shared" si="4"/>
        <v/>
      </c>
      <c r="Z231" s="73" t="str">
        <f t="shared" si="5"/>
        <v>X</v>
      </c>
      <c r="AA231" s="73" t="s">
        <v>29</v>
      </c>
      <c r="AB231" s="73" t="str">
        <f t="shared" si="6"/>
        <v>Trim 4</v>
      </c>
      <c r="AC231" s="73">
        <f t="shared" si="7"/>
        <v>0</v>
      </c>
      <c r="AD231" s="73">
        <f t="shared" si="8"/>
        <v>0</v>
      </c>
      <c r="AE231" s="73"/>
      <c r="AF231" s="73"/>
      <c r="AG231" s="73"/>
      <c r="AH231" s="73"/>
      <c r="AI231" s="73"/>
    </row>
    <row r="232" spans="1:35" ht="90">
      <c r="A232" s="94" t="s">
        <v>671</v>
      </c>
      <c r="B232" s="94">
        <v>9</v>
      </c>
      <c r="C232" s="97" t="s">
        <v>744</v>
      </c>
      <c r="D232" s="96">
        <v>0.06</v>
      </c>
      <c r="E232" s="108" t="s">
        <v>755</v>
      </c>
      <c r="F232" s="97" t="s">
        <v>756</v>
      </c>
      <c r="G232" s="98">
        <v>0.02</v>
      </c>
      <c r="H232" s="97" t="s">
        <v>757</v>
      </c>
      <c r="I232" s="94" t="s">
        <v>754</v>
      </c>
      <c r="J232" s="94" t="s">
        <v>747</v>
      </c>
      <c r="K232" s="94" t="s">
        <v>39</v>
      </c>
      <c r="L232" s="94" t="s">
        <v>40</v>
      </c>
      <c r="M232" s="94" t="s">
        <v>193</v>
      </c>
      <c r="N232" s="94" t="s">
        <v>64</v>
      </c>
      <c r="O232" s="94" t="s">
        <v>748</v>
      </c>
      <c r="P232" s="94" t="s">
        <v>100</v>
      </c>
      <c r="Q232" s="94" t="s">
        <v>719</v>
      </c>
      <c r="R232" s="94" t="s">
        <v>40</v>
      </c>
      <c r="S232" s="110"/>
      <c r="T232" s="97"/>
      <c r="U232" s="94"/>
      <c r="V232" s="70"/>
      <c r="W232" s="73" t="str">
        <f t="shared" si="2"/>
        <v/>
      </c>
      <c r="X232" s="73" t="str">
        <f t="shared" si="3"/>
        <v/>
      </c>
      <c r="Y232" s="73" t="str">
        <f t="shared" si="4"/>
        <v/>
      </c>
      <c r="Z232" s="73" t="str">
        <f t="shared" si="5"/>
        <v>X</v>
      </c>
      <c r="AA232" s="73" t="s">
        <v>29</v>
      </c>
      <c r="AB232" s="73" t="str">
        <f t="shared" si="6"/>
        <v>Trim 4</v>
      </c>
      <c r="AC232" s="73">
        <f t="shared" si="7"/>
        <v>0</v>
      </c>
      <c r="AD232" s="73">
        <f t="shared" si="8"/>
        <v>0</v>
      </c>
      <c r="AE232" s="73"/>
      <c r="AF232" s="73"/>
      <c r="AG232" s="73"/>
      <c r="AH232" s="73"/>
      <c r="AI232" s="73"/>
    </row>
    <row r="233" spans="1:35" ht="90">
      <c r="A233" s="94" t="s">
        <v>671</v>
      </c>
      <c r="B233" s="94">
        <v>10</v>
      </c>
      <c r="C233" s="97" t="s">
        <v>758</v>
      </c>
      <c r="D233" s="96">
        <v>0.06</v>
      </c>
      <c r="E233" s="108" t="s">
        <v>759</v>
      </c>
      <c r="F233" s="97" t="s">
        <v>760</v>
      </c>
      <c r="G233" s="98">
        <v>0.03</v>
      </c>
      <c r="H233" s="97" t="s">
        <v>761</v>
      </c>
      <c r="I233" s="94" t="s">
        <v>762</v>
      </c>
      <c r="J233" s="94" t="s">
        <v>763</v>
      </c>
      <c r="K233" s="94" t="s">
        <v>128</v>
      </c>
      <c r="L233" s="94" t="s">
        <v>40</v>
      </c>
      <c r="M233" s="94" t="s">
        <v>193</v>
      </c>
      <c r="N233" s="94" t="s">
        <v>64</v>
      </c>
      <c r="O233" s="94" t="s">
        <v>428</v>
      </c>
      <c r="P233" s="94" t="s">
        <v>100</v>
      </c>
      <c r="Q233" s="94" t="s">
        <v>719</v>
      </c>
      <c r="R233" s="94" t="s">
        <v>40</v>
      </c>
      <c r="S233" s="98">
        <f>20%*3%</f>
        <v>6.0000000000000001E-3</v>
      </c>
      <c r="T233" s="94" t="s">
        <v>45</v>
      </c>
      <c r="U233" s="94"/>
      <c r="V233" s="70"/>
      <c r="W233" s="73" t="str">
        <f t="shared" si="2"/>
        <v/>
      </c>
      <c r="X233" s="73" t="str">
        <f t="shared" si="3"/>
        <v>X</v>
      </c>
      <c r="Y233" s="73" t="str">
        <f t="shared" si="4"/>
        <v/>
      </c>
      <c r="Z233" s="73" t="str">
        <f t="shared" si="5"/>
        <v/>
      </c>
      <c r="AA233" s="73" t="s">
        <v>27</v>
      </c>
      <c r="AB233" s="73" t="str">
        <f t="shared" si="6"/>
        <v>Trim 2</v>
      </c>
      <c r="AC233" s="73">
        <f t="shared" si="7"/>
        <v>0</v>
      </c>
      <c r="AD233" s="73">
        <f t="shared" si="8"/>
        <v>0</v>
      </c>
      <c r="AE233" s="73"/>
      <c r="AF233" s="73"/>
      <c r="AG233" s="73"/>
      <c r="AH233" s="73"/>
      <c r="AI233" s="73"/>
    </row>
    <row r="234" spans="1:35" ht="90">
      <c r="A234" s="94" t="s">
        <v>671</v>
      </c>
      <c r="B234" s="94">
        <v>10</v>
      </c>
      <c r="C234" s="97" t="s">
        <v>758</v>
      </c>
      <c r="D234" s="96">
        <v>0.06</v>
      </c>
      <c r="E234" s="108" t="s">
        <v>764</v>
      </c>
      <c r="F234" s="97" t="s">
        <v>765</v>
      </c>
      <c r="G234" s="98">
        <v>0.02</v>
      </c>
      <c r="H234" s="97" t="s">
        <v>766</v>
      </c>
      <c r="I234" s="94" t="s">
        <v>767</v>
      </c>
      <c r="J234" s="94" t="s">
        <v>768</v>
      </c>
      <c r="K234" s="94" t="s">
        <v>113</v>
      </c>
      <c r="L234" s="94" t="s">
        <v>40</v>
      </c>
      <c r="M234" s="94" t="s">
        <v>193</v>
      </c>
      <c r="N234" s="94" t="s">
        <v>64</v>
      </c>
      <c r="O234" s="94" t="s">
        <v>428</v>
      </c>
      <c r="P234" s="94" t="s">
        <v>100</v>
      </c>
      <c r="Q234" s="94" t="s">
        <v>719</v>
      </c>
      <c r="R234" s="94" t="s">
        <v>40</v>
      </c>
      <c r="S234" s="98">
        <f>30%*2%</f>
        <v>6.0000000000000001E-3</v>
      </c>
      <c r="T234" s="94" t="s">
        <v>45</v>
      </c>
      <c r="U234" s="94"/>
      <c r="V234" s="70"/>
      <c r="W234" s="73" t="str">
        <f t="shared" si="2"/>
        <v/>
      </c>
      <c r="X234" s="73" t="str">
        <f t="shared" si="3"/>
        <v/>
      </c>
      <c r="Y234" s="73" t="str">
        <f t="shared" si="4"/>
        <v>X</v>
      </c>
      <c r="Z234" s="73" t="str">
        <f t="shared" si="5"/>
        <v/>
      </c>
      <c r="AA234" s="73" t="s">
        <v>28</v>
      </c>
      <c r="AB234" s="73" t="str">
        <f t="shared" si="6"/>
        <v>Trim 3</v>
      </c>
      <c r="AC234" s="73">
        <f t="shared" si="7"/>
        <v>0</v>
      </c>
      <c r="AD234" s="73">
        <f t="shared" si="8"/>
        <v>0</v>
      </c>
      <c r="AE234" s="73"/>
      <c r="AF234" s="73"/>
      <c r="AG234" s="73"/>
      <c r="AH234" s="73"/>
      <c r="AI234" s="73"/>
    </row>
    <row r="235" spans="1:35" ht="90">
      <c r="A235" s="94" t="s">
        <v>671</v>
      </c>
      <c r="B235" s="94">
        <v>10</v>
      </c>
      <c r="C235" s="97" t="s">
        <v>758</v>
      </c>
      <c r="D235" s="96">
        <v>0.06</v>
      </c>
      <c r="E235" s="108" t="s">
        <v>769</v>
      </c>
      <c r="F235" s="97" t="s">
        <v>770</v>
      </c>
      <c r="G235" s="98">
        <v>0.01</v>
      </c>
      <c r="H235" s="97" t="s">
        <v>771</v>
      </c>
      <c r="I235" s="94" t="s">
        <v>772</v>
      </c>
      <c r="J235" s="94" t="s">
        <v>676</v>
      </c>
      <c r="K235" s="94" t="s">
        <v>117</v>
      </c>
      <c r="L235" s="94" t="s">
        <v>40</v>
      </c>
      <c r="M235" s="94" t="s">
        <v>193</v>
      </c>
      <c r="N235" s="94" t="s">
        <v>64</v>
      </c>
      <c r="O235" s="94" t="s">
        <v>428</v>
      </c>
      <c r="P235" s="94" t="s">
        <v>100</v>
      </c>
      <c r="Q235" s="94" t="s">
        <v>719</v>
      </c>
      <c r="R235" s="94" t="s">
        <v>40</v>
      </c>
      <c r="S235" s="110"/>
      <c r="T235" s="97"/>
      <c r="U235" s="94"/>
      <c r="V235" s="70"/>
      <c r="W235" s="73" t="str">
        <f t="shared" si="2"/>
        <v/>
      </c>
      <c r="X235" s="73" t="str">
        <f t="shared" si="3"/>
        <v/>
      </c>
      <c r="Y235" s="73" t="str">
        <f t="shared" si="4"/>
        <v/>
      </c>
      <c r="Z235" s="73" t="str">
        <f t="shared" si="5"/>
        <v>X</v>
      </c>
      <c r="AA235" s="73" t="s">
        <v>29</v>
      </c>
      <c r="AB235" s="73" t="str">
        <f t="shared" si="6"/>
        <v>Trim 4</v>
      </c>
      <c r="AC235" s="73">
        <f t="shared" si="7"/>
        <v>0</v>
      </c>
      <c r="AD235" s="73">
        <f t="shared" si="8"/>
        <v>0</v>
      </c>
      <c r="AE235" s="73"/>
      <c r="AF235" s="73"/>
      <c r="AG235" s="73"/>
      <c r="AH235" s="73"/>
      <c r="AI235" s="73"/>
    </row>
    <row r="236" spans="1:35" ht="90">
      <c r="A236" s="94" t="s">
        <v>671</v>
      </c>
      <c r="B236" s="94">
        <v>11</v>
      </c>
      <c r="C236" s="97" t="s">
        <v>773</v>
      </c>
      <c r="D236" s="96">
        <v>0.1</v>
      </c>
      <c r="E236" s="108" t="s">
        <v>774</v>
      </c>
      <c r="F236" s="97" t="s">
        <v>775</v>
      </c>
      <c r="G236" s="98">
        <v>0.03</v>
      </c>
      <c r="H236" s="97" t="s">
        <v>776</v>
      </c>
      <c r="I236" s="94" t="s">
        <v>730</v>
      </c>
      <c r="J236" s="94" t="s">
        <v>718</v>
      </c>
      <c r="K236" s="94" t="s">
        <v>45</v>
      </c>
      <c r="L236" s="94" t="s">
        <v>40</v>
      </c>
      <c r="M236" s="94" t="s">
        <v>193</v>
      </c>
      <c r="N236" s="94" t="s">
        <v>64</v>
      </c>
      <c r="O236" s="94" t="s">
        <v>428</v>
      </c>
      <c r="P236" s="94" t="s">
        <v>100</v>
      </c>
      <c r="Q236" s="94" t="s">
        <v>719</v>
      </c>
      <c r="R236" s="94" t="s">
        <v>40</v>
      </c>
      <c r="S236" s="98">
        <f>20%*3%</f>
        <v>6.0000000000000001E-3</v>
      </c>
      <c r="T236" s="94" t="s">
        <v>45</v>
      </c>
      <c r="U236" s="94"/>
      <c r="V236" s="70"/>
      <c r="W236" s="73" t="str">
        <f t="shared" si="2"/>
        <v>X</v>
      </c>
      <c r="X236" s="73" t="str">
        <f t="shared" si="3"/>
        <v/>
      </c>
      <c r="Y236" s="73" t="str">
        <f t="shared" si="4"/>
        <v/>
      </c>
      <c r="Z236" s="73" t="str">
        <f t="shared" si="5"/>
        <v/>
      </c>
      <c r="AA236" s="73" t="s">
        <v>26</v>
      </c>
      <c r="AB236" s="73" t="str">
        <f t="shared" si="6"/>
        <v>Trim 1</v>
      </c>
      <c r="AC236" s="73">
        <f t="shared" si="7"/>
        <v>0</v>
      </c>
      <c r="AD236" s="73">
        <f t="shared" si="8"/>
        <v>1</v>
      </c>
      <c r="AE236" s="73"/>
      <c r="AF236" s="73"/>
      <c r="AG236" s="73"/>
      <c r="AH236" s="73"/>
      <c r="AI236" s="73"/>
    </row>
    <row r="237" spans="1:35" ht="90">
      <c r="A237" s="94" t="s">
        <v>671</v>
      </c>
      <c r="B237" s="94">
        <v>11</v>
      </c>
      <c r="C237" s="97" t="s">
        <v>773</v>
      </c>
      <c r="D237" s="96">
        <v>0.1</v>
      </c>
      <c r="E237" s="108" t="s">
        <v>777</v>
      </c>
      <c r="F237" s="97" t="s">
        <v>778</v>
      </c>
      <c r="G237" s="98">
        <v>0.06</v>
      </c>
      <c r="H237" s="97" t="s">
        <v>779</v>
      </c>
      <c r="I237" s="94" t="s">
        <v>780</v>
      </c>
      <c r="J237" s="94" t="s">
        <v>768</v>
      </c>
      <c r="K237" s="94" t="s">
        <v>133</v>
      </c>
      <c r="L237" s="94" t="s">
        <v>40</v>
      </c>
      <c r="M237" s="94" t="s">
        <v>193</v>
      </c>
      <c r="N237" s="94" t="s">
        <v>64</v>
      </c>
      <c r="O237" s="94" t="s">
        <v>428</v>
      </c>
      <c r="P237" s="94" t="s">
        <v>100</v>
      </c>
      <c r="Q237" s="94" t="s">
        <v>719</v>
      </c>
      <c r="R237" s="94" t="s">
        <v>40</v>
      </c>
      <c r="S237" s="110"/>
      <c r="T237" s="97"/>
      <c r="U237" s="94"/>
      <c r="V237" s="70"/>
      <c r="W237" s="73" t="str">
        <f t="shared" si="2"/>
        <v/>
      </c>
      <c r="X237" s="73" t="str">
        <f t="shared" si="3"/>
        <v/>
      </c>
      <c r="Y237" s="73" t="str">
        <f t="shared" si="4"/>
        <v>X</v>
      </c>
      <c r="Z237" s="73" t="str">
        <f t="shared" si="5"/>
        <v/>
      </c>
      <c r="AA237" s="73" t="s">
        <v>28</v>
      </c>
      <c r="AB237" s="73" t="str">
        <f t="shared" si="6"/>
        <v>Trim 3</v>
      </c>
      <c r="AC237" s="73">
        <f t="shared" si="7"/>
        <v>0</v>
      </c>
      <c r="AD237" s="73">
        <f t="shared" si="8"/>
        <v>0</v>
      </c>
      <c r="AE237" s="73"/>
      <c r="AF237" s="73"/>
      <c r="AG237" s="73"/>
      <c r="AH237" s="73"/>
      <c r="AI237" s="73"/>
    </row>
    <row r="238" spans="1:35" ht="90">
      <c r="A238" s="94" t="s">
        <v>671</v>
      </c>
      <c r="B238" s="94">
        <v>11</v>
      </c>
      <c r="C238" s="97" t="s">
        <v>773</v>
      </c>
      <c r="D238" s="96">
        <v>0.1</v>
      </c>
      <c r="E238" s="108" t="s">
        <v>781</v>
      </c>
      <c r="F238" s="97" t="s">
        <v>782</v>
      </c>
      <c r="G238" s="98">
        <v>0.01</v>
      </c>
      <c r="H238" s="97" t="s">
        <v>783</v>
      </c>
      <c r="I238" s="94" t="s">
        <v>784</v>
      </c>
      <c r="J238" s="94" t="s">
        <v>768</v>
      </c>
      <c r="K238" s="94" t="s">
        <v>39</v>
      </c>
      <c r="L238" s="94" t="s">
        <v>40</v>
      </c>
      <c r="M238" s="94" t="s">
        <v>193</v>
      </c>
      <c r="N238" s="94" t="s">
        <v>64</v>
      </c>
      <c r="O238" s="94" t="s">
        <v>428</v>
      </c>
      <c r="P238" s="94" t="s">
        <v>100</v>
      </c>
      <c r="Q238" s="94" t="s">
        <v>719</v>
      </c>
      <c r="R238" s="94" t="s">
        <v>40</v>
      </c>
      <c r="S238" s="110"/>
      <c r="T238" s="97"/>
      <c r="U238" s="94"/>
      <c r="V238" s="70"/>
      <c r="W238" s="73" t="str">
        <f t="shared" si="2"/>
        <v/>
      </c>
      <c r="X238" s="73" t="str">
        <f t="shared" si="3"/>
        <v/>
      </c>
      <c r="Y238" s="73" t="str">
        <f t="shared" si="4"/>
        <v/>
      </c>
      <c r="Z238" s="73" t="str">
        <f t="shared" si="5"/>
        <v>X</v>
      </c>
      <c r="AA238" s="73" t="s">
        <v>29</v>
      </c>
      <c r="AB238" s="73" t="str">
        <f t="shared" si="6"/>
        <v>Trim 4</v>
      </c>
      <c r="AC238" s="73">
        <f t="shared" si="7"/>
        <v>0</v>
      </c>
      <c r="AD238" s="73">
        <f t="shared" si="8"/>
        <v>0</v>
      </c>
      <c r="AE238" s="73"/>
      <c r="AF238" s="73"/>
      <c r="AG238" s="73"/>
      <c r="AH238" s="73"/>
      <c r="AI238" s="73"/>
    </row>
    <row r="239" spans="1:35" ht="90">
      <c r="A239" s="94" t="s">
        <v>671</v>
      </c>
      <c r="B239" s="94">
        <v>12</v>
      </c>
      <c r="C239" s="97" t="s">
        <v>785</v>
      </c>
      <c r="D239" s="96">
        <v>0.06</v>
      </c>
      <c r="E239" s="108" t="s">
        <v>786</v>
      </c>
      <c r="F239" s="97" t="s">
        <v>787</v>
      </c>
      <c r="G239" s="98">
        <v>0.02</v>
      </c>
      <c r="H239" s="97" t="s">
        <v>776</v>
      </c>
      <c r="I239" s="94" t="s">
        <v>730</v>
      </c>
      <c r="J239" s="94" t="s">
        <v>768</v>
      </c>
      <c r="K239" s="94" t="s">
        <v>111</v>
      </c>
      <c r="L239" s="94" t="s">
        <v>40</v>
      </c>
      <c r="M239" s="94" t="s">
        <v>193</v>
      </c>
      <c r="N239" s="94" t="s">
        <v>64</v>
      </c>
      <c r="O239" s="94" t="s">
        <v>428</v>
      </c>
      <c r="P239" s="94" t="s">
        <v>100</v>
      </c>
      <c r="Q239" s="94" t="s">
        <v>719</v>
      </c>
      <c r="R239" s="94" t="s">
        <v>40</v>
      </c>
      <c r="S239" s="98">
        <f>30%*2%</f>
        <v>6.0000000000000001E-3</v>
      </c>
      <c r="T239" s="94" t="s">
        <v>45</v>
      </c>
      <c r="U239" s="94"/>
      <c r="V239" s="70"/>
      <c r="W239" s="73" t="str">
        <f t="shared" si="2"/>
        <v/>
      </c>
      <c r="X239" s="73" t="str">
        <f t="shared" si="3"/>
        <v>X</v>
      </c>
      <c r="Y239" s="73" t="str">
        <f t="shared" si="4"/>
        <v/>
      </c>
      <c r="Z239" s="73" t="str">
        <f t="shared" si="5"/>
        <v/>
      </c>
      <c r="AA239" s="73" t="s">
        <v>27</v>
      </c>
      <c r="AB239" s="73" t="str">
        <f t="shared" si="6"/>
        <v>Trim 2</v>
      </c>
      <c r="AC239" s="73">
        <f t="shared" si="7"/>
        <v>0</v>
      </c>
      <c r="AD239" s="73">
        <f t="shared" si="8"/>
        <v>0</v>
      </c>
      <c r="AE239" s="73"/>
      <c r="AF239" s="73"/>
      <c r="AG239" s="73"/>
      <c r="AH239" s="73"/>
      <c r="AI239" s="73"/>
    </row>
    <row r="240" spans="1:35" ht="90">
      <c r="A240" s="94" t="s">
        <v>671</v>
      </c>
      <c r="B240" s="94">
        <v>12</v>
      </c>
      <c r="C240" s="97" t="s">
        <v>785</v>
      </c>
      <c r="D240" s="96">
        <v>0.06</v>
      </c>
      <c r="E240" s="108" t="s">
        <v>788</v>
      </c>
      <c r="F240" s="97" t="s">
        <v>778</v>
      </c>
      <c r="G240" s="98">
        <v>0.04</v>
      </c>
      <c r="H240" s="97" t="s">
        <v>779</v>
      </c>
      <c r="I240" s="94" t="s">
        <v>780</v>
      </c>
      <c r="J240" s="94" t="s">
        <v>768</v>
      </c>
      <c r="K240" s="94" t="s">
        <v>115</v>
      </c>
      <c r="L240" s="94" t="s">
        <v>40</v>
      </c>
      <c r="M240" s="94" t="s">
        <v>193</v>
      </c>
      <c r="N240" s="94" t="s">
        <v>64</v>
      </c>
      <c r="O240" s="94" t="s">
        <v>428</v>
      </c>
      <c r="P240" s="94" t="s">
        <v>100</v>
      </c>
      <c r="Q240" s="94" t="s">
        <v>719</v>
      </c>
      <c r="R240" s="94" t="s">
        <v>40</v>
      </c>
      <c r="S240" s="110"/>
      <c r="T240" s="97"/>
      <c r="U240" s="94"/>
      <c r="V240" s="70"/>
      <c r="W240" s="73" t="str">
        <f t="shared" si="2"/>
        <v/>
      </c>
      <c r="X240" s="73" t="str">
        <f t="shared" si="3"/>
        <v/>
      </c>
      <c r="Y240" s="73" t="str">
        <f t="shared" si="4"/>
        <v>X</v>
      </c>
      <c r="Z240" s="73" t="str">
        <f t="shared" si="5"/>
        <v/>
      </c>
      <c r="AA240" s="73" t="s">
        <v>28</v>
      </c>
      <c r="AB240" s="73" t="str">
        <f t="shared" si="6"/>
        <v>Trim 3</v>
      </c>
      <c r="AC240" s="73">
        <f t="shared" si="7"/>
        <v>0</v>
      </c>
      <c r="AD240" s="73">
        <f t="shared" si="8"/>
        <v>0</v>
      </c>
      <c r="AE240" s="73"/>
      <c r="AF240" s="73"/>
      <c r="AG240" s="73"/>
      <c r="AH240" s="73"/>
      <c r="AI240" s="73"/>
    </row>
    <row r="241" spans="1:35" ht="90">
      <c r="A241" s="94" t="s">
        <v>671</v>
      </c>
      <c r="B241" s="94">
        <v>13</v>
      </c>
      <c r="C241" s="97" t="s">
        <v>789</v>
      </c>
      <c r="D241" s="96">
        <v>0.03</v>
      </c>
      <c r="E241" s="108" t="s">
        <v>790</v>
      </c>
      <c r="F241" s="97" t="s">
        <v>791</v>
      </c>
      <c r="G241" s="98">
        <v>0.01</v>
      </c>
      <c r="H241" s="97" t="s">
        <v>776</v>
      </c>
      <c r="I241" s="94" t="s">
        <v>730</v>
      </c>
      <c r="J241" s="94" t="s">
        <v>768</v>
      </c>
      <c r="K241" s="94" t="s">
        <v>128</v>
      </c>
      <c r="L241" s="94" t="s">
        <v>40</v>
      </c>
      <c r="M241" s="94" t="s">
        <v>193</v>
      </c>
      <c r="N241" s="94" t="s">
        <v>64</v>
      </c>
      <c r="O241" s="94" t="s">
        <v>428</v>
      </c>
      <c r="P241" s="94" t="s">
        <v>100</v>
      </c>
      <c r="Q241" s="94" t="s">
        <v>719</v>
      </c>
      <c r="R241" s="94" t="s">
        <v>40</v>
      </c>
      <c r="S241" s="110"/>
      <c r="T241" s="97"/>
      <c r="U241" s="94"/>
      <c r="V241" s="70"/>
      <c r="W241" s="73" t="str">
        <f t="shared" si="2"/>
        <v/>
      </c>
      <c r="X241" s="73" t="str">
        <f t="shared" si="3"/>
        <v>X</v>
      </c>
      <c r="Y241" s="73" t="str">
        <f t="shared" si="4"/>
        <v/>
      </c>
      <c r="Z241" s="73" t="str">
        <f t="shared" si="5"/>
        <v/>
      </c>
      <c r="AA241" s="73" t="s">
        <v>27</v>
      </c>
      <c r="AB241" s="73" t="str">
        <f t="shared" si="6"/>
        <v>Trim 2</v>
      </c>
      <c r="AC241" s="73">
        <f t="shared" si="7"/>
        <v>0</v>
      </c>
      <c r="AD241" s="73">
        <f t="shared" si="8"/>
        <v>0</v>
      </c>
      <c r="AE241" s="73"/>
      <c r="AF241" s="73"/>
      <c r="AG241" s="73"/>
      <c r="AH241" s="73"/>
      <c r="AI241" s="73"/>
    </row>
    <row r="242" spans="1:35" ht="90">
      <c r="A242" s="94" t="s">
        <v>671</v>
      </c>
      <c r="B242" s="94">
        <v>13</v>
      </c>
      <c r="C242" s="97" t="s">
        <v>789</v>
      </c>
      <c r="D242" s="96">
        <v>0.03</v>
      </c>
      <c r="E242" s="108" t="s">
        <v>792</v>
      </c>
      <c r="F242" s="97" t="s">
        <v>778</v>
      </c>
      <c r="G242" s="98">
        <v>0.02</v>
      </c>
      <c r="H242" s="97" t="s">
        <v>779</v>
      </c>
      <c r="I242" s="94" t="s">
        <v>780</v>
      </c>
      <c r="J242" s="94" t="s">
        <v>768</v>
      </c>
      <c r="K242" s="94" t="s">
        <v>115</v>
      </c>
      <c r="L242" s="94" t="s">
        <v>40</v>
      </c>
      <c r="M242" s="94" t="s">
        <v>193</v>
      </c>
      <c r="N242" s="94" t="s">
        <v>64</v>
      </c>
      <c r="O242" s="94" t="s">
        <v>428</v>
      </c>
      <c r="P242" s="94" t="s">
        <v>100</v>
      </c>
      <c r="Q242" s="94" t="s">
        <v>719</v>
      </c>
      <c r="R242" s="94" t="s">
        <v>40</v>
      </c>
      <c r="S242" s="110"/>
      <c r="T242" s="97"/>
      <c r="U242" s="94"/>
      <c r="V242" s="70"/>
      <c r="W242" s="73" t="str">
        <f t="shared" si="2"/>
        <v/>
      </c>
      <c r="X242" s="73" t="str">
        <f t="shared" si="3"/>
        <v/>
      </c>
      <c r="Y242" s="73" t="str">
        <f t="shared" si="4"/>
        <v>X</v>
      </c>
      <c r="Z242" s="73" t="str">
        <f t="shared" si="5"/>
        <v/>
      </c>
      <c r="AA242" s="73" t="s">
        <v>28</v>
      </c>
      <c r="AB242" s="73" t="str">
        <f t="shared" si="6"/>
        <v>Trim 3</v>
      </c>
      <c r="AC242" s="73">
        <f t="shared" si="7"/>
        <v>0</v>
      </c>
      <c r="AD242" s="73">
        <f t="shared" si="8"/>
        <v>0</v>
      </c>
      <c r="AE242" s="73"/>
      <c r="AF242" s="73"/>
      <c r="AG242" s="73"/>
      <c r="AH242" s="73"/>
      <c r="AI242" s="73"/>
    </row>
    <row r="243" spans="1:35" ht="90">
      <c r="A243" s="94" t="s">
        <v>671</v>
      </c>
      <c r="B243" s="94">
        <v>14</v>
      </c>
      <c r="C243" s="97" t="s">
        <v>793</v>
      </c>
      <c r="D243" s="96">
        <v>0.06</v>
      </c>
      <c r="E243" s="108" t="s">
        <v>794</v>
      </c>
      <c r="F243" s="97" t="s">
        <v>795</v>
      </c>
      <c r="G243" s="98">
        <v>0.02</v>
      </c>
      <c r="H243" s="97" t="s">
        <v>776</v>
      </c>
      <c r="I243" s="94" t="s">
        <v>730</v>
      </c>
      <c r="J243" s="94" t="s">
        <v>747</v>
      </c>
      <c r="K243" s="94" t="s">
        <v>109</v>
      </c>
      <c r="L243" s="94" t="s">
        <v>40</v>
      </c>
      <c r="M243" s="94" t="s">
        <v>193</v>
      </c>
      <c r="N243" s="94" t="s">
        <v>64</v>
      </c>
      <c r="O243" s="94" t="s">
        <v>748</v>
      </c>
      <c r="P243" s="94" t="s">
        <v>100</v>
      </c>
      <c r="Q243" s="94" t="s">
        <v>719</v>
      </c>
      <c r="R243" s="94" t="s">
        <v>40</v>
      </c>
      <c r="S243" s="98">
        <f>20%*G243</f>
        <v>4.0000000000000001E-3</v>
      </c>
      <c r="T243" s="94" t="s">
        <v>45</v>
      </c>
      <c r="U243" s="94"/>
      <c r="V243" s="70"/>
      <c r="W243" s="73" t="str">
        <f t="shared" si="2"/>
        <v/>
      </c>
      <c r="X243" s="73" t="str">
        <f t="shared" si="3"/>
        <v>X</v>
      </c>
      <c r="Y243" s="73" t="str">
        <f t="shared" si="4"/>
        <v/>
      </c>
      <c r="Z243" s="73" t="str">
        <f t="shared" si="5"/>
        <v/>
      </c>
      <c r="AA243" s="73" t="s">
        <v>27</v>
      </c>
      <c r="AB243" s="73" t="str">
        <f t="shared" si="6"/>
        <v>Trim 2</v>
      </c>
      <c r="AC243" s="73">
        <f t="shared" si="7"/>
        <v>0</v>
      </c>
      <c r="AD243" s="73">
        <f t="shared" si="8"/>
        <v>0</v>
      </c>
      <c r="AE243" s="73"/>
      <c r="AF243" s="73"/>
      <c r="AG243" s="73"/>
      <c r="AH243" s="73"/>
      <c r="AI243" s="73"/>
    </row>
    <row r="244" spans="1:35" ht="90">
      <c r="A244" s="94" t="s">
        <v>671</v>
      </c>
      <c r="B244" s="94">
        <v>14</v>
      </c>
      <c r="C244" s="97" t="s">
        <v>793</v>
      </c>
      <c r="D244" s="96">
        <v>0.06</v>
      </c>
      <c r="E244" s="108" t="s">
        <v>796</v>
      </c>
      <c r="F244" s="97" t="s">
        <v>778</v>
      </c>
      <c r="G244" s="98">
        <v>0.04</v>
      </c>
      <c r="H244" s="97" t="s">
        <v>779</v>
      </c>
      <c r="I244" s="94" t="s">
        <v>780</v>
      </c>
      <c r="J244" s="94" t="s">
        <v>768</v>
      </c>
      <c r="K244" s="94" t="s">
        <v>117</v>
      </c>
      <c r="L244" s="94" t="s">
        <v>40</v>
      </c>
      <c r="M244" s="94" t="s">
        <v>193</v>
      </c>
      <c r="N244" s="94" t="s">
        <v>64</v>
      </c>
      <c r="O244" s="94" t="s">
        <v>748</v>
      </c>
      <c r="P244" s="94" t="s">
        <v>100</v>
      </c>
      <c r="Q244" s="94" t="s">
        <v>719</v>
      </c>
      <c r="R244" s="94" t="s">
        <v>40</v>
      </c>
      <c r="S244" s="98"/>
      <c r="T244" s="94"/>
      <c r="U244" s="94"/>
      <c r="V244" s="70"/>
      <c r="W244" s="73" t="str">
        <f t="shared" si="2"/>
        <v/>
      </c>
      <c r="X244" s="73" t="str">
        <f t="shared" si="3"/>
        <v/>
      </c>
      <c r="Y244" s="73" t="str">
        <f t="shared" si="4"/>
        <v/>
      </c>
      <c r="Z244" s="73" t="str">
        <f t="shared" si="5"/>
        <v>X</v>
      </c>
      <c r="AA244" s="73" t="s">
        <v>29</v>
      </c>
      <c r="AB244" s="73" t="str">
        <f t="shared" si="6"/>
        <v>Trim 4</v>
      </c>
      <c r="AC244" s="73">
        <f t="shared" si="7"/>
        <v>0</v>
      </c>
      <c r="AD244" s="73">
        <f t="shared" si="8"/>
        <v>0</v>
      </c>
      <c r="AE244" s="73"/>
      <c r="AF244" s="73"/>
      <c r="AG244" s="73"/>
      <c r="AH244" s="73"/>
      <c r="AI244" s="73"/>
    </row>
    <row r="245" spans="1:35" ht="45">
      <c r="A245" s="94" t="s">
        <v>797</v>
      </c>
      <c r="B245" s="100">
        <v>1</v>
      </c>
      <c r="C245" s="95" t="s">
        <v>798</v>
      </c>
      <c r="D245" s="96">
        <v>0.1</v>
      </c>
      <c r="E245" s="100" t="s">
        <v>34</v>
      </c>
      <c r="F245" s="95" t="s">
        <v>799</v>
      </c>
      <c r="G245" s="105">
        <v>0.05</v>
      </c>
      <c r="H245" s="104" t="s">
        <v>800</v>
      </c>
      <c r="I245" s="94" t="s">
        <v>801</v>
      </c>
      <c r="J245" s="100" t="s">
        <v>802</v>
      </c>
      <c r="K245" s="94" t="s">
        <v>133</v>
      </c>
      <c r="L245" s="100" t="s">
        <v>40</v>
      </c>
      <c r="M245" s="94" t="s">
        <v>40</v>
      </c>
      <c r="N245" s="94" t="s">
        <v>560</v>
      </c>
      <c r="O245" s="94" t="s">
        <v>561</v>
      </c>
      <c r="P245" s="94" t="s">
        <v>100</v>
      </c>
      <c r="Q245" s="94" t="s">
        <v>44</v>
      </c>
      <c r="R245" s="94" t="s">
        <v>40</v>
      </c>
      <c r="S245" s="98">
        <v>0</v>
      </c>
      <c r="T245" s="94" t="s">
        <v>45</v>
      </c>
      <c r="U245" s="94"/>
      <c r="V245" s="81"/>
      <c r="W245" s="73" t="str">
        <f t="shared" si="2"/>
        <v/>
      </c>
      <c r="X245" s="73" t="str">
        <f t="shared" si="3"/>
        <v/>
      </c>
      <c r="Y245" s="73" t="str">
        <f t="shared" si="4"/>
        <v>X</v>
      </c>
      <c r="Z245" s="73" t="str">
        <f t="shared" si="5"/>
        <v/>
      </c>
      <c r="AA245" s="73" t="s">
        <v>28</v>
      </c>
      <c r="AB245" s="73" t="str">
        <f t="shared" si="6"/>
        <v>Trim 3</v>
      </c>
      <c r="AC245" s="73">
        <f t="shared" si="7"/>
        <v>0</v>
      </c>
      <c r="AD245" s="73">
        <f t="shared" si="8"/>
        <v>0</v>
      </c>
      <c r="AE245" s="73"/>
      <c r="AF245" s="73"/>
      <c r="AG245" s="73"/>
      <c r="AH245" s="73"/>
      <c r="AI245" s="73"/>
    </row>
    <row r="246" spans="1:35" ht="45">
      <c r="A246" s="94" t="s">
        <v>797</v>
      </c>
      <c r="B246" s="100">
        <v>1</v>
      </c>
      <c r="C246" s="95" t="s">
        <v>798</v>
      </c>
      <c r="D246" s="96">
        <v>0.1</v>
      </c>
      <c r="E246" s="109">
        <v>44228</v>
      </c>
      <c r="F246" s="95" t="s">
        <v>803</v>
      </c>
      <c r="G246" s="98">
        <v>0.05</v>
      </c>
      <c r="H246" s="95" t="s">
        <v>800</v>
      </c>
      <c r="I246" s="95" t="s">
        <v>804</v>
      </c>
      <c r="J246" s="94" t="s">
        <v>802</v>
      </c>
      <c r="K246" s="94" t="s">
        <v>133</v>
      </c>
      <c r="L246" s="94" t="s">
        <v>40</v>
      </c>
      <c r="M246" s="94" t="s">
        <v>40</v>
      </c>
      <c r="N246" s="94" t="s">
        <v>41</v>
      </c>
      <c r="O246" s="94" t="s">
        <v>65</v>
      </c>
      <c r="P246" s="94" t="s">
        <v>100</v>
      </c>
      <c r="Q246" s="94" t="s">
        <v>44</v>
      </c>
      <c r="R246" s="94" t="s">
        <v>40</v>
      </c>
      <c r="S246" s="98">
        <v>0</v>
      </c>
      <c r="T246" s="94" t="s">
        <v>45</v>
      </c>
      <c r="U246" s="94"/>
      <c r="V246" s="82"/>
      <c r="W246" s="73" t="str">
        <f t="shared" si="2"/>
        <v/>
      </c>
      <c r="X246" s="73" t="str">
        <f t="shared" si="3"/>
        <v/>
      </c>
      <c r="Y246" s="73" t="str">
        <f t="shared" si="4"/>
        <v>X</v>
      </c>
      <c r="Z246" s="73" t="str">
        <f t="shared" si="5"/>
        <v/>
      </c>
      <c r="AA246" s="73" t="s">
        <v>28</v>
      </c>
      <c r="AB246" s="73" t="str">
        <f t="shared" si="6"/>
        <v>Trim 3</v>
      </c>
      <c r="AC246" s="73">
        <f t="shared" si="7"/>
        <v>0</v>
      </c>
      <c r="AD246" s="73">
        <f t="shared" si="8"/>
        <v>0</v>
      </c>
      <c r="AE246" s="73"/>
      <c r="AF246" s="73"/>
      <c r="AG246" s="73"/>
      <c r="AH246" s="73"/>
      <c r="AI246" s="73"/>
    </row>
    <row r="247" spans="1:35" ht="45">
      <c r="A247" s="94" t="s">
        <v>797</v>
      </c>
      <c r="B247" s="94">
        <v>2</v>
      </c>
      <c r="C247" s="95" t="s">
        <v>380</v>
      </c>
      <c r="D247" s="96">
        <v>0.1</v>
      </c>
      <c r="E247" s="94" t="s">
        <v>56</v>
      </c>
      <c r="F247" s="95" t="s">
        <v>381</v>
      </c>
      <c r="G247" s="98">
        <v>0.1</v>
      </c>
      <c r="H247" s="95" t="s">
        <v>805</v>
      </c>
      <c r="I247" s="95" t="s">
        <v>806</v>
      </c>
      <c r="J247" s="94" t="s">
        <v>807</v>
      </c>
      <c r="K247" s="94" t="s">
        <v>39</v>
      </c>
      <c r="L247" s="94" t="s">
        <v>40</v>
      </c>
      <c r="M247" s="94" t="s">
        <v>40</v>
      </c>
      <c r="N247" s="94" t="s">
        <v>181</v>
      </c>
      <c r="O247" s="94" t="s">
        <v>182</v>
      </c>
      <c r="P247" s="94" t="s">
        <v>100</v>
      </c>
      <c r="Q247" s="94" t="s">
        <v>101</v>
      </c>
      <c r="R247" s="94" t="s">
        <v>40</v>
      </c>
      <c r="S247" s="98">
        <v>0.05</v>
      </c>
      <c r="T247" s="94" t="s">
        <v>45</v>
      </c>
      <c r="U247" s="94" t="s">
        <v>808</v>
      </c>
      <c r="V247" s="82"/>
      <c r="W247" s="73" t="str">
        <f t="shared" si="2"/>
        <v/>
      </c>
      <c r="X247" s="73" t="str">
        <f t="shared" si="3"/>
        <v/>
      </c>
      <c r="Y247" s="73" t="str">
        <f t="shared" si="4"/>
        <v/>
      </c>
      <c r="Z247" s="73" t="str">
        <f t="shared" si="5"/>
        <v>X</v>
      </c>
      <c r="AA247" s="73" t="s">
        <v>29</v>
      </c>
      <c r="AB247" s="73" t="str">
        <f t="shared" si="6"/>
        <v>Trim 4</v>
      </c>
      <c r="AC247" s="73">
        <f t="shared" si="7"/>
        <v>0</v>
      </c>
      <c r="AD247" s="73">
        <f t="shared" si="8"/>
        <v>0</v>
      </c>
      <c r="AE247" s="73"/>
      <c r="AF247" s="73"/>
      <c r="AG247" s="73"/>
      <c r="AH247" s="73"/>
      <c r="AI247" s="73"/>
    </row>
    <row r="248" spans="1:35" ht="60">
      <c r="A248" s="94" t="s">
        <v>797</v>
      </c>
      <c r="B248" s="94">
        <v>3</v>
      </c>
      <c r="C248" s="95" t="s">
        <v>809</v>
      </c>
      <c r="D248" s="96">
        <v>0.6</v>
      </c>
      <c r="E248" s="94" t="s">
        <v>68</v>
      </c>
      <c r="F248" s="95" t="s">
        <v>810</v>
      </c>
      <c r="G248" s="98">
        <v>0.2</v>
      </c>
      <c r="H248" s="95" t="s">
        <v>811</v>
      </c>
      <c r="I248" s="95" t="s">
        <v>812</v>
      </c>
      <c r="J248" s="94" t="s">
        <v>813</v>
      </c>
      <c r="K248" s="94" t="s">
        <v>109</v>
      </c>
      <c r="L248" s="94" t="s">
        <v>40</v>
      </c>
      <c r="M248" s="94" t="s">
        <v>40</v>
      </c>
      <c r="N248" s="94" t="s">
        <v>64</v>
      </c>
      <c r="O248" s="94" t="s">
        <v>814</v>
      </c>
      <c r="P248" s="94" t="s">
        <v>100</v>
      </c>
      <c r="Q248" s="94" t="s">
        <v>815</v>
      </c>
      <c r="R248" s="94" t="s">
        <v>816</v>
      </c>
      <c r="S248" s="98">
        <v>0.16</v>
      </c>
      <c r="T248" s="94" t="s">
        <v>45</v>
      </c>
      <c r="U248" s="94" t="s">
        <v>817</v>
      </c>
      <c r="V248" s="82"/>
      <c r="W248" s="73" t="str">
        <f t="shared" si="2"/>
        <v/>
      </c>
      <c r="X248" s="73" t="str">
        <f t="shared" si="3"/>
        <v>X</v>
      </c>
      <c r="Y248" s="73" t="str">
        <f t="shared" si="4"/>
        <v/>
      </c>
      <c r="Z248" s="73" t="str">
        <f t="shared" si="5"/>
        <v/>
      </c>
      <c r="AA248" s="73" t="s">
        <v>26</v>
      </c>
      <c r="AB248" s="73" t="str">
        <f t="shared" si="6"/>
        <v>Trim 2</v>
      </c>
      <c r="AC248" s="73">
        <f t="shared" si="7"/>
        <v>0</v>
      </c>
      <c r="AD248" s="73">
        <f t="shared" si="8"/>
        <v>0</v>
      </c>
      <c r="AE248" s="73"/>
      <c r="AF248" s="73"/>
      <c r="AG248" s="73"/>
      <c r="AH248" s="73"/>
      <c r="AI248" s="73"/>
    </row>
    <row r="249" spans="1:35" ht="75">
      <c r="A249" s="94" t="s">
        <v>797</v>
      </c>
      <c r="B249" s="94">
        <v>3</v>
      </c>
      <c r="C249" s="95" t="s">
        <v>809</v>
      </c>
      <c r="D249" s="96">
        <v>0.6</v>
      </c>
      <c r="E249" s="94" t="s">
        <v>73</v>
      </c>
      <c r="F249" s="95" t="s">
        <v>818</v>
      </c>
      <c r="G249" s="98">
        <v>0.2</v>
      </c>
      <c r="H249" s="95" t="s">
        <v>819</v>
      </c>
      <c r="I249" s="95" t="s">
        <v>820</v>
      </c>
      <c r="J249" s="94" t="s">
        <v>821</v>
      </c>
      <c r="K249" s="94" t="s">
        <v>39</v>
      </c>
      <c r="L249" s="94" t="s">
        <v>40</v>
      </c>
      <c r="M249" s="94" t="s">
        <v>40</v>
      </c>
      <c r="N249" s="94" t="s">
        <v>64</v>
      </c>
      <c r="O249" s="94" t="s">
        <v>814</v>
      </c>
      <c r="P249" s="94" t="s">
        <v>100</v>
      </c>
      <c r="Q249" s="94" t="s">
        <v>815</v>
      </c>
      <c r="R249" s="94" t="s">
        <v>816</v>
      </c>
      <c r="S249" s="98">
        <v>0.03</v>
      </c>
      <c r="T249" s="94" t="s">
        <v>45</v>
      </c>
      <c r="U249" s="94" t="s">
        <v>822</v>
      </c>
      <c r="V249" s="82"/>
      <c r="W249" s="73" t="str">
        <f t="shared" si="2"/>
        <v/>
      </c>
      <c r="X249" s="73" t="str">
        <f t="shared" si="3"/>
        <v/>
      </c>
      <c r="Y249" s="73" t="str">
        <f t="shared" si="4"/>
        <v/>
      </c>
      <c r="Z249" s="73" t="str">
        <f t="shared" si="5"/>
        <v>X</v>
      </c>
      <c r="AA249" s="73" t="s">
        <v>27</v>
      </c>
      <c r="AB249" s="73" t="str">
        <f t="shared" si="6"/>
        <v>Trim 4</v>
      </c>
      <c r="AC249" s="73">
        <f t="shared" si="7"/>
        <v>0</v>
      </c>
      <c r="AD249" s="73">
        <f t="shared" si="8"/>
        <v>0</v>
      </c>
      <c r="AE249" s="73"/>
      <c r="AF249" s="73"/>
      <c r="AG249" s="73"/>
      <c r="AH249" s="73"/>
      <c r="AI249" s="73"/>
    </row>
    <row r="250" spans="1:35" ht="75">
      <c r="A250" s="94" t="s">
        <v>797</v>
      </c>
      <c r="B250" s="94">
        <v>3</v>
      </c>
      <c r="C250" s="95" t="s">
        <v>809</v>
      </c>
      <c r="D250" s="96">
        <v>0.6</v>
      </c>
      <c r="E250" s="94" t="s">
        <v>75</v>
      </c>
      <c r="F250" s="95" t="s">
        <v>823</v>
      </c>
      <c r="G250" s="98">
        <v>0.2</v>
      </c>
      <c r="H250" s="95" t="s">
        <v>824</v>
      </c>
      <c r="I250" s="95" t="s">
        <v>825</v>
      </c>
      <c r="J250" s="94" t="s">
        <v>821</v>
      </c>
      <c r="K250" s="94" t="s">
        <v>39</v>
      </c>
      <c r="L250" s="94" t="s">
        <v>40</v>
      </c>
      <c r="M250" s="94" t="s">
        <v>40</v>
      </c>
      <c r="N250" s="94" t="s">
        <v>64</v>
      </c>
      <c r="O250" s="94" t="s">
        <v>814</v>
      </c>
      <c r="P250" s="94" t="s">
        <v>100</v>
      </c>
      <c r="Q250" s="94" t="s">
        <v>815</v>
      </c>
      <c r="R250" s="94" t="s">
        <v>816</v>
      </c>
      <c r="S250" s="98">
        <v>0.06</v>
      </c>
      <c r="T250" s="94" t="s">
        <v>45</v>
      </c>
      <c r="U250" s="94" t="s">
        <v>826</v>
      </c>
      <c r="V250" s="82"/>
      <c r="W250" s="73" t="str">
        <f t="shared" si="2"/>
        <v/>
      </c>
      <c r="X250" s="73" t="str">
        <f t="shared" si="3"/>
        <v/>
      </c>
      <c r="Y250" s="73" t="str">
        <f t="shared" si="4"/>
        <v/>
      </c>
      <c r="Z250" s="73" t="str">
        <f t="shared" si="5"/>
        <v>X</v>
      </c>
      <c r="AA250" s="73" t="s">
        <v>27</v>
      </c>
      <c r="AB250" s="73" t="str">
        <f t="shared" si="6"/>
        <v>Trim 4</v>
      </c>
      <c r="AC250" s="73">
        <f t="shared" si="7"/>
        <v>0</v>
      </c>
      <c r="AD250" s="73">
        <f t="shared" si="8"/>
        <v>0</v>
      </c>
      <c r="AE250" s="73"/>
      <c r="AF250" s="73"/>
      <c r="AG250" s="73"/>
      <c r="AH250" s="73"/>
      <c r="AI250" s="73"/>
    </row>
    <row r="251" spans="1:35" ht="60">
      <c r="A251" s="94" t="s">
        <v>797</v>
      </c>
      <c r="B251" s="94">
        <v>4</v>
      </c>
      <c r="C251" s="95" t="s">
        <v>827</v>
      </c>
      <c r="D251" s="96">
        <v>0.2</v>
      </c>
      <c r="E251" s="94" t="s">
        <v>79</v>
      </c>
      <c r="F251" s="95" t="s">
        <v>828</v>
      </c>
      <c r="G251" s="98">
        <v>0.1</v>
      </c>
      <c r="H251" s="95" t="s">
        <v>829</v>
      </c>
      <c r="I251" s="95" t="s">
        <v>830</v>
      </c>
      <c r="J251" s="94" t="s">
        <v>831</v>
      </c>
      <c r="K251" s="94" t="s">
        <v>39</v>
      </c>
      <c r="L251" s="94" t="s">
        <v>40</v>
      </c>
      <c r="M251" s="94" t="s">
        <v>40</v>
      </c>
      <c r="N251" s="94" t="s">
        <v>64</v>
      </c>
      <c r="O251" s="94" t="s">
        <v>65</v>
      </c>
      <c r="P251" s="94" t="s">
        <v>100</v>
      </c>
      <c r="Q251" s="94" t="s">
        <v>832</v>
      </c>
      <c r="R251" s="94" t="s">
        <v>224</v>
      </c>
      <c r="S251" s="98">
        <v>0.02</v>
      </c>
      <c r="T251" s="94" t="s">
        <v>45</v>
      </c>
      <c r="U251" s="94" t="s">
        <v>833</v>
      </c>
      <c r="V251" s="82"/>
      <c r="W251" s="73" t="str">
        <f t="shared" si="2"/>
        <v/>
      </c>
      <c r="X251" s="73" t="str">
        <f t="shared" si="3"/>
        <v/>
      </c>
      <c r="Y251" s="73" t="str">
        <f t="shared" si="4"/>
        <v/>
      </c>
      <c r="Z251" s="73" t="str">
        <f t="shared" si="5"/>
        <v>X</v>
      </c>
      <c r="AA251" s="73" t="s">
        <v>29</v>
      </c>
      <c r="AB251" s="73" t="str">
        <f t="shared" si="6"/>
        <v>Trim 4</v>
      </c>
      <c r="AC251" s="73">
        <f t="shared" si="7"/>
        <v>0</v>
      </c>
      <c r="AD251" s="73">
        <f t="shared" si="8"/>
        <v>0</v>
      </c>
      <c r="AE251" s="73"/>
      <c r="AF251" s="73"/>
      <c r="AG251" s="73"/>
      <c r="AH251" s="73"/>
      <c r="AI251" s="73"/>
    </row>
    <row r="252" spans="1:35" ht="75">
      <c r="A252" s="94" t="s">
        <v>797</v>
      </c>
      <c r="B252" s="94">
        <v>4</v>
      </c>
      <c r="C252" s="95" t="s">
        <v>827</v>
      </c>
      <c r="D252" s="96">
        <v>0.2</v>
      </c>
      <c r="E252" s="94" t="s">
        <v>83</v>
      </c>
      <c r="F252" s="95" t="s">
        <v>834</v>
      </c>
      <c r="G252" s="98">
        <v>0.1</v>
      </c>
      <c r="H252" s="95" t="s">
        <v>835</v>
      </c>
      <c r="I252" s="95" t="s">
        <v>836</v>
      </c>
      <c r="J252" s="94" t="s">
        <v>837</v>
      </c>
      <c r="K252" s="94" t="s">
        <v>113</v>
      </c>
      <c r="L252" s="94" t="s">
        <v>40</v>
      </c>
      <c r="M252" s="94" t="s">
        <v>40</v>
      </c>
      <c r="N252" s="94" t="s">
        <v>64</v>
      </c>
      <c r="O252" s="94" t="s">
        <v>223</v>
      </c>
      <c r="P252" s="94" t="s">
        <v>100</v>
      </c>
      <c r="Q252" s="94" t="s">
        <v>832</v>
      </c>
      <c r="R252" s="94" t="s">
        <v>224</v>
      </c>
      <c r="S252" s="98">
        <v>0.03</v>
      </c>
      <c r="T252" s="94" t="s">
        <v>45</v>
      </c>
      <c r="U252" s="94" t="s">
        <v>838</v>
      </c>
      <c r="V252" s="82"/>
      <c r="W252" s="73" t="str">
        <f t="shared" si="2"/>
        <v/>
      </c>
      <c r="X252" s="73" t="str">
        <f t="shared" si="3"/>
        <v/>
      </c>
      <c r="Y252" s="73" t="str">
        <f t="shared" si="4"/>
        <v>X</v>
      </c>
      <c r="Z252" s="73" t="str">
        <f t="shared" si="5"/>
        <v/>
      </c>
      <c r="AA252" s="73" t="s">
        <v>29</v>
      </c>
      <c r="AB252" s="73" t="str">
        <f t="shared" si="6"/>
        <v>Trim 3</v>
      </c>
      <c r="AC252" s="73">
        <f t="shared" si="7"/>
        <v>0</v>
      </c>
      <c r="AD252" s="73">
        <f t="shared" si="8"/>
        <v>0</v>
      </c>
      <c r="AE252" s="73"/>
      <c r="AF252" s="73"/>
      <c r="AG252" s="73"/>
      <c r="AH252" s="73"/>
      <c r="AI252" s="73"/>
    </row>
    <row r="253" spans="1:35" ht="105">
      <c r="A253" s="94" t="s">
        <v>839</v>
      </c>
      <c r="B253" s="94">
        <v>1</v>
      </c>
      <c r="C253" s="106" t="s">
        <v>840</v>
      </c>
      <c r="D253" s="96">
        <v>0.1</v>
      </c>
      <c r="E253" s="94" t="s">
        <v>34</v>
      </c>
      <c r="F253" s="106" t="s">
        <v>841</v>
      </c>
      <c r="G253" s="98">
        <v>2.5000000000000001E-2</v>
      </c>
      <c r="H253" s="95" t="s">
        <v>842</v>
      </c>
      <c r="I253" s="94" t="s">
        <v>843</v>
      </c>
      <c r="J253" s="94" t="s">
        <v>844</v>
      </c>
      <c r="K253" s="94" t="s">
        <v>128</v>
      </c>
      <c r="L253" s="94" t="s">
        <v>172</v>
      </c>
      <c r="M253" s="94" t="s">
        <v>845</v>
      </c>
      <c r="N253" s="94" t="s">
        <v>41</v>
      </c>
      <c r="O253" s="94" t="s">
        <v>42</v>
      </c>
      <c r="P253" s="94" t="s">
        <v>495</v>
      </c>
      <c r="Q253" s="94" t="s">
        <v>846</v>
      </c>
      <c r="R253" s="94" t="s">
        <v>40</v>
      </c>
      <c r="S253" s="98"/>
      <c r="T253" s="94"/>
      <c r="U253" s="94"/>
      <c r="V253" s="81"/>
      <c r="W253" s="73" t="str">
        <f t="shared" si="2"/>
        <v/>
      </c>
      <c r="X253" s="73" t="str">
        <f t="shared" si="3"/>
        <v>X</v>
      </c>
      <c r="Y253" s="73" t="str">
        <f t="shared" si="4"/>
        <v/>
      </c>
      <c r="Z253" s="73" t="str">
        <f t="shared" si="5"/>
        <v/>
      </c>
      <c r="AA253" s="73" t="s">
        <v>27</v>
      </c>
      <c r="AB253" s="73" t="str">
        <f t="shared" si="6"/>
        <v>Trim 2</v>
      </c>
      <c r="AC253" s="73">
        <f t="shared" si="7"/>
        <v>0</v>
      </c>
      <c r="AD253" s="73">
        <f t="shared" si="8"/>
        <v>0</v>
      </c>
      <c r="AE253" s="73"/>
      <c r="AF253" s="73"/>
      <c r="AG253" s="73"/>
      <c r="AH253" s="73"/>
      <c r="AI253" s="73"/>
    </row>
    <row r="254" spans="1:35" ht="105">
      <c r="A254" s="94" t="s">
        <v>839</v>
      </c>
      <c r="B254" s="94">
        <v>1</v>
      </c>
      <c r="C254" s="106" t="s">
        <v>840</v>
      </c>
      <c r="D254" s="96">
        <v>0.1</v>
      </c>
      <c r="E254" s="94" t="s">
        <v>47</v>
      </c>
      <c r="F254" s="106" t="s">
        <v>847</v>
      </c>
      <c r="G254" s="98">
        <v>2.5000000000000001E-2</v>
      </c>
      <c r="H254" s="95" t="s">
        <v>848</v>
      </c>
      <c r="I254" s="94" t="s">
        <v>843</v>
      </c>
      <c r="J254" s="94" t="s">
        <v>844</v>
      </c>
      <c r="K254" s="94" t="s">
        <v>128</v>
      </c>
      <c r="L254" s="94" t="s">
        <v>172</v>
      </c>
      <c r="M254" s="94" t="s">
        <v>845</v>
      </c>
      <c r="N254" s="94" t="s">
        <v>41</v>
      </c>
      <c r="O254" s="94" t="s">
        <v>42</v>
      </c>
      <c r="P254" s="94" t="s">
        <v>495</v>
      </c>
      <c r="Q254" s="94" t="s">
        <v>846</v>
      </c>
      <c r="R254" s="94" t="s">
        <v>40</v>
      </c>
      <c r="S254" s="98"/>
      <c r="T254" s="94"/>
      <c r="U254" s="94"/>
      <c r="V254" s="81"/>
      <c r="W254" s="73" t="str">
        <f t="shared" si="2"/>
        <v/>
      </c>
      <c r="X254" s="73" t="str">
        <f t="shared" si="3"/>
        <v>X</v>
      </c>
      <c r="Y254" s="73" t="str">
        <f t="shared" si="4"/>
        <v/>
      </c>
      <c r="Z254" s="73" t="str">
        <f t="shared" si="5"/>
        <v/>
      </c>
      <c r="AA254" s="73" t="s">
        <v>27</v>
      </c>
      <c r="AB254" s="73" t="str">
        <f t="shared" si="6"/>
        <v>Trim 2</v>
      </c>
      <c r="AC254" s="73">
        <f t="shared" si="7"/>
        <v>0</v>
      </c>
      <c r="AD254" s="73">
        <f t="shared" si="8"/>
        <v>0</v>
      </c>
      <c r="AE254" s="73"/>
      <c r="AF254" s="73"/>
      <c r="AG254" s="73"/>
      <c r="AH254" s="73"/>
      <c r="AI254" s="73"/>
    </row>
    <row r="255" spans="1:35" ht="105">
      <c r="A255" s="94" t="s">
        <v>839</v>
      </c>
      <c r="B255" s="94">
        <v>1</v>
      </c>
      <c r="C255" s="106" t="s">
        <v>840</v>
      </c>
      <c r="D255" s="96">
        <v>0.1</v>
      </c>
      <c r="E255" s="94" t="s">
        <v>49</v>
      </c>
      <c r="F255" s="106" t="s">
        <v>849</v>
      </c>
      <c r="G255" s="98">
        <v>2.5000000000000001E-2</v>
      </c>
      <c r="H255" s="95" t="s">
        <v>850</v>
      </c>
      <c r="I255" s="94" t="s">
        <v>843</v>
      </c>
      <c r="J255" s="94" t="s">
        <v>844</v>
      </c>
      <c r="K255" s="94" t="s">
        <v>111</v>
      </c>
      <c r="L255" s="94" t="s">
        <v>172</v>
      </c>
      <c r="M255" s="94" t="s">
        <v>845</v>
      </c>
      <c r="N255" s="94" t="s">
        <v>41</v>
      </c>
      <c r="O255" s="94" t="s">
        <v>42</v>
      </c>
      <c r="P255" s="94" t="s">
        <v>495</v>
      </c>
      <c r="Q255" s="94" t="s">
        <v>846</v>
      </c>
      <c r="R255" s="94" t="s">
        <v>40</v>
      </c>
      <c r="S255" s="98"/>
      <c r="T255" s="94"/>
      <c r="U255" s="94"/>
      <c r="V255" s="81"/>
      <c r="W255" s="73" t="str">
        <f t="shared" si="2"/>
        <v/>
      </c>
      <c r="X255" s="73" t="str">
        <f t="shared" si="3"/>
        <v>X</v>
      </c>
      <c r="Y255" s="73" t="str">
        <f t="shared" si="4"/>
        <v/>
      </c>
      <c r="Z255" s="73" t="str">
        <f t="shared" si="5"/>
        <v/>
      </c>
      <c r="AA255" s="73" t="s">
        <v>27</v>
      </c>
      <c r="AB255" s="73" t="str">
        <f t="shared" si="6"/>
        <v>Trim 2</v>
      </c>
      <c r="AC255" s="73">
        <f t="shared" si="7"/>
        <v>0</v>
      </c>
      <c r="AD255" s="73">
        <f t="shared" si="8"/>
        <v>0</v>
      </c>
      <c r="AE255" s="73"/>
      <c r="AF255" s="73"/>
      <c r="AG255" s="73"/>
      <c r="AH255" s="73"/>
      <c r="AI255" s="73"/>
    </row>
    <row r="256" spans="1:35" ht="105">
      <c r="A256" s="94" t="s">
        <v>839</v>
      </c>
      <c r="B256" s="94">
        <v>1</v>
      </c>
      <c r="C256" s="106" t="s">
        <v>840</v>
      </c>
      <c r="D256" s="96">
        <v>0.1</v>
      </c>
      <c r="E256" s="94" t="s">
        <v>52</v>
      </c>
      <c r="F256" s="106" t="s">
        <v>851</v>
      </c>
      <c r="G256" s="98">
        <v>2.5000000000000001E-2</v>
      </c>
      <c r="H256" s="95" t="s">
        <v>852</v>
      </c>
      <c r="I256" s="94" t="s">
        <v>843</v>
      </c>
      <c r="J256" s="94" t="s">
        <v>844</v>
      </c>
      <c r="K256" s="94" t="s">
        <v>113</v>
      </c>
      <c r="L256" s="94" t="s">
        <v>172</v>
      </c>
      <c r="M256" s="94" t="s">
        <v>845</v>
      </c>
      <c r="N256" s="94" t="s">
        <v>41</v>
      </c>
      <c r="O256" s="94" t="s">
        <v>42</v>
      </c>
      <c r="P256" s="94" t="s">
        <v>495</v>
      </c>
      <c r="Q256" s="94" t="s">
        <v>846</v>
      </c>
      <c r="R256" s="94" t="s">
        <v>40</v>
      </c>
      <c r="S256" s="98"/>
      <c r="T256" s="94"/>
      <c r="U256" s="94"/>
      <c r="V256" s="81"/>
      <c r="W256" s="73" t="str">
        <f t="shared" si="2"/>
        <v/>
      </c>
      <c r="X256" s="73" t="str">
        <f t="shared" si="3"/>
        <v/>
      </c>
      <c r="Y256" s="73" t="str">
        <f t="shared" si="4"/>
        <v>X</v>
      </c>
      <c r="Z256" s="73" t="str">
        <f t="shared" si="5"/>
        <v/>
      </c>
      <c r="AA256" s="73" t="s">
        <v>28</v>
      </c>
      <c r="AB256" s="73" t="str">
        <f t="shared" si="6"/>
        <v>Trim 3</v>
      </c>
      <c r="AC256" s="73">
        <f t="shared" si="7"/>
        <v>0</v>
      </c>
      <c r="AD256" s="73">
        <f t="shared" si="8"/>
        <v>0</v>
      </c>
      <c r="AE256" s="73"/>
      <c r="AF256" s="73"/>
      <c r="AG256" s="73"/>
      <c r="AH256" s="73"/>
      <c r="AI256" s="73"/>
    </row>
    <row r="257" spans="1:35" ht="105">
      <c r="A257" s="94" t="s">
        <v>839</v>
      </c>
      <c r="B257" s="94">
        <v>2</v>
      </c>
      <c r="C257" s="94" t="s">
        <v>853</v>
      </c>
      <c r="D257" s="96">
        <v>0.2</v>
      </c>
      <c r="E257" s="94" t="s">
        <v>56</v>
      </c>
      <c r="F257" s="95" t="s">
        <v>854</v>
      </c>
      <c r="G257" s="98">
        <v>3.3000000000000002E-2</v>
      </c>
      <c r="H257" s="95" t="s">
        <v>855</v>
      </c>
      <c r="I257" s="94" t="s">
        <v>843</v>
      </c>
      <c r="J257" s="94" t="s">
        <v>856</v>
      </c>
      <c r="K257" s="94" t="s">
        <v>128</v>
      </c>
      <c r="L257" s="94" t="s">
        <v>493</v>
      </c>
      <c r="M257" s="94" t="s">
        <v>845</v>
      </c>
      <c r="N257" s="94" t="s">
        <v>41</v>
      </c>
      <c r="O257" s="94" t="s">
        <v>42</v>
      </c>
      <c r="P257" s="94" t="s">
        <v>429</v>
      </c>
      <c r="Q257" s="94" t="s">
        <v>846</v>
      </c>
      <c r="R257" s="94" t="s">
        <v>40</v>
      </c>
      <c r="S257" s="98"/>
      <c r="T257" s="94"/>
      <c r="U257" s="94"/>
      <c r="V257" s="81"/>
      <c r="W257" s="73" t="str">
        <f t="shared" si="2"/>
        <v/>
      </c>
      <c r="X257" s="73" t="str">
        <f t="shared" si="3"/>
        <v>X</v>
      </c>
      <c r="Y257" s="73" t="str">
        <f t="shared" si="4"/>
        <v/>
      </c>
      <c r="Z257" s="73" t="str">
        <f t="shared" si="5"/>
        <v/>
      </c>
      <c r="AA257" s="73" t="s">
        <v>27</v>
      </c>
      <c r="AB257" s="73" t="str">
        <f t="shared" si="6"/>
        <v>Trim 2</v>
      </c>
      <c r="AC257" s="73">
        <f t="shared" si="7"/>
        <v>0</v>
      </c>
      <c r="AD257" s="73">
        <f t="shared" si="8"/>
        <v>0</v>
      </c>
      <c r="AE257" s="73"/>
      <c r="AF257" s="73"/>
      <c r="AG257" s="73"/>
      <c r="AH257" s="73"/>
      <c r="AI257" s="73"/>
    </row>
    <row r="258" spans="1:35" ht="105">
      <c r="A258" s="94" t="s">
        <v>839</v>
      </c>
      <c r="B258" s="94">
        <v>2</v>
      </c>
      <c r="C258" s="94" t="s">
        <v>853</v>
      </c>
      <c r="D258" s="96">
        <v>0.2</v>
      </c>
      <c r="E258" s="94" t="s">
        <v>60</v>
      </c>
      <c r="F258" s="95" t="s">
        <v>857</v>
      </c>
      <c r="G258" s="98">
        <v>3.3000000000000002E-2</v>
      </c>
      <c r="H258" s="95" t="s">
        <v>858</v>
      </c>
      <c r="I258" s="94" t="s">
        <v>843</v>
      </c>
      <c r="J258" s="94" t="s">
        <v>856</v>
      </c>
      <c r="K258" s="94" t="s">
        <v>39</v>
      </c>
      <c r="L258" s="94" t="s">
        <v>493</v>
      </c>
      <c r="M258" s="94" t="s">
        <v>845</v>
      </c>
      <c r="N258" s="94" t="s">
        <v>41</v>
      </c>
      <c r="O258" s="94" t="s">
        <v>42</v>
      </c>
      <c r="P258" s="94" t="s">
        <v>429</v>
      </c>
      <c r="Q258" s="94" t="s">
        <v>846</v>
      </c>
      <c r="R258" s="94" t="s">
        <v>40</v>
      </c>
      <c r="S258" s="98"/>
      <c r="T258" s="94"/>
      <c r="U258" s="94"/>
      <c r="V258" s="81"/>
      <c r="W258" s="73" t="str">
        <f t="shared" si="2"/>
        <v/>
      </c>
      <c r="X258" s="73" t="str">
        <f t="shared" si="3"/>
        <v/>
      </c>
      <c r="Y258" s="73" t="str">
        <f t="shared" si="4"/>
        <v/>
      </c>
      <c r="Z258" s="73" t="str">
        <f t="shared" si="5"/>
        <v>X</v>
      </c>
      <c r="AA258" s="73" t="s">
        <v>29</v>
      </c>
      <c r="AB258" s="73" t="str">
        <f t="shared" si="6"/>
        <v>Trim 4</v>
      </c>
      <c r="AC258" s="73">
        <f t="shared" si="7"/>
        <v>0</v>
      </c>
      <c r="AD258" s="73">
        <f t="shared" si="8"/>
        <v>0</v>
      </c>
      <c r="AE258" s="73"/>
      <c r="AF258" s="73"/>
      <c r="AG258" s="73"/>
      <c r="AH258" s="73"/>
      <c r="AI258" s="73"/>
    </row>
    <row r="259" spans="1:35" ht="105">
      <c r="A259" s="94" t="s">
        <v>839</v>
      </c>
      <c r="B259" s="94">
        <v>2</v>
      </c>
      <c r="C259" s="94" t="s">
        <v>853</v>
      </c>
      <c r="D259" s="96">
        <v>0.2</v>
      </c>
      <c r="E259" s="94" t="s">
        <v>63</v>
      </c>
      <c r="F259" s="95" t="s">
        <v>859</v>
      </c>
      <c r="G259" s="98">
        <v>3.3000000000000002E-2</v>
      </c>
      <c r="H259" s="95" t="s">
        <v>858</v>
      </c>
      <c r="I259" s="94" t="s">
        <v>843</v>
      </c>
      <c r="J259" s="94" t="s">
        <v>860</v>
      </c>
      <c r="K259" s="94" t="s">
        <v>113</v>
      </c>
      <c r="L259" s="94" t="s">
        <v>493</v>
      </c>
      <c r="M259" s="94" t="s">
        <v>845</v>
      </c>
      <c r="N259" s="94" t="s">
        <v>41</v>
      </c>
      <c r="O259" s="94" t="s">
        <v>42</v>
      </c>
      <c r="P259" s="94" t="s">
        <v>429</v>
      </c>
      <c r="Q259" s="94" t="s">
        <v>846</v>
      </c>
      <c r="R259" s="94" t="s">
        <v>40</v>
      </c>
      <c r="S259" s="98"/>
      <c r="T259" s="94"/>
      <c r="U259" s="94"/>
      <c r="V259" s="81"/>
      <c r="W259" s="73" t="str">
        <f t="shared" si="2"/>
        <v/>
      </c>
      <c r="X259" s="73" t="str">
        <f t="shared" si="3"/>
        <v/>
      </c>
      <c r="Y259" s="73" t="str">
        <f t="shared" si="4"/>
        <v>X</v>
      </c>
      <c r="Z259" s="73" t="str">
        <f t="shared" si="5"/>
        <v/>
      </c>
      <c r="AA259" s="73" t="s">
        <v>28</v>
      </c>
      <c r="AB259" s="73" t="str">
        <f t="shared" si="6"/>
        <v>Trim 3</v>
      </c>
      <c r="AC259" s="73">
        <f t="shared" si="7"/>
        <v>0</v>
      </c>
      <c r="AD259" s="73">
        <f t="shared" si="8"/>
        <v>0</v>
      </c>
      <c r="AE259" s="73"/>
      <c r="AF259" s="73"/>
      <c r="AG259" s="73"/>
      <c r="AH259" s="73"/>
      <c r="AI259" s="73"/>
    </row>
    <row r="260" spans="1:35" ht="105">
      <c r="A260" s="94" t="s">
        <v>839</v>
      </c>
      <c r="B260" s="94">
        <v>2</v>
      </c>
      <c r="C260" s="94" t="s">
        <v>853</v>
      </c>
      <c r="D260" s="96">
        <v>0.2</v>
      </c>
      <c r="E260" s="94" t="s">
        <v>110</v>
      </c>
      <c r="F260" s="95" t="s">
        <v>861</v>
      </c>
      <c r="G260" s="98">
        <v>3.3000000000000002E-2</v>
      </c>
      <c r="H260" s="95" t="s">
        <v>862</v>
      </c>
      <c r="I260" s="94" t="s">
        <v>843</v>
      </c>
      <c r="J260" s="94" t="s">
        <v>856</v>
      </c>
      <c r="K260" s="94" t="s">
        <v>39</v>
      </c>
      <c r="L260" s="94" t="s">
        <v>493</v>
      </c>
      <c r="M260" s="94" t="s">
        <v>845</v>
      </c>
      <c r="N260" s="94" t="s">
        <v>41</v>
      </c>
      <c r="O260" s="94" t="s">
        <v>42</v>
      </c>
      <c r="P260" s="94" t="s">
        <v>429</v>
      </c>
      <c r="Q260" s="94" t="s">
        <v>846</v>
      </c>
      <c r="R260" s="94" t="s">
        <v>40</v>
      </c>
      <c r="S260" s="98"/>
      <c r="T260" s="94"/>
      <c r="U260" s="94"/>
      <c r="V260" s="81"/>
      <c r="W260" s="73" t="str">
        <f t="shared" si="2"/>
        <v/>
      </c>
      <c r="X260" s="73" t="str">
        <f t="shared" si="3"/>
        <v/>
      </c>
      <c r="Y260" s="73" t="str">
        <f t="shared" si="4"/>
        <v/>
      </c>
      <c r="Z260" s="73" t="str">
        <f t="shared" si="5"/>
        <v>X</v>
      </c>
      <c r="AA260" s="73" t="s">
        <v>29</v>
      </c>
      <c r="AB260" s="73" t="str">
        <f t="shared" si="6"/>
        <v>Trim 4</v>
      </c>
      <c r="AC260" s="73">
        <f t="shared" si="7"/>
        <v>0</v>
      </c>
      <c r="AD260" s="73">
        <f t="shared" si="8"/>
        <v>0</v>
      </c>
      <c r="AE260" s="73"/>
      <c r="AF260" s="73"/>
      <c r="AG260" s="73"/>
      <c r="AH260" s="73"/>
      <c r="AI260" s="73"/>
    </row>
    <row r="261" spans="1:35" ht="105">
      <c r="A261" s="94" t="s">
        <v>839</v>
      </c>
      <c r="B261" s="94">
        <v>2</v>
      </c>
      <c r="C261" s="94" t="s">
        <v>853</v>
      </c>
      <c r="D261" s="96">
        <v>0.2</v>
      </c>
      <c r="E261" s="94" t="s">
        <v>112</v>
      </c>
      <c r="F261" s="95" t="s">
        <v>863</v>
      </c>
      <c r="G261" s="98">
        <v>3.3000000000000002E-2</v>
      </c>
      <c r="H261" s="95" t="s">
        <v>864</v>
      </c>
      <c r="I261" s="94" t="s">
        <v>843</v>
      </c>
      <c r="J261" s="94" t="s">
        <v>856</v>
      </c>
      <c r="K261" s="94" t="s">
        <v>128</v>
      </c>
      <c r="L261" s="94" t="s">
        <v>493</v>
      </c>
      <c r="M261" s="94" t="s">
        <v>845</v>
      </c>
      <c r="N261" s="94" t="s">
        <v>41</v>
      </c>
      <c r="O261" s="94" t="s">
        <v>42</v>
      </c>
      <c r="P261" s="94" t="s">
        <v>429</v>
      </c>
      <c r="Q261" s="94" t="s">
        <v>846</v>
      </c>
      <c r="R261" s="94" t="s">
        <v>40</v>
      </c>
      <c r="S261" s="98"/>
      <c r="T261" s="94"/>
      <c r="U261" s="94"/>
      <c r="V261" s="81"/>
      <c r="W261" s="73" t="str">
        <f t="shared" si="2"/>
        <v/>
      </c>
      <c r="X261" s="73" t="str">
        <f t="shared" si="3"/>
        <v>X</v>
      </c>
      <c r="Y261" s="73" t="str">
        <f t="shared" si="4"/>
        <v/>
      </c>
      <c r="Z261" s="73" t="str">
        <f t="shared" si="5"/>
        <v/>
      </c>
      <c r="AA261" s="73" t="s">
        <v>27</v>
      </c>
      <c r="AB261" s="73" t="str">
        <f t="shared" si="6"/>
        <v>Trim 2</v>
      </c>
      <c r="AC261" s="73">
        <f t="shared" si="7"/>
        <v>0</v>
      </c>
      <c r="AD261" s="73">
        <f t="shared" si="8"/>
        <v>0</v>
      </c>
      <c r="AE261" s="73"/>
      <c r="AF261" s="73"/>
      <c r="AG261" s="73"/>
      <c r="AH261" s="73"/>
      <c r="AI261" s="73"/>
    </row>
    <row r="262" spans="1:35" ht="105">
      <c r="A262" s="94" t="s">
        <v>839</v>
      </c>
      <c r="B262" s="94">
        <v>2</v>
      </c>
      <c r="C262" s="94" t="s">
        <v>853</v>
      </c>
      <c r="D262" s="96">
        <v>0.2</v>
      </c>
      <c r="E262" s="94" t="s">
        <v>114</v>
      </c>
      <c r="F262" s="95" t="s">
        <v>865</v>
      </c>
      <c r="G262" s="98">
        <v>3.3000000000000002E-2</v>
      </c>
      <c r="H262" s="95" t="s">
        <v>866</v>
      </c>
      <c r="I262" s="94" t="s">
        <v>843</v>
      </c>
      <c r="J262" s="94" t="s">
        <v>860</v>
      </c>
      <c r="K262" s="94" t="s">
        <v>39</v>
      </c>
      <c r="L262" s="94" t="s">
        <v>493</v>
      </c>
      <c r="M262" s="94" t="s">
        <v>845</v>
      </c>
      <c r="N262" s="94" t="s">
        <v>41</v>
      </c>
      <c r="O262" s="94" t="s">
        <v>42</v>
      </c>
      <c r="P262" s="94" t="s">
        <v>429</v>
      </c>
      <c r="Q262" s="94" t="s">
        <v>846</v>
      </c>
      <c r="R262" s="94" t="s">
        <v>40</v>
      </c>
      <c r="S262" s="98"/>
      <c r="T262" s="94"/>
      <c r="U262" s="94"/>
      <c r="V262" s="81"/>
      <c r="W262" s="73" t="str">
        <f t="shared" si="2"/>
        <v/>
      </c>
      <c r="X262" s="73" t="str">
        <f t="shared" si="3"/>
        <v/>
      </c>
      <c r="Y262" s="73" t="str">
        <f t="shared" si="4"/>
        <v/>
      </c>
      <c r="Z262" s="73" t="str">
        <f t="shared" si="5"/>
        <v>X</v>
      </c>
      <c r="AA262" s="73" t="s">
        <v>29</v>
      </c>
      <c r="AB262" s="73" t="str">
        <f t="shared" si="6"/>
        <v>Trim 4</v>
      </c>
      <c r="AC262" s="73">
        <f t="shared" si="7"/>
        <v>0</v>
      </c>
      <c r="AD262" s="73">
        <f t="shared" si="8"/>
        <v>0</v>
      </c>
      <c r="AE262" s="73"/>
      <c r="AF262" s="73"/>
      <c r="AG262" s="73"/>
      <c r="AH262" s="73"/>
      <c r="AI262" s="73"/>
    </row>
    <row r="263" spans="1:35" ht="105">
      <c r="A263" s="94" t="s">
        <v>839</v>
      </c>
      <c r="B263" s="94">
        <v>3</v>
      </c>
      <c r="C263" s="94" t="s">
        <v>867</v>
      </c>
      <c r="D263" s="96">
        <v>0.15</v>
      </c>
      <c r="E263" s="94" t="s">
        <v>68</v>
      </c>
      <c r="F263" s="106" t="s">
        <v>868</v>
      </c>
      <c r="G263" s="98">
        <v>3.7999999999999999E-2</v>
      </c>
      <c r="H263" s="95" t="s">
        <v>869</v>
      </c>
      <c r="I263" s="94" t="s">
        <v>843</v>
      </c>
      <c r="J263" s="94" t="s">
        <v>870</v>
      </c>
      <c r="K263" s="94" t="s">
        <v>128</v>
      </c>
      <c r="L263" s="94" t="s">
        <v>493</v>
      </c>
      <c r="M263" s="94" t="s">
        <v>845</v>
      </c>
      <c r="N263" s="94" t="s">
        <v>41</v>
      </c>
      <c r="O263" s="94" t="s">
        <v>42</v>
      </c>
      <c r="P263" s="94" t="s">
        <v>495</v>
      </c>
      <c r="Q263" s="94" t="s">
        <v>846</v>
      </c>
      <c r="R263" s="94" t="s">
        <v>40</v>
      </c>
      <c r="S263" s="98"/>
      <c r="T263" s="94"/>
      <c r="U263" s="94"/>
      <c r="V263" s="81"/>
      <c r="W263" s="73" t="str">
        <f t="shared" si="2"/>
        <v/>
      </c>
      <c r="X263" s="73" t="str">
        <f t="shared" si="3"/>
        <v>X</v>
      </c>
      <c r="Y263" s="73" t="str">
        <f t="shared" si="4"/>
        <v/>
      </c>
      <c r="Z263" s="73" t="str">
        <f t="shared" si="5"/>
        <v/>
      </c>
      <c r="AA263" s="73" t="s">
        <v>27</v>
      </c>
      <c r="AB263" s="73" t="str">
        <f t="shared" si="6"/>
        <v>Trim 2</v>
      </c>
      <c r="AC263" s="73">
        <f t="shared" si="7"/>
        <v>0</v>
      </c>
      <c r="AD263" s="73">
        <f t="shared" si="8"/>
        <v>0</v>
      </c>
      <c r="AE263" s="73"/>
      <c r="AF263" s="73"/>
      <c r="AG263" s="73"/>
      <c r="AH263" s="73"/>
      <c r="AI263" s="73"/>
    </row>
    <row r="264" spans="1:35" ht="105">
      <c r="A264" s="94" t="s">
        <v>839</v>
      </c>
      <c r="B264" s="94">
        <v>3</v>
      </c>
      <c r="C264" s="94" t="s">
        <v>867</v>
      </c>
      <c r="D264" s="96">
        <v>0.15</v>
      </c>
      <c r="E264" s="94" t="s">
        <v>73</v>
      </c>
      <c r="F264" s="106" t="s">
        <v>871</v>
      </c>
      <c r="G264" s="98">
        <v>3.7999999999999999E-2</v>
      </c>
      <c r="H264" s="95" t="s">
        <v>872</v>
      </c>
      <c r="I264" s="94" t="s">
        <v>843</v>
      </c>
      <c r="J264" s="94" t="s">
        <v>873</v>
      </c>
      <c r="K264" s="94" t="s">
        <v>111</v>
      </c>
      <c r="L264" s="94" t="s">
        <v>493</v>
      </c>
      <c r="M264" s="94" t="s">
        <v>845</v>
      </c>
      <c r="N264" s="94" t="s">
        <v>41</v>
      </c>
      <c r="O264" s="94" t="s">
        <v>42</v>
      </c>
      <c r="P264" s="94" t="s">
        <v>495</v>
      </c>
      <c r="Q264" s="94" t="s">
        <v>846</v>
      </c>
      <c r="R264" s="94" t="s">
        <v>40</v>
      </c>
      <c r="S264" s="98"/>
      <c r="T264" s="94"/>
      <c r="U264" s="94"/>
      <c r="V264" s="81"/>
      <c r="W264" s="73" t="str">
        <f t="shared" si="2"/>
        <v/>
      </c>
      <c r="X264" s="73" t="str">
        <f t="shared" si="3"/>
        <v>X</v>
      </c>
      <c r="Y264" s="73" t="str">
        <f t="shared" si="4"/>
        <v/>
      </c>
      <c r="Z264" s="73" t="str">
        <f t="shared" si="5"/>
        <v/>
      </c>
      <c r="AA264" s="73" t="s">
        <v>27</v>
      </c>
      <c r="AB264" s="73" t="str">
        <f t="shared" si="6"/>
        <v>Trim 2</v>
      </c>
      <c r="AC264" s="73">
        <f t="shared" si="7"/>
        <v>0</v>
      </c>
      <c r="AD264" s="73">
        <f t="shared" si="8"/>
        <v>0</v>
      </c>
      <c r="AE264" s="73"/>
      <c r="AF264" s="73"/>
      <c r="AG264" s="73"/>
      <c r="AH264" s="73"/>
      <c r="AI264" s="73"/>
    </row>
    <row r="265" spans="1:35" ht="105">
      <c r="A265" s="94" t="s">
        <v>839</v>
      </c>
      <c r="B265" s="94">
        <v>3</v>
      </c>
      <c r="C265" s="94" t="s">
        <v>867</v>
      </c>
      <c r="D265" s="96">
        <v>0.15</v>
      </c>
      <c r="E265" s="94" t="s">
        <v>75</v>
      </c>
      <c r="F265" s="106" t="s">
        <v>874</v>
      </c>
      <c r="G265" s="98">
        <v>3.7999999999999999E-2</v>
      </c>
      <c r="H265" s="95" t="s">
        <v>875</v>
      </c>
      <c r="I265" s="94" t="s">
        <v>843</v>
      </c>
      <c r="J265" s="94" t="s">
        <v>870</v>
      </c>
      <c r="K265" s="94" t="s">
        <v>113</v>
      </c>
      <c r="L265" s="94" t="s">
        <v>493</v>
      </c>
      <c r="M265" s="94" t="s">
        <v>845</v>
      </c>
      <c r="N265" s="94" t="s">
        <v>41</v>
      </c>
      <c r="O265" s="94" t="s">
        <v>42</v>
      </c>
      <c r="P265" s="94" t="s">
        <v>495</v>
      </c>
      <c r="Q265" s="94" t="s">
        <v>846</v>
      </c>
      <c r="R265" s="94" t="s">
        <v>40</v>
      </c>
      <c r="S265" s="98"/>
      <c r="T265" s="94"/>
      <c r="U265" s="94"/>
      <c r="V265" s="81"/>
      <c r="W265" s="73" t="str">
        <f t="shared" si="2"/>
        <v/>
      </c>
      <c r="X265" s="73" t="str">
        <f t="shared" si="3"/>
        <v/>
      </c>
      <c r="Y265" s="73" t="str">
        <f t="shared" si="4"/>
        <v>X</v>
      </c>
      <c r="Z265" s="73" t="str">
        <f t="shared" si="5"/>
        <v/>
      </c>
      <c r="AA265" s="73" t="s">
        <v>28</v>
      </c>
      <c r="AB265" s="73" t="str">
        <f t="shared" si="6"/>
        <v>Trim 3</v>
      </c>
      <c r="AC265" s="73">
        <f t="shared" si="7"/>
        <v>0</v>
      </c>
      <c r="AD265" s="73">
        <f t="shared" si="8"/>
        <v>0</v>
      </c>
      <c r="AE265" s="73"/>
      <c r="AF265" s="73"/>
      <c r="AG265" s="73"/>
      <c r="AH265" s="73"/>
      <c r="AI265" s="73"/>
    </row>
    <row r="266" spans="1:35" ht="105">
      <c r="A266" s="94" t="s">
        <v>839</v>
      </c>
      <c r="B266" s="94">
        <v>3</v>
      </c>
      <c r="C266" s="94" t="s">
        <v>867</v>
      </c>
      <c r="D266" s="96">
        <v>0.15</v>
      </c>
      <c r="E266" s="94" t="s">
        <v>287</v>
      </c>
      <c r="F266" s="95" t="s">
        <v>876</v>
      </c>
      <c r="G266" s="98">
        <v>3.7999999999999999E-2</v>
      </c>
      <c r="H266" s="95" t="s">
        <v>877</v>
      </c>
      <c r="I266" s="94" t="s">
        <v>843</v>
      </c>
      <c r="J266" s="94" t="s">
        <v>870</v>
      </c>
      <c r="K266" s="94" t="s">
        <v>133</v>
      </c>
      <c r="L266" s="94" t="s">
        <v>493</v>
      </c>
      <c r="M266" s="94" t="s">
        <v>845</v>
      </c>
      <c r="N266" s="94" t="s">
        <v>41</v>
      </c>
      <c r="O266" s="94" t="s">
        <v>42</v>
      </c>
      <c r="P266" s="94" t="s">
        <v>495</v>
      </c>
      <c r="Q266" s="94" t="s">
        <v>846</v>
      </c>
      <c r="R266" s="94" t="s">
        <v>40</v>
      </c>
      <c r="S266" s="98"/>
      <c r="T266" s="94"/>
      <c r="U266" s="94"/>
      <c r="V266" s="70"/>
      <c r="W266" s="73" t="str">
        <f t="shared" si="2"/>
        <v/>
      </c>
      <c r="X266" s="73" t="str">
        <f t="shared" si="3"/>
        <v/>
      </c>
      <c r="Y266" s="73" t="str">
        <f t="shared" si="4"/>
        <v>X</v>
      </c>
      <c r="Z266" s="73" t="str">
        <f t="shared" si="5"/>
        <v/>
      </c>
      <c r="AA266" s="73" t="s">
        <v>28</v>
      </c>
      <c r="AB266" s="73" t="str">
        <f t="shared" si="6"/>
        <v>Trim 3</v>
      </c>
      <c r="AC266" s="73">
        <f t="shared" si="7"/>
        <v>0</v>
      </c>
      <c r="AD266" s="73">
        <f t="shared" si="8"/>
        <v>0</v>
      </c>
      <c r="AE266" s="73"/>
      <c r="AF266" s="73"/>
      <c r="AG266" s="73"/>
      <c r="AH266" s="73"/>
      <c r="AI266" s="73"/>
    </row>
    <row r="267" spans="1:35" ht="105">
      <c r="A267" s="94" t="s">
        <v>839</v>
      </c>
      <c r="B267" s="94">
        <v>4</v>
      </c>
      <c r="C267" s="94" t="s">
        <v>878</v>
      </c>
      <c r="D267" s="96">
        <v>0.15</v>
      </c>
      <c r="E267" s="94" t="s">
        <v>79</v>
      </c>
      <c r="F267" s="106" t="s">
        <v>868</v>
      </c>
      <c r="G267" s="98">
        <v>3.7999999999999999E-2</v>
      </c>
      <c r="H267" s="95" t="s">
        <v>879</v>
      </c>
      <c r="I267" s="94" t="s">
        <v>843</v>
      </c>
      <c r="J267" s="94" t="s">
        <v>880</v>
      </c>
      <c r="K267" s="94" t="s">
        <v>97</v>
      </c>
      <c r="L267" s="94" t="s">
        <v>493</v>
      </c>
      <c r="M267" s="94" t="s">
        <v>845</v>
      </c>
      <c r="N267" s="94" t="s">
        <v>41</v>
      </c>
      <c r="O267" s="94" t="s">
        <v>42</v>
      </c>
      <c r="P267" s="94" t="s">
        <v>495</v>
      </c>
      <c r="Q267" s="94" t="s">
        <v>846</v>
      </c>
      <c r="R267" s="94" t="s">
        <v>40</v>
      </c>
      <c r="S267" s="111">
        <v>3.5000000000000003E-2</v>
      </c>
      <c r="T267" s="94" t="s">
        <v>97</v>
      </c>
      <c r="U267" s="94"/>
      <c r="V267" s="70"/>
      <c r="W267" s="73" t="str">
        <f t="shared" si="2"/>
        <v>X</v>
      </c>
      <c r="X267" s="73" t="str">
        <f t="shared" si="3"/>
        <v/>
      </c>
      <c r="Y267" s="73" t="str">
        <f t="shared" si="4"/>
        <v/>
      </c>
      <c r="Z267" s="73" t="str">
        <f t="shared" si="5"/>
        <v/>
      </c>
      <c r="AA267" s="73" t="s">
        <v>26</v>
      </c>
      <c r="AB267" s="73" t="str">
        <f t="shared" si="6"/>
        <v>Trim 1</v>
      </c>
      <c r="AC267" s="73">
        <f t="shared" si="7"/>
        <v>0</v>
      </c>
      <c r="AD267" s="73">
        <f t="shared" si="8"/>
        <v>1</v>
      </c>
      <c r="AE267" s="73"/>
      <c r="AF267" s="73"/>
      <c r="AG267" s="73"/>
      <c r="AH267" s="73"/>
      <c r="AI267" s="73"/>
    </row>
    <row r="268" spans="1:35" ht="105">
      <c r="A268" s="94" t="s">
        <v>839</v>
      </c>
      <c r="B268" s="94">
        <v>4</v>
      </c>
      <c r="C268" s="94" t="s">
        <v>878</v>
      </c>
      <c r="D268" s="96">
        <v>0.15</v>
      </c>
      <c r="E268" s="94" t="s">
        <v>83</v>
      </c>
      <c r="F268" s="106" t="s">
        <v>871</v>
      </c>
      <c r="G268" s="98">
        <v>3.7999999999999999E-2</v>
      </c>
      <c r="H268" s="95" t="s">
        <v>881</v>
      </c>
      <c r="I268" s="94" t="s">
        <v>843</v>
      </c>
      <c r="J268" s="94" t="s">
        <v>880</v>
      </c>
      <c r="K268" s="94" t="s">
        <v>108</v>
      </c>
      <c r="L268" s="94" t="s">
        <v>493</v>
      </c>
      <c r="M268" s="94" t="s">
        <v>845</v>
      </c>
      <c r="N268" s="94" t="s">
        <v>41</v>
      </c>
      <c r="O268" s="94" t="s">
        <v>42</v>
      </c>
      <c r="P268" s="94" t="s">
        <v>495</v>
      </c>
      <c r="Q268" s="94" t="s">
        <v>846</v>
      </c>
      <c r="R268" s="94" t="s">
        <v>40</v>
      </c>
      <c r="S268" s="111">
        <v>3.5000000000000003E-2</v>
      </c>
      <c r="T268" s="94" t="s">
        <v>108</v>
      </c>
      <c r="U268" s="94"/>
      <c r="V268" s="70"/>
      <c r="W268" s="73" t="str">
        <f t="shared" si="2"/>
        <v>X</v>
      </c>
      <c r="X268" s="73" t="str">
        <f t="shared" si="3"/>
        <v/>
      </c>
      <c r="Y268" s="73" t="str">
        <f t="shared" si="4"/>
        <v/>
      </c>
      <c r="Z268" s="73" t="str">
        <f t="shared" si="5"/>
        <v/>
      </c>
      <c r="AA268" s="73" t="s">
        <v>26</v>
      </c>
      <c r="AB268" s="73" t="str">
        <f t="shared" si="6"/>
        <v>Trim 1</v>
      </c>
      <c r="AC268" s="73">
        <f t="shared" si="7"/>
        <v>0</v>
      </c>
      <c r="AD268" s="73">
        <f t="shared" si="8"/>
        <v>1</v>
      </c>
      <c r="AE268" s="73"/>
      <c r="AF268" s="73"/>
      <c r="AG268" s="73"/>
      <c r="AH268" s="73"/>
      <c r="AI268" s="73"/>
    </row>
    <row r="269" spans="1:35" ht="105">
      <c r="A269" s="94" t="s">
        <v>839</v>
      </c>
      <c r="B269" s="94">
        <v>4</v>
      </c>
      <c r="C269" s="94" t="s">
        <v>878</v>
      </c>
      <c r="D269" s="96">
        <v>0.15</v>
      </c>
      <c r="E269" s="94" t="s">
        <v>86</v>
      </c>
      <c r="F269" s="106" t="s">
        <v>874</v>
      </c>
      <c r="G269" s="98">
        <v>3.7999999999999999E-2</v>
      </c>
      <c r="H269" s="95" t="s">
        <v>882</v>
      </c>
      <c r="I269" s="94" t="s">
        <v>843</v>
      </c>
      <c r="J269" s="94" t="s">
        <v>880</v>
      </c>
      <c r="K269" s="94" t="s">
        <v>45</v>
      </c>
      <c r="L269" s="94" t="s">
        <v>493</v>
      </c>
      <c r="M269" s="94" t="s">
        <v>845</v>
      </c>
      <c r="N269" s="94" t="s">
        <v>41</v>
      </c>
      <c r="O269" s="94" t="s">
        <v>42</v>
      </c>
      <c r="P269" s="94" t="s">
        <v>495</v>
      </c>
      <c r="Q269" s="94" t="s">
        <v>846</v>
      </c>
      <c r="R269" s="94" t="s">
        <v>40</v>
      </c>
      <c r="S269" s="111">
        <v>3.2000000000000001E-2</v>
      </c>
      <c r="T269" s="94" t="s">
        <v>45</v>
      </c>
      <c r="U269" s="94"/>
      <c r="V269" s="70"/>
      <c r="W269" s="73" t="str">
        <f t="shared" si="2"/>
        <v>X</v>
      </c>
      <c r="X269" s="73" t="str">
        <f t="shared" si="3"/>
        <v/>
      </c>
      <c r="Y269" s="73" t="str">
        <f t="shared" si="4"/>
        <v/>
      </c>
      <c r="Z269" s="73" t="str">
        <f t="shared" si="5"/>
        <v/>
      </c>
      <c r="AA269" s="73" t="s">
        <v>26</v>
      </c>
      <c r="AB269" s="73" t="str">
        <f t="shared" si="6"/>
        <v>Trim 1</v>
      </c>
      <c r="AC269" s="73">
        <f t="shared" si="7"/>
        <v>0</v>
      </c>
      <c r="AD269" s="73">
        <f t="shared" si="8"/>
        <v>1</v>
      </c>
      <c r="AE269" s="73"/>
      <c r="AF269" s="73"/>
      <c r="AG269" s="73"/>
      <c r="AH269" s="73"/>
      <c r="AI269" s="73"/>
    </row>
    <row r="270" spans="1:35" ht="105">
      <c r="A270" s="94" t="s">
        <v>839</v>
      </c>
      <c r="B270" s="94">
        <v>4</v>
      </c>
      <c r="C270" s="94" t="s">
        <v>878</v>
      </c>
      <c r="D270" s="96">
        <v>0.15</v>
      </c>
      <c r="E270" s="94" t="s">
        <v>89</v>
      </c>
      <c r="F270" s="95" t="s">
        <v>876</v>
      </c>
      <c r="G270" s="98">
        <v>3.7999999999999999E-2</v>
      </c>
      <c r="H270" s="95" t="s">
        <v>883</v>
      </c>
      <c r="I270" s="94" t="s">
        <v>843</v>
      </c>
      <c r="J270" s="94" t="s">
        <v>880</v>
      </c>
      <c r="K270" s="94" t="s">
        <v>45</v>
      </c>
      <c r="L270" s="94" t="s">
        <v>493</v>
      </c>
      <c r="M270" s="94" t="s">
        <v>845</v>
      </c>
      <c r="N270" s="94" t="s">
        <v>41</v>
      </c>
      <c r="O270" s="94" t="s">
        <v>42</v>
      </c>
      <c r="P270" s="94" t="s">
        <v>495</v>
      </c>
      <c r="Q270" s="94" t="s">
        <v>846</v>
      </c>
      <c r="R270" s="94" t="s">
        <v>40</v>
      </c>
      <c r="S270" s="111">
        <v>0</v>
      </c>
      <c r="T270" s="94"/>
      <c r="U270" s="94"/>
      <c r="V270" s="70"/>
      <c r="W270" s="73" t="str">
        <f t="shared" si="2"/>
        <v>X</v>
      </c>
      <c r="X270" s="73" t="str">
        <f t="shared" si="3"/>
        <v/>
      </c>
      <c r="Y270" s="73" t="str">
        <f t="shared" si="4"/>
        <v/>
      </c>
      <c r="Z270" s="73" t="str">
        <f t="shared" si="5"/>
        <v/>
      </c>
      <c r="AA270" s="73" t="s">
        <v>26</v>
      </c>
      <c r="AB270" s="73" t="str">
        <f t="shared" si="6"/>
        <v>Trim 1</v>
      </c>
      <c r="AC270" s="73">
        <f t="shared" si="7"/>
        <v>0</v>
      </c>
      <c r="AD270" s="73">
        <f t="shared" si="8"/>
        <v>1</v>
      </c>
      <c r="AE270" s="73"/>
      <c r="AF270" s="73"/>
      <c r="AG270" s="73"/>
      <c r="AH270" s="73"/>
      <c r="AI270" s="73"/>
    </row>
    <row r="271" spans="1:35" ht="105">
      <c r="A271" s="94" t="s">
        <v>839</v>
      </c>
      <c r="B271" s="94">
        <v>5</v>
      </c>
      <c r="C271" s="94" t="s">
        <v>884</v>
      </c>
      <c r="D271" s="96">
        <v>0.15</v>
      </c>
      <c r="E271" s="94" t="s">
        <v>469</v>
      </c>
      <c r="F271" s="106" t="s">
        <v>868</v>
      </c>
      <c r="G271" s="98">
        <v>3.7999999999999999E-2</v>
      </c>
      <c r="H271" s="95" t="s">
        <v>879</v>
      </c>
      <c r="I271" s="94" t="s">
        <v>843</v>
      </c>
      <c r="J271" s="94" t="s">
        <v>885</v>
      </c>
      <c r="K271" s="94" t="s">
        <v>128</v>
      </c>
      <c r="L271" s="94" t="s">
        <v>886</v>
      </c>
      <c r="M271" s="94" t="s">
        <v>845</v>
      </c>
      <c r="N271" s="94" t="s">
        <v>41</v>
      </c>
      <c r="O271" s="94" t="s">
        <v>42</v>
      </c>
      <c r="P271" s="94" t="s">
        <v>495</v>
      </c>
      <c r="Q271" s="94" t="s">
        <v>846</v>
      </c>
      <c r="R271" s="94" t="s">
        <v>40</v>
      </c>
      <c r="S271" s="98"/>
      <c r="T271" s="94"/>
      <c r="U271" s="94"/>
      <c r="V271" s="70"/>
      <c r="W271" s="73" t="str">
        <f t="shared" si="2"/>
        <v/>
      </c>
      <c r="X271" s="73" t="str">
        <f t="shared" si="3"/>
        <v>X</v>
      </c>
      <c r="Y271" s="73" t="str">
        <f t="shared" si="4"/>
        <v/>
      </c>
      <c r="Z271" s="73" t="str">
        <f t="shared" si="5"/>
        <v/>
      </c>
      <c r="AA271" s="73" t="s">
        <v>27</v>
      </c>
      <c r="AB271" s="73" t="str">
        <f t="shared" si="6"/>
        <v>Trim 2</v>
      </c>
      <c r="AC271" s="73">
        <f t="shared" si="7"/>
        <v>0</v>
      </c>
      <c r="AD271" s="73">
        <f t="shared" si="8"/>
        <v>0</v>
      </c>
      <c r="AE271" s="73"/>
      <c r="AF271" s="73"/>
      <c r="AG271" s="73"/>
      <c r="AH271" s="73"/>
      <c r="AI271" s="73"/>
    </row>
    <row r="272" spans="1:35" ht="105">
      <c r="A272" s="94" t="s">
        <v>839</v>
      </c>
      <c r="B272" s="94">
        <v>5</v>
      </c>
      <c r="C272" s="94" t="s">
        <v>884</v>
      </c>
      <c r="D272" s="96">
        <v>0.15</v>
      </c>
      <c r="E272" s="94" t="s">
        <v>476</v>
      </c>
      <c r="F272" s="106" t="s">
        <v>871</v>
      </c>
      <c r="G272" s="98">
        <v>3.7999999999999999E-2</v>
      </c>
      <c r="H272" s="95" t="s">
        <v>881</v>
      </c>
      <c r="I272" s="94" t="s">
        <v>843</v>
      </c>
      <c r="J272" s="94" t="s">
        <v>887</v>
      </c>
      <c r="K272" s="94" t="s">
        <v>113</v>
      </c>
      <c r="L272" s="94" t="s">
        <v>886</v>
      </c>
      <c r="M272" s="94" t="s">
        <v>845</v>
      </c>
      <c r="N272" s="94" t="s">
        <v>41</v>
      </c>
      <c r="O272" s="94" t="s">
        <v>42</v>
      </c>
      <c r="P272" s="94" t="s">
        <v>495</v>
      </c>
      <c r="Q272" s="94" t="s">
        <v>846</v>
      </c>
      <c r="R272" s="94" t="s">
        <v>40</v>
      </c>
      <c r="S272" s="98"/>
      <c r="T272" s="94"/>
      <c r="U272" s="94"/>
      <c r="V272" s="70"/>
      <c r="W272" s="73" t="str">
        <f t="shared" si="2"/>
        <v/>
      </c>
      <c r="X272" s="73" t="str">
        <f t="shared" si="3"/>
        <v/>
      </c>
      <c r="Y272" s="73" t="str">
        <f t="shared" si="4"/>
        <v>X</v>
      </c>
      <c r="Z272" s="73" t="str">
        <f t="shared" si="5"/>
        <v/>
      </c>
      <c r="AA272" s="73" t="s">
        <v>28</v>
      </c>
      <c r="AB272" s="73" t="str">
        <f t="shared" si="6"/>
        <v>Trim 3</v>
      </c>
      <c r="AC272" s="73">
        <f t="shared" si="7"/>
        <v>0</v>
      </c>
      <c r="AD272" s="73">
        <f t="shared" si="8"/>
        <v>0</v>
      </c>
      <c r="AE272" s="73"/>
      <c r="AF272" s="73"/>
      <c r="AG272" s="73"/>
      <c r="AH272" s="73"/>
      <c r="AI272" s="73"/>
    </row>
    <row r="273" spans="1:35" ht="105">
      <c r="A273" s="94" t="s">
        <v>839</v>
      </c>
      <c r="B273" s="94">
        <v>5</v>
      </c>
      <c r="C273" s="94" t="s">
        <v>884</v>
      </c>
      <c r="D273" s="96">
        <v>0.15</v>
      </c>
      <c r="E273" s="94" t="s">
        <v>482</v>
      </c>
      <c r="F273" s="106" t="s">
        <v>874</v>
      </c>
      <c r="G273" s="98">
        <v>3.7999999999999999E-2</v>
      </c>
      <c r="H273" s="95" t="s">
        <v>882</v>
      </c>
      <c r="I273" s="94" t="s">
        <v>843</v>
      </c>
      <c r="J273" s="94" t="s">
        <v>885</v>
      </c>
      <c r="K273" s="94" t="s">
        <v>133</v>
      </c>
      <c r="L273" s="94" t="s">
        <v>886</v>
      </c>
      <c r="M273" s="94" t="s">
        <v>845</v>
      </c>
      <c r="N273" s="94" t="s">
        <v>41</v>
      </c>
      <c r="O273" s="94" t="s">
        <v>42</v>
      </c>
      <c r="P273" s="94" t="s">
        <v>495</v>
      </c>
      <c r="Q273" s="94" t="s">
        <v>846</v>
      </c>
      <c r="R273" s="94" t="s">
        <v>40</v>
      </c>
      <c r="S273" s="98"/>
      <c r="T273" s="94"/>
      <c r="U273" s="94"/>
      <c r="V273" s="70"/>
      <c r="W273" s="73" t="str">
        <f t="shared" si="2"/>
        <v/>
      </c>
      <c r="X273" s="73" t="str">
        <f t="shared" si="3"/>
        <v/>
      </c>
      <c r="Y273" s="73" t="str">
        <f t="shared" si="4"/>
        <v>X</v>
      </c>
      <c r="Z273" s="73" t="str">
        <f t="shared" si="5"/>
        <v/>
      </c>
      <c r="AA273" s="73" t="s">
        <v>28</v>
      </c>
      <c r="AB273" s="73" t="str">
        <f t="shared" si="6"/>
        <v>Trim 3</v>
      </c>
      <c r="AC273" s="73">
        <f t="shared" si="7"/>
        <v>0</v>
      </c>
      <c r="AD273" s="73">
        <f t="shared" si="8"/>
        <v>0</v>
      </c>
      <c r="AE273" s="73"/>
      <c r="AF273" s="73"/>
      <c r="AG273" s="73"/>
      <c r="AH273" s="73"/>
      <c r="AI273" s="73"/>
    </row>
    <row r="274" spans="1:35" ht="105">
      <c r="A274" s="94" t="s">
        <v>839</v>
      </c>
      <c r="B274" s="94">
        <v>5</v>
      </c>
      <c r="C274" s="94" t="s">
        <v>884</v>
      </c>
      <c r="D274" s="96">
        <v>0.15</v>
      </c>
      <c r="E274" s="94" t="s">
        <v>888</v>
      </c>
      <c r="F274" s="95" t="s">
        <v>876</v>
      </c>
      <c r="G274" s="98">
        <v>3.7999999999999999E-2</v>
      </c>
      <c r="H274" s="95" t="s">
        <v>883</v>
      </c>
      <c r="I274" s="94" t="s">
        <v>843</v>
      </c>
      <c r="J274" s="94" t="s">
        <v>885</v>
      </c>
      <c r="K274" s="94" t="s">
        <v>115</v>
      </c>
      <c r="L274" s="94" t="s">
        <v>886</v>
      </c>
      <c r="M274" s="94" t="s">
        <v>845</v>
      </c>
      <c r="N274" s="94" t="s">
        <v>41</v>
      </c>
      <c r="O274" s="94" t="s">
        <v>42</v>
      </c>
      <c r="P274" s="94" t="s">
        <v>495</v>
      </c>
      <c r="Q274" s="94" t="s">
        <v>846</v>
      </c>
      <c r="R274" s="94" t="s">
        <v>40</v>
      </c>
      <c r="S274" s="98"/>
      <c r="T274" s="94"/>
      <c r="U274" s="94"/>
      <c r="V274" s="70"/>
      <c r="W274" s="73" t="str">
        <f t="shared" si="2"/>
        <v/>
      </c>
      <c r="X274" s="73" t="str">
        <f t="shared" si="3"/>
        <v/>
      </c>
      <c r="Y274" s="73" t="str">
        <f t="shared" si="4"/>
        <v>X</v>
      </c>
      <c r="Z274" s="73" t="str">
        <f t="shared" si="5"/>
        <v/>
      </c>
      <c r="AA274" s="73" t="s">
        <v>28</v>
      </c>
      <c r="AB274" s="73" t="str">
        <f t="shared" si="6"/>
        <v>Trim 3</v>
      </c>
      <c r="AC274" s="73">
        <f t="shared" si="7"/>
        <v>0</v>
      </c>
      <c r="AD274" s="73">
        <f t="shared" si="8"/>
        <v>0</v>
      </c>
      <c r="AE274" s="73"/>
      <c r="AF274" s="73"/>
      <c r="AG274" s="73"/>
      <c r="AH274" s="73"/>
      <c r="AI274" s="73"/>
    </row>
    <row r="275" spans="1:35" ht="105">
      <c r="A275" s="94" t="s">
        <v>839</v>
      </c>
      <c r="B275" s="94">
        <v>6</v>
      </c>
      <c r="C275" s="94" t="s">
        <v>889</v>
      </c>
      <c r="D275" s="96">
        <v>0.05</v>
      </c>
      <c r="E275" s="94" t="s">
        <v>648</v>
      </c>
      <c r="F275" s="95" t="s">
        <v>890</v>
      </c>
      <c r="G275" s="98">
        <v>1.2500000000000001E-2</v>
      </c>
      <c r="H275" s="95" t="s">
        <v>891</v>
      </c>
      <c r="I275" s="94" t="s">
        <v>843</v>
      </c>
      <c r="J275" s="94" t="s">
        <v>892</v>
      </c>
      <c r="K275" s="94" t="s">
        <v>45</v>
      </c>
      <c r="L275" s="94" t="s">
        <v>886</v>
      </c>
      <c r="M275" s="94" t="s">
        <v>845</v>
      </c>
      <c r="N275" s="94" t="s">
        <v>41</v>
      </c>
      <c r="O275" s="94" t="s">
        <v>42</v>
      </c>
      <c r="P275" s="94" t="s">
        <v>429</v>
      </c>
      <c r="Q275" s="94" t="s">
        <v>846</v>
      </c>
      <c r="R275" s="94" t="s">
        <v>40</v>
      </c>
      <c r="S275" s="111">
        <v>1.2999999999999999E-2</v>
      </c>
      <c r="T275" s="94" t="s">
        <v>45</v>
      </c>
      <c r="U275" s="94"/>
      <c r="V275" s="70"/>
      <c r="W275" s="73" t="str">
        <f t="shared" si="2"/>
        <v>X</v>
      </c>
      <c r="X275" s="73" t="str">
        <f t="shared" si="3"/>
        <v/>
      </c>
      <c r="Y275" s="73" t="str">
        <f t="shared" si="4"/>
        <v/>
      </c>
      <c r="Z275" s="73" t="str">
        <f t="shared" si="5"/>
        <v/>
      </c>
      <c r="AA275" s="73" t="s">
        <v>26</v>
      </c>
      <c r="AB275" s="73" t="str">
        <f t="shared" si="6"/>
        <v>Trim 1</v>
      </c>
      <c r="AC275" s="73">
        <f t="shared" si="7"/>
        <v>0</v>
      </c>
      <c r="AD275" s="73">
        <f t="shared" si="8"/>
        <v>1</v>
      </c>
      <c r="AE275" s="73"/>
      <c r="AF275" s="73"/>
      <c r="AG275" s="73"/>
      <c r="AH275" s="73"/>
      <c r="AI275" s="73"/>
    </row>
    <row r="276" spans="1:35" ht="105">
      <c r="A276" s="94" t="s">
        <v>839</v>
      </c>
      <c r="B276" s="94">
        <v>6</v>
      </c>
      <c r="C276" s="94" t="s">
        <v>889</v>
      </c>
      <c r="D276" s="96">
        <v>0.05</v>
      </c>
      <c r="E276" s="94" t="s">
        <v>651</v>
      </c>
      <c r="F276" s="95" t="s">
        <v>893</v>
      </c>
      <c r="G276" s="98">
        <v>1.2500000000000001E-2</v>
      </c>
      <c r="H276" s="95" t="s">
        <v>891</v>
      </c>
      <c r="I276" s="94" t="s">
        <v>843</v>
      </c>
      <c r="J276" s="94" t="s">
        <v>892</v>
      </c>
      <c r="K276" s="94" t="s">
        <v>111</v>
      </c>
      <c r="L276" s="94" t="s">
        <v>886</v>
      </c>
      <c r="M276" s="94" t="s">
        <v>845</v>
      </c>
      <c r="N276" s="94" t="s">
        <v>41</v>
      </c>
      <c r="O276" s="94" t="s">
        <v>42</v>
      </c>
      <c r="P276" s="94" t="s">
        <v>429</v>
      </c>
      <c r="Q276" s="94" t="s">
        <v>846</v>
      </c>
      <c r="R276" s="94" t="s">
        <v>40</v>
      </c>
      <c r="S276" s="98"/>
      <c r="T276" s="94"/>
      <c r="U276" s="94"/>
      <c r="V276" s="70"/>
      <c r="W276" s="73" t="str">
        <f t="shared" si="2"/>
        <v/>
      </c>
      <c r="X276" s="73" t="str">
        <f t="shared" si="3"/>
        <v>X</v>
      </c>
      <c r="Y276" s="73" t="str">
        <f t="shared" si="4"/>
        <v/>
      </c>
      <c r="Z276" s="73" t="str">
        <f t="shared" si="5"/>
        <v/>
      </c>
      <c r="AA276" s="73" t="s">
        <v>27</v>
      </c>
      <c r="AB276" s="73" t="str">
        <f t="shared" si="6"/>
        <v>Trim 2</v>
      </c>
      <c r="AC276" s="73">
        <f t="shared" si="7"/>
        <v>0</v>
      </c>
      <c r="AD276" s="73">
        <f t="shared" si="8"/>
        <v>0</v>
      </c>
      <c r="AE276" s="73"/>
      <c r="AF276" s="73"/>
      <c r="AG276" s="73"/>
      <c r="AH276" s="73"/>
      <c r="AI276" s="73"/>
    </row>
    <row r="277" spans="1:35" ht="105">
      <c r="A277" s="94" t="s">
        <v>839</v>
      </c>
      <c r="B277" s="94">
        <v>6</v>
      </c>
      <c r="C277" s="94" t="s">
        <v>889</v>
      </c>
      <c r="D277" s="96">
        <v>0.05</v>
      </c>
      <c r="E277" s="94" t="s">
        <v>723</v>
      </c>
      <c r="F277" s="95" t="s">
        <v>894</v>
      </c>
      <c r="G277" s="98">
        <v>1.2500000000000001E-2</v>
      </c>
      <c r="H277" s="95" t="s">
        <v>891</v>
      </c>
      <c r="I277" s="94" t="s">
        <v>843</v>
      </c>
      <c r="J277" s="94" t="s">
        <v>892</v>
      </c>
      <c r="K277" s="94" t="s">
        <v>115</v>
      </c>
      <c r="L277" s="94" t="s">
        <v>886</v>
      </c>
      <c r="M277" s="94" t="s">
        <v>845</v>
      </c>
      <c r="N277" s="94" t="s">
        <v>41</v>
      </c>
      <c r="O277" s="94" t="s">
        <v>42</v>
      </c>
      <c r="P277" s="94" t="s">
        <v>429</v>
      </c>
      <c r="Q277" s="94" t="s">
        <v>846</v>
      </c>
      <c r="R277" s="94" t="s">
        <v>40</v>
      </c>
      <c r="S277" s="98"/>
      <c r="T277" s="94"/>
      <c r="U277" s="94"/>
      <c r="V277" s="70"/>
      <c r="W277" s="73" t="str">
        <f t="shared" si="2"/>
        <v/>
      </c>
      <c r="X277" s="73" t="str">
        <f t="shared" si="3"/>
        <v/>
      </c>
      <c r="Y277" s="73" t="str">
        <f t="shared" si="4"/>
        <v>X</v>
      </c>
      <c r="Z277" s="73" t="str">
        <f t="shared" si="5"/>
        <v/>
      </c>
      <c r="AA277" s="73" t="s">
        <v>28</v>
      </c>
      <c r="AB277" s="73" t="str">
        <f t="shared" si="6"/>
        <v>Trim 3</v>
      </c>
      <c r="AC277" s="73">
        <f t="shared" si="7"/>
        <v>0</v>
      </c>
      <c r="AD277" s="73">
        <f t="shared" si="8"/>
        <v>0</v>
      </c>
      <c r="AE277" s="73"/>
      <c r="AF277" s="73"/>
      <c r="AG277" s="73"/>
      <c r="AH277" s="73"/>
      <c r="AI277" s="73"/>
    </row>
    <row r="278" spans="1:35" ht="105">
      <c r="A278" s="94" t="s">
        <v>839</v>
      </c>
      <c r="B278" s="94">
        <v>6</v>
      </c>
      <c r="C278" s="94" t="s">
        <v>889</v>
      </c>
      <c r="D278" s="96">
        <v>0.05</v>
      </c>
      <c r="E278" s="94" t="s">
        <v>895</v>
      </c>
      <c r="F278" s="95" t="s">
        <v>896</v>
      </c>
      <c r="G278" s="98">
        <v>1.2500000000000001E-2</v>
      </c>
      <c r="H278" s="95" t="s">
        <v>891</v>
      </c>
      <c r="I278" s="94" t="s">
        <v>843</v>
      </c>
      <c r="J278" s="94" t="s">
        <v>892</v>
      </c>
      <c r="K278" s="94" t="s">
        <v>39</v>
      </c>
      <c r="L278" s="94" t="s">
        <v>886</v>
      </c>
      <c r="M278" s="94" t="s">
        <v>845</v>
      </c>
      <c r="N278" s="94" t="s">
        <v>41</v>
      </c>
      <c r="O278" s="94" t="s">
        <v>42</v>
      </c>
      <c r="P278" s="94" t="s">
        <v>429</v>
      </c>
      <c r="Q278" s="94" t="s">
        <v>846</v>
      </c>
      <c r="R278" s="94" t="s">
        <v>40</v>
      </c>
      <c r="S278" s="98"/>
      <c r="T278" s="94"/>
      <c r="U278" s="94"/>
      <c r="V278" s="70"/>
      <c r="W278" s="73" t="str">
        <f t="shared" si="2"/>
        <v/>
      </c>
      <c r="X278" s="73" t="str">
        <f t="shared" si="3"/>
        <v/>
      </c>
      <c r="Y278" s="73" t="str">
        <f t="shared" si="4"/>
        <v/>
      </c>
      <c r="Z278" s="73" t="str">
        <f t="shared" si="5"/>
        <v>X</v>
      </c>
      <c r="AA278" s="73" t="s">
        <v>29</v>
      </c>
      <c r="AB278" s="73" t="str">
        <f t="shared" si="6"/>
        <v>Trim 4</v>
      </c>
      <c r="AC278" s="73">
        <f t="shared" si="7"/>
        <v>0</v>
      </c>
      <c r="AD278" s="73">
        <f t="shared" si="8"/>
        <v>0</v>
      </c>
      <c r="AE278" s="73"/>
      <c r="AF278" s="73"/>
      <c r="AG278" s="73"/>
      <c r="AH278" s="73"/>
      <c r="AI278" s="73"/>
    </row>
    <row r="279" spans="1:35" ht="105">
      <c r="A279" s="94" t="s">
        <v>839</v>
      </c>
      <c r="B279" s="94">
        <v>7</v>
      </c>
      <c r="C279" s="94" t="s">
        <v>897</v>
      </c>
      <c r="D279" s="96">
        <v>0.15</v>
      </c>
      <c r="E279" s="94" t="s">
        <v>653</v>
      </c>
      <c r="F279" s="95" t="s">
        <v>898</v>
      </c>
      <c r="G279" s="98">
        <v>0.05</v>
      </c>
      <c r="H279" s="95" t="s">
        <v>899</v>
      </c>
      <c r="I279" s="94" t="s">
        <v>843</v>
      </c>
      <c r="J279" s="94" t="s">
        <v>900</v>
      </c>
      <c r="K279" s="94" t="s">
        <v>108</v>
      </c>
      <c r="L279" s="94" t="s">
        <v>886</v>
      </c>
      <c r="M279" s="94" t="s">
        <v>845</v>
      </c>
      <c r="N279" s="94" t="s">
        <v>41</v>
      </c>
      <c r="O279" s="94" t="s">
        <v>42</v>
      </c>
      <c r="P279" s="94" t="s">
        <v>100</v>
      </c>
      <c r="Q279" s="94" t="s">
        <v>846</v>
      </c>
      <c r="R279" s="94" t="s">
        <v>40</v>
      </c>
      <c r="S279" s="111">
        <v>0.05</v>
      </c>
      <c r="T279" s="94" t="s">
        <v>108</v>
      </c>
      <c r="U279" s="94"/>
      <c r="V279" s="70"/>
      <c r="W279" s="73" t="str">
        <f t="shared" si="2"/>
        <v>X</v>
      </c>
      <c r="X279" s="73" t="str">
        <f t="shared" si="3"/>
        <v/>
      </c>
      <c r="Y279" s="73" t="str">
        <f t="shared" si="4"/>
        <v/>
      </c>
      <c r="Z279" s="73" t="str">
        <f t="shared" si="5"/>
        <v/>
      </c>
      <c r="AA279" s="73" t="s">
        <v>26</v>
      </c>
      <c r="AB279" s="73" t="str">
        <f t="shared" si="6"/>
        <v>Trim 1</v>
      </c>
      <c r="AC279" s="73">
        <f t="shared" si="7"/>
        <v>1</v>
      </c>
      <c r="AD279" s="73">
        <f t="shared" si="8"/>
        <v>1</v>
      </c>
      <c r="AE279" s="73"/>
      <c r="AF279" s="73"/>
      <c r="AG279" s="73"/>
      <c r="AH279" s="73"/>
      <c r="AI279" s="73"/>
    </row>
    <row r="280" spans="1:35" ht="105">
      <c r="A280" s="94" t="s">
        <v>839</v>
      </c>
      <c r="B280" s="94">
        <v>7</v>
      </c>
      <c r="C280" s="94" t="s">
        <v>897</v>
      </c>
      <c r="D280" s="96">
        <v>0.15</v>
      </c>
      <c r="E280" s="94" t="s">
        <v>657</v>
      </c>
      <c r="F280" s="95" t="s">
        <v>901</v>
      </c>
      <c r="G280" s="98">
        <v>1.25E-3</v>
      </c>
      <c r="H280" s="95" t="s">
        <v>902</v>
      </c>
      <c r="I280" s="94" t="s">
        <v>843</v>
      </c>
      <c r="J280" s="94" t="s">
        <v>900</v>
      </c>
      <c r="K280" s="94" t="s">
        <v>45</v>
      </c>
      <c r="L280" s="94" t="s">
        <v>886</v>
      </c>
      <c r="M280" s="94" t="s">
        <v>845</v>
      </c>
      <c r="N280" s="94" t="s">
        <v>41</v>
      </c>
      <c r="O280" s="94" t="s">
        <v>42</v>
      </c>
      <c r="P280" s="94" t="s">
        <v>100</v>
      </c>
      <c r="Q280" s="94" t="s">
        <v>846</v>
      </c>
      <c r="R280" s="94" t="s">
        <v>40</v>
      </c>
      <c r="S280" s="111">
        <v>1E-3</v>
      </c>
      <c r="T280" s="94" t="s">
        <v>45</v>
      </c>
      <c r="U280" s="94"/>
      <c r="V280" s="70"/>
      <c r="W280" s="73" t="str">
        <f t="shared" si="2"/>
        <v>X</v>
      </c>
      <c r="X280" s="73" t="str">
        <f t="shared" si="3"/>
        <v/>
      </c>
      <c r="Y280" s="73" t="str">
        <f t="shared" si="4"/>
        <v/>
      </c>
      <c r="Z280" s="73" t="str">
        <f t="shared" si="5"/>
        <v/>
      </c>
      <c r="AA280" s="73" t="s">
        <v>26</v>
      </c>
      <c r="AB280" s="73" t="str">
        <f t="shared" si="6"/>
        <v>Trim 1</v>
      </c>
      <c r="AC280" s="73">
        <f t="shared" si="7"/>
        <v>0</v>
      </c>
      <c r="AD280" s="73">
        <f t="shared" si="8"/>
        <v>1</v>
      </c>
      <c r="AE280" s="73"/>
      <c r="AF280" s="73"/>
      <c r="AG280" s="73"/>
      <c r="AH280" s="73"/>
      <c r="AI280" s="73"/>
    </row>
    <row r="281" spans="1:35" ht="105">
      <c r="A281" s="94" t="s">
        <v>839</v>
      </c>
      <c r="B281" s="94">
        <v>7</v>
      </c>
      <c r="C281" s="94" t="s">
        <v>897</v>
      </c>
      <c r="D281" s="96">
        <v>0.15</v>
      </c>
      <c r="E281" s="94" t="s">
        <v>734</v>
      </c>
      <c r="F281" s="95" t="s">
        <v>903</v>
      </c>
      <c r="G281" s="98">
        <v>1.25E-3</v>
      </c>
      <c r="H281" s="95" t="s">
        <v>902</v>
      </c>
      <c r="I281" s="94" t="s">
        <v>843</v>
      </c>
      <c r="J281" s="94" t="s">
        <v>900</v>
      </c>
      <c r="K281" s="94" t="s">
        <v>111</v>
      </c>
      <c r="L281" s="94" t="s">
        <v>886</v>
      </c>
      <c r="M281" s="94" t="s">
        <v>845</v>
      </c>
      <c r="N281" s="94" t="s">
        <v>41</v>
      </c>
      <c r="O281" s="94" t="s">
        <v>42</v>
      </c>
      <c r="P281" s="94" t="s">
        <v>100</v>
      </c>
      <c r="Q281" s="94" t="s">
        <v>846</v>
      </c>
      <c r="R281" s="94" t="s">
        <v>40</v>
      </c>
      <c r="S281" s="98"/>
      <c r="T281" s="94"/>
      <c r="U281" s="94"/>
      <c r="V281" s="70"/>
      <c r="W281" s="73" t="str">
        <f t="shared" si="2"/>
        <v/>
      </c>
      <c r="X281" s="73" t="str">
        <f t="shared" si="3"/>
        <v>X</v>
      </c>
      <c r="Y281" s="73" t="str">
        <f t="shared" si="4"/>
        <v/>
      </c>
      <c r="Z281" s="73" t="str">
        <f t="shared" si="5"/>
        <v/>
      </c>
      <c r="AA281" s="73" t="s">
        <v>27</v>
      </c>
      <c r="AB281" s="73" t="str">
        <f t="shared" si="6"/>
        <v>Trim 2</v>
      </c>
      <c r="AC281" s="73">
        <f t="shared" si="7"/>
        <v>0</v>
      </c>
      <c r="AD281" s="73">
        <f t="shared" si="8"/>
        <v>0</v>
      </c>
      <c r="AE281" s="73"/>
      <c r="AF281" s="73"/>
      <c r="AG281" s="73"/>
      <c r="AH281" s="73"/>
      <c r="AI281" s="73"/>
    </row>
    <row r="282" spans="1:35" ht="105">
      <c r="A282" s="94" t="s">
        <v>839</v>
      </c>
      <c r="B282" s="94">
        <v>7</v>
      </c>
      <c r="C282" s="94" t="s">
        <v>897</v>
      </c>
      <c r="D282" s="96">
        <v>0.15</v>
      </c>
      <c r="E282" s="94" t="s">
        <v>904</v>
      </c>
      <c r="F282" s="95" t="s">
        <v>905</v>
      </c>
      <c r="G282" s="98">
        <v>1.25E-3</v>
      </c>
      <c r="H282" s="95" t="s">
        <v>902</v>
      </c>
      <c r="I282" s="94" t="s">
        <v>843</v>
      </c>
      <c r="J282" s="94" t="s">
        <v>900</v>
      </c>
      <c r="K282" s="94" t="s">
        <v>115</v>
      </c>
      <c r="L282" s="94" t="s">
        <v>886</v>
      </c>
      <c r="M282" s="94" t="s">
        <v>845</v>
      </c>
      <c r="N282" s="94" t="s">
        <v>41</v>
      </c>
      <c r="O282" s="94" t="s">
        <v>42</v>
      </c>
      <c r="P282" s="94" t="s">
        <v>100</v>
      </c>
      <c r="Q282" s="94" t="s">
        <v>846</v>
      </c>
      <c r="R282" s="94" t="s">
        <v>40</v>
      </c>
      <c r="S282" s="98"/>
      <c r="T282" s="94"/>
      <c r="U282" s="94"/>
      <c r="V282" s="70"/>
      <c r="W282" s="73" t="str">
        <f t="shared" si="2"/>
        <v/>
      </c>
      <c r="X282" s="73" t="str">
        <f t="shared" si="3"/>
        <v/>
      </c>
      <c r="Y282" s="73" t="str">
        <f t="shared" si="4"/>
        <v>X</v>
      </c>
      <c r="Z282" s="73" t="str">
        <f t="shared" si="5"/>
        <v/>
      </c>
      <c r="AA282" s="73" t="s">
        <v>28</v>
      </c>
      <c r="AB282" s="73" t="str">
        <f t="shared" si="6"/>
        <v>Trim 3</v>
      </c>
      <c r="AC282" s="73">
        <f t="shared" si="7"/>
        <v>0</v>
      </c>
      <c r="AD282" s="73">
        <f t="shared" si="8"/>
        <v>0</v>
      </c>
      <c r="AE282" s="73"/>
      <c r="AF282" s="73"/>
      <c r="AG282" s="73"/>
      <c r="AH282" s="73"/>
      <c r="AI282" s="73"/>
    </row>
    <row r="283" spans="1:35" ht="105">
      <c r="A283" s="94" t="s">
        <v>839</v>
      </c>
      <c r="B283" s="94">
        <v>7</v>
      </c>
      <c r="C283" s="94" t="s">
        <v>897</v>
      </c>
      <c r="D283" s="96">
        <v>0.15</v>
      </c>
      <c r="E283" s="94" t="s">
        <v>906</v>
      </c>
      <c r="F283" s="95" t="s">
        <v>907</v>
      </c>
      <c r="G283" s="98">
        <v>1.25E-3</v>
      </c>
      <c r="H283" s="95" t="s">
        <v>902</v>
      </c>
      <c r="I283" s="94" t="s">
        <v>843</v>
      </c>
      <c r="J283" s="94" t="s">
        <v>900</v>
      </c>
      <c r="K283" s="94" t="s">
        <v>39</v>
      </c>
      <c r="L283" s="94" t="s">
        <v>886</v>
      </c>
      <c r="M283" s="94" t="s">
        <v>845</v>
      </c>
      <c r="N283" s="94" t="s">
        <v>41</v>
      </c>
      <c r="O283" s="94" t="s">
        <v>42</v>
      </c>
      <c r="P283" s="94" t="s">
        <v>100</v>
      </c>
      <c r="Q283" s="94" t="s">
        <v>846</v>
      </c>
      <c r="R283" s="94" t="s">
        <v>40</v>
      </c>
      <c r="S283" s="98"/>
      <c r="T283" s="94"/>
      <c r="U283" s="94"/>
      <c r="V283" s="70"/>
      <c r="W283" s="73" t="str">
        <f t="shared" si="2"/>
        <v/>
      </c>
      <c r="X283" s="73" t="str">
        <f t="shared" si="3"/>
        <v/>
      </c>
      <c r="Y283" s="73" t="str">
        <f t="shared" si="4"/>
        <v/>
      </c>
      <c r="Z283" s="73" t="str">
        <f t="shared" si="5"/>
        <v>X</v>
      </c>
      <c r="AA283" s="73" t="s">
        <v>29</v>
      </c>
      <c r="AB283" s="73" t="str">
        <f t="shared" si="6"/>
        <v>Trim 4</v>
      </c>
      <c r="AC283" s="73">
        <f t="shared" si="7"/>
        <v>0</v>
      </c>
      <c r="AD283" s="73">
        <f t="shared" si="8"/>
        <v>0</v>
      </c>
      <c r="AE283" s="73"/>
      <c r="AF283" s="73"/>
      <c r="AG283" s="73"/>
      <c r="AH283" s="73"/>
      <c r="AI283" s="73"/>
    </row>
    <row r="284" spans="1:35" ht="105">
      <c r="A284" s="94" t="s">
        <v>839</v>
      </c>
      <c r="B284" s="94">
        <v>7</v>
      </c>
      <c r="C284" s="94" t="s">
        <v>897</v>
      </c>
      <c r="D284" s="96">
        <v>0.15</v>
      </c>
      <c r="E284" s="94" t="s">
        <v>908</v>
      </c>
      <c r="F284" s="95" t="s">
        <v>909</v>
      </c>
      <c r="G284" s="98">
        <v>3.5000000000000003E-2</v>
      </c>
      <c r="H284" s="95" t="s">
        <v>910</v>
      </c>
      <c r="I284" s="94" t="s">
        <v>843</v>
      </c>
      <c r="J284" s="94" t="s">
        <v>911</v>
      </c>
      <c r="K284" s="94" t="s">
        <v>109</v>
      </c>
      <c r="L284" s="94" t="s">
        <v>886</v>
      </c>
      <c r="M284" s="94" t="s">
        <v>845</v>
      </c>
      <c r="N284" s="94" t="s">
        <v>41</v>
      </c>
      <c r="O284" s="94" t="s">
        <v>42</v>
      </c>
      <c r="P284" s="94" t="s">
        <v>100</v>
      </c>
      <c r="Q284" s="94" t="s">
        <v>846</v>
      </c>
      <c r="R284" s="94" t="s">
        <v>40</v>
      </c>
      <c r="S284" s="98"/>
      <c r="T284" s="94"/>
      <c r="U284" s="94"/>
      <c r="V284" s="70"/>
      <c r="W284" s="73" t="str">
        <f t="shared" si="2"/>
        <v/>
      </c>
      <c r="X284" s="73" t="str">
        <f t="shared" si="3"/>
        <v>X</v>
      </c>
      <c r="Y284" s="73" t="str">
        <f t="shared" si="4"/>
        <v/>
      </c>
      <c r="Z284" s="73" t="str">
        <f t="shared" si="5"/>
        <v/>
      </c>
      <c r="AA284" s="73" t="s">
        <v>27</v>
      </c>
      <c r="AB284" s="73" t="str">
        <f t="shared" si="6"/>
        <v>Trim 2</v>
      </c>
      <c r="AC284" s="73">
        <f t="shared" si="7"/>
        <v>0</v>
      </c>
      <c r="AD284" s="73">
        <f t="shared" si="8"/>
        <v>0</v>
      </c>
      <c r="AE284" s="73"/>
      <c r="AF284" s="73"/>
      <c r="AG284" s="73"/>
      <c r="AH284" s="73"/>
      <c r="AI284" s="73"/>
    </row>
    <row r="285" spans="1:35" ht="105">
      <c r="A285" s="94" t="s">
        <v>839</v>
      </c>
      <c r="B285" s="94">
        <v>7</v>
      </c>
      <c r="C285" s="94" t="s">
        <v>897</v>
      </c>
      <c r="D285" s="96">
        <v>0.15</v>
      </c>
      <c r="E285" s="94" t="s">
        <v>912</v>
      </c>
      <c r="F285" s="95" t="s">
        <v>913</v>
      </c>
      <c r="G285" s="98">
        <v>5.0000000000000001E-3</v>
      </c>
      <c r="H285" s="95" t="s">
        <v>914</v>
      </c>
      <c r="I285" s="94" t="s">
        <v>843</v>
      </c>
      <c r="J285" s="94" t="s">
        <v>900</v>
      </c>
      <c r="K285" s="94" t="s">
        <v>111</v>
      </c>
      <c r="L285" s="94" t="s">
        <v>886</v>
      </c>
      <c r="M285" s="94" t="s">
        <v>845</v>
      </c>
      <c r="N285" s="94" t="s">
        <v>41</v>
      </c>
      <c r="O285" s="94" t="s">
        <v>42</v>
      </c>
      <c r="P285" s="94" t="s">
        <v>100</v>
      </c>
      <c r="Q285" s="94" t="s">
        <v>846</v>
      </c>
      <c r="R285" s="94" t="s">
        <v>40</v>
      </c>
      <c r="S285" s="98"/>
      <c r="T285" s="94"/>
      <c r="U285" s="94"/>
      <c r="V285" s="70"/>
      <c r="W285" s="73" t="str">
        <f t="shared" si="2"/>
        <v/>
      </c>
      <c r="X285" s="73" t="str">
        <f t="shared" si="3"/>
        <v>X</v>
      </c>
      <c r="Y285" s="73" t="str">
        <f t="shared" si="4"/>
        <v/>
      </c>
      <c r="Z285" s="73" t="str">
        <f t="shared" si="5"/>
        <v/>
      </c>
      <c r="AA285" s="73" t="s">
        <v>27</v>
      </c>
      <c r="AB285" s="73" t="str">
        <f t="shared" si="6"/>
        <v>Trim 2</v>
      </c>
      <c r="AC285" s="73">
        <f t="shared" si="7"/>
        <v>0</v>
      </c>
      <c r="AD285" s="73">
        <f t="shared" si="8"/>
        <v>0</v>
      </c>
      <c r="AE285" s="73"/>
      <c r="AF285" s="73"/>
      <c r="AG285" s="73"/>
      <c r="AH285" s="73"/>
      <c r="AI285" s="73"/>
    </row>
    <row r="286" spans="1:35" ht="105">
      <c r="A286" s="94" t="s">
        <v>839</v>
      </c>
      <c r="B286" s="94">
        <v>7</v>
      </c>
      <c r="C286" s="94" t="s">
        <v>897</v>
      </c>
      <c r="D286" s="96">
        <v>0.15</v>
      </c>
      <c r="E286" s="94" t="s">
        <v>915</v>
      </c>
      <c r="F286" s="95" t="s">
        <v>916</v>
      </c>
      <c r="G286" s="98">
        <v>5.0000000000000001E-3</v>
      </c>
      <c r="H286" s="95" t="s">
        <v>917</v>
      </c>
      <c r="I286" s="94" t="s">
        <v>843</v>
      </c>
      <c r="J286" s="94" t="s">
        <v>900</v>
      </c>
      <c r="K286" s="94" t="s">
        <v>39</v>
      </c>
      <c r="L286" s="94" t="s">
        <v>886</v>
      </c>
      <c r="M286" s="94" t="s">
        <v>845</v>
      </c>
      <c r="N286" s="94" t="s">
        <v>41</v>
      </c>
      <c r="O286" s="94" t="s">
        <v>42</v>
      </c>
      <c r="P286" s="94" t="s">
        <v>100</v>
      </c>
      <c r="Q286" s="94" t="s">
        <v>846</v>
      </c>
      <c r="R286" s="94" t="s">
        <v>40</v>
      </c>
      <c r="S286" s="98"/>
      <c r="T286" s="94"/>
      <c r="U286" s="94"/>
      <c r="V286" s="70"/>
      <c r="W286" s="73" t="str">
        <f t="shared" si="2"/>
        <v/>
      </c>
      <c r="X286" s="73" t="str">
        <f t="shared" si="3"/>
        <v/>
      </c>
      <c r="Y286" s="73" t="str">
        <f t="shared" si="4"/>
        <v/>
      </c>
      <c r="Z286" s="73" t="str">
        <f t="shared" si="5"/>
        <v>X</v>
      </c>
      <c r="AA286" s="73" t="s">
        <v>29</v>
      </c>
      <c r="AB286" s="73" t="str">
        <f t="shared" si="6"/>
        <v>Trim 4</v>
      </c>
      <c r="AC286" s="73">
        <f t="shared" si="7"/>
        <v>0</v>
      </c>
      <c r="AD286" s="73">
        <f t="shared" si="8"/>
        <v>0</v>
      </c>
      <c r="AE286" s="73"/>
      <c r="AF286" s="73"/>
      <c r="AG286" s="73"/>
      <c r="AH286" s="73"/>
      <c r="AI286" s="73"/>
    </row>
    <row r="287" spans="1:35" ht="105">
      <c r="A287" s="94" t="s">
        <v>839</v>
      </c>
      <c r="B287" s="94">
        <v>7</v>
      </c>
      <c r="C287" s="94" t="s">
        <v>897</v>
      </c>
      <c r="D287" s="96">
        <v>0.15</v>
      </c>
      <c r="E287" s="94" t="s">
        <v>918</v>
      </c>
      <c r="F287" s="95" t="s">
        <v>919</v>
      </c>
      <c r="G287" s="98">
        <v>0.05</v>
      </c>
      <c r="H287" s="95" t="s">
        <v>920</v>
      </c>
      <c r="I287" s="94" t="s">
        <v>843</v>
      </c>
      <c r="J287" s="94" t="s">
        <v>921</v>
      </c>
      <c r="K287" s="94" t="s">
        <v>45</v>
      </c>
      <c r="L287" s="94" t="s">
        <v>886</v>
      </c>
      <c r="M287" s="94" t="s">
        <v>845</v>
      </c>
      <c r="N287" s="94" t="s">
        <v>41</v>
      </c>
      <c r="O287" s="94" t="s">
        <v>42</v>
      </c>
      <c r="P287" s="94" t="s">
        <v>100</v>
      </c>
      <c r="Q287" s="94" t="s">
        <v>846</v>
      </c>
      <c r="R287" s="94" t="s">
        <v>40</v>
      </c>
      <c r="S287" s="111">
        <v>3.2000000000000001E-2</v>
      </c>
      <c r="T287" s="94" t="s">
        <v>45</v>
      </c>
      <c r="U287" s="94"/>
      <c r="V287" s="70"/>
      <c r="W287" s="73" t="str">
        <f t="shared" si="2"/>
        <v>X</v>
      </c>
      <c r="X287" s="73" t="str">
        <f t="shared" si="3"/>
        <v/>
      </c>
      <c r="Y287" s="73" t="str">
        <f t="shared" si="4"/>
        <v/>
      </c>
      <c r="Z287" s="73" t="str">
        <f t="shared" si="5"/>
        <v/>
      </c>
      <c r="AA287" s="73" t="s">
        <v>26</v>
      </c>
      <c r="AB287" s="73" t="str">
        <f t="shared" si="6"/>
        <v>Trim 1</v>
      </c>
      <c r="AC287" s="73">
        <f t="shared" si="7"/>
        <v>0</v>
      </c>
      <c r="AD287" s="73">
        <f t="shared" si="8"/>
        <v>1</v>
      </c>
      <c r="AE287" s="73"/>
      <c r="AF287" s="73"/>
      <c r="AG287" s="73"/>
      <c r="AH287" s="73"/>
      <c r="AI287" s="73"/>
    </row>
    <row r="288" spans="1:35" ht="105">
      <c r="A288" s="94" t="s">
        <v>839</v>
      </c>
      <c r="B288" s="94">
        <v>8</v>
      </c>
      <c r="C288" s="94" t="s">
        <v>922</v>
      </c>
      <c r="D288" s="96">
        <v>0.05</v>
      </c>
      <c r="E288" s="94" t="s">
        <v>660</v>
      </c>
      <c r="F288" s="95" t="s">
        <v>923</v>
      </c>
      <c r="G288" s="98">
        <v>2.5000000000000001E-2</v>
      </c>
      <c r="H288" s="95" t="s">
        <v>924</v>
      </c>
      <c r="I288" s="94" t="s">
        <v>843</v>
      </c>
      <c r="J288" s="94" t="s">
        <v>925</v>
      </c>
      <c r="K288" s="94" t="s">
        <v>109</v>
      </c>
      <c r="L288" s="94" t="s">
        <v>886</v>
      </c>
      <c r="M288" s="94" t="s">
        <v>845</v>
      </c>
      <c r="N288" s="94" t="s">
        <v>41</v>
      </c>
      <c r="O288" s="94" t="s">
        <v>42</v>
      </c>
      <c r="P288" s="94" t="s">
        <v>100</v>
      </c>
      <c r="Q288" s="94" t="s">
        <v>846</v>
      </c>
      <c r="R288" s="94" t="s">
        <v>40</v>
      </c>
      <c r="S288" s="98"/>
      <c r="T288" s="94"/>
      <c r="U288" s="94"/>
      <c r="V288" s="70"/>
      <c r="W288" s="73" t="str">
        <f t="shared" si="2"/>
        <v/>
      </c>
      <c r="X288" s="73" t="str">
        <f t="shared" si="3"/>
        <v>X</v>
      </c>
      <c r="Y288" s="73" t="str">
        <f t="shared" si="4"/>
        <v/>
      </c>
      <c r="Z288" s="73" t="str">
        <f t="shared" si="5"/>
        <v/>
      </c>
      <c r="AA288" s="73" t="s">
        <v>27</v>
      </c>
      <c r="AB288" s="73" t="str">
        <f t="shared" si="6"/>
        <v>Trim 2</v>
      </c>
      <c r="AC288" s="73">
        <f t="shared" si="7"/>
        <v>0</v>
      </c>
      <c r="AD288" s="73">
        <f t="shared" si="8"/>
        <v>0</v>
      </c>
      <c r="AE288" s="73"/>
      <c r="AF288" s="73"/>
      <c r="AG288" s="73"/>
      <c r="AH288" s="73"/>
      <c r="AI288" s="73"/>
    </row>
    <row r="289" spans="1:35" ht="105">
      <c r="A289" s="94" t="s">
        <v>839</v>
      </c>
      <c r="B289" s="94">
        <v>8</v>
      </c>
      <c r="C289" s="94" t="s">
        <v>922</v>
      </c>
      <c r="D289" s="96">
        <v>0.05</v>
      </c>
      <c r="E289" s="94" t="s">
        <v>665</v>
      </c>
      <c r="F289" s="95" t="s">
        <v>926</v>
      </c>
      <c r="G289" s="98">
        <v>2.5000000000000001E-2</v>
      </c>
      <c r="H289" s="95" t="s">
        <v>927</v>
      </c>
      <c r="I289" s="94" t="s">
        <v>843</v>
      </c>
      <c r="J289" s="94" t="s">
        <v>928</v>
      </c>
      <c r="K289" s="94" t="s">
        <v>39</v>
      </c>
      <c r="L289" s="94" t="s">
        <v>886</v>
      </c>
      <c r="M289" s="94" t="s">
        <v>845</v>
      </c>
      <c r="N289" s="94" t="s">
        <v>41</v>
      </c>
      <c r="O289" s="94" t="s">
        <v>42</v>
      </c>
      <c r="P289" s="94" t="s">
        <v>100</v>
      </c>
      <c r="Q289" s="94" t="s">
        <v>846</v>
      </c>
      <c r="R289" s="94" t="s">
        <v>40</v>
      </c>
      <c r="S289" s="98"/>
      <c r="T289" s="94"/>
      <c r="U289" s="94"/>
      <c r="V289" s="70"/>
      <c r="W289" s="73" t="str">
        <f t="shared" si="2"/>
        <v/>
      </c>
      <c r="X289" s="73" t="str">
        <f t="shared" si="3"/>
        <v/>
      </c>
      <c r="Y289" s="73" t="str">
        <f t="shared" si="4"/>
        <v/>
      </c>
      <c r="Z289" s="73" t="str">
        <f t="shared" si="5"/>
        <v>X</v>
      </c>
      <c r="AA289" s="73" t="s">
        <v>29</v>
      </c>
      <c r="AB289" s="73" t="str">
        <f t="shared" si="6"/>
        <v>Trim 4</v>
      </c>
      <c r="AC289" s="73">
        <f t="shared" si="7"/>
        <v>0</v>
      </c>
      <c r="AD289" s="73">
        <f t="shared" si="8"/>
        <v>0</v>
      </c>
      <c r="AE289" s="73"/>
      <c r="AF289" s="73"/>
      <c r="AG289" s="73"/>
      <c r="AH289" s="73"/>
      <c r="AI289" s="73"/>
    </row>
    <row r="290" spans="1:35" ht="75">
      <c r="A290" s="94" t="s">
        <v>929</v>
      </c>
      <c r="B290" s="94">
        <v>1</v>
      </c>
      <c r="C290" s="94" t="s">
        <v>930</v>
      </c>
      <c r="D290" s="96">
        <v>0.15</v>
      </c>
      <c r="E290" s="94" t="s">
        <v>34</v>
      </c>
      <c r="F290" s="94" t="s">
        <v>931</v>
      </c>
      <c r="G290" s="98">
        <v>0.02</v>
      </c>
      <c r="H290" s="94" t="s">
        <v>932</v>
      </c>
      <c r="I290" s="94" t="s">
        <v>933</v>
      </c>
      <c r="J290" s="94" t="s">
        <v>934</v>
      </c>
      <c r="K290" s="94" t="s">
        <v>45</v>
      </c>
      <c r="L290" s="94" t="s">
        <v>40</v>
      </c>
      <c r="M290" s="94" t="s">
        <v>40</v>
      </c>
      <c r="N290" s="94" t="s">
        <v>41</v>
      </c>
      <c r="O290" s="94" t="s">
        <v>42</v>
      </c>
      <c r="P290" s="94" t="s">
        <v>495</v>
      </c>
      <c r="Q290" s="94" t="s">
        <v>935</v>
      </c>
      <c r="R290" s="94" t="s">
        <v>40</v>
      </c>
      <c r="S290" s="98"/>
      <c r="T290" s="94"/>
      <c r="U290" s="94"/>
      <c r="V290" s="70"/>
      <c r="W290" s="73" t="str">
        <f t="shared" si="2"/>
        <v>X</v>
      </c>
      <c r="X290" s="73" t="str">
        <f t="shared" si="3"/>
        <v/>
      </c>
      <c r="Y290" s="73" t="str">
        <f t="shared" si="4"/>
        <v/>
      </c>
      <c r="Z290" s="73" t="str">
        <f t="shared" si="5"/>
        <v/>
      </c>
      <c r="AA290" s="73" t="s">
        <v>26</v>
      </c>
      <c r="AB290" s="73" t="str">
        <f t="shared" si="6"/>
        <v>Trim 1</v>
      </c>
      <c r="AC290" s="73">
        <f t="shared" si="7"/>
        <v>0</v>
      </c>
      <c r="AD290" s="73">
        <f t="shared" si="8"/>
        <v>1</v>
      </c>
      <c r="AE290" s="73"/>
      <c r="AF290" s="73"/>
      <c r="AG290" s="73"/>
      <c r="AH290" s="73"/>
      <c r="AI290" s="73"/>
    </row>
    <row r="291" spans="1:35" ht="75">
      <c r="A291" s="94" t="s">
        <v>929</v>
      </c>
      <c r="B291" s="94">
        <v>1</v>
      </c>
      <c r="C291" s="94" t="s">
        <v>930</v>
      </c>
      <c r="D291" s="96">
        <v>0.15</v>
      </c>
      <c r="E291" s="94" t="s">
        <v>47</v>
      </c>
      <c r="F291" s="94" t="s">
        <v>936</v>
      </c>
      <c r="G291" s="98">
        <v>0.02</v>
      </c>
      <c r="H291" s="94" t="s">
        <v>937</v>
      </c>
      <c r="I291" s="94" t="s">
        <v>938</v>
      </c>
      <c r="J291" s="94" t="s">
        <v>934</v>
      </c>
      <c r="K291" s="94" t="s">
        <v>111</v>
      </c>
      <c r="L291" s="94" t="s">
        <v>939</v>
      </c>
      <c r="M291" s="94" t="s">
        <v>40</v>
      </c>
      <c r="N291" s="94" t="s">
        <v>41</v>
      </c>
      <c r="O291" s="94" t="s">
        <v>42</v>
      </c>
      <c r="P291" s="94" t="s">
        <v>495</v>
      </c>
      <c r="Q291" s="94" t="s">
        <v>935</v>
      </c>
      <c r="R291" s="94" t="s">
        <v>40</v>
      </c>
      <c r="S291" s="98"/>
      <c r="T291" s="94"/>
      <c r="U291" s="94"/>
      <c r="V291" s="70"/>
      <c r="W291" s="73" t="str">
        <f t="shared" si="2"/>
        <v/>
      </c>
      <c r="X291" s="73" t="str">
        <f t="shared" si="3"/>
        <v>X</v>
      </c>
      <c r="Y291" s="73" t="str">
        <f t="shared" si="4"/>
        <v/>
      </c>
      <c r="Z291" s="73" t="str">
        <f t="shared" si="5"/>
        <v/>
      </c>
      <c r="AA291" s="73" t="s">
        <v>27</v>
      </c>
      <c r="AB291" s="73" t="str">
        <f t="shared" si="6"/>
        <v>Trim 2</v>
      </c>
      <c r="AC291" s="73">
        <f t="shared" si="7"/>
        <v>0</v>
      </c>
      <c r="AD291" s="73">
        <f t="shared" si="8"/>
        <v>0</v>
      </c>
      <c r="AE291" s="73"/>
      <c r="AF291" s="73"/>
      <c r="AG291" s="73"/>
      <c r="AH291" s="73"/>
      <c r="AI291" s="73"/>
    </row>
    <row r="292" spans="1:35" ht="75">
      <c r="A292" s="94" t="s">
        <v>929</v>
      </c>
      <c r="B292" s="94">
        <v>1</v>
      </c>
      <c r="C292" s="94" t="s">
        <v>930</v>
      </c>
      <c r="D292" s="96">
        <v>0.15</v>
      </c>
      <c r="E292" s="94" t="s">
        <v>49</v>
      </c>
      <c r="F292" s="94" t="s">
        <v>940</v>
      </c>
      <c r="G292" s="98">
        <v>0.02</v>
      </c>
      <c r="H292" s="94" t="s">
        <v>941</v>
      </c>
      <c r="I292" s="94" t="s">
        <v>942</v>
      </c>
      <c r="J292" s="94" t="s">
        <v>934</v>
      </c>
      <c r="K292" s="94" t="s">
        <v>39</v>
      </c>
      <c r="L292" s="94" t="s">
        <v>939</v>
      </c>
      <c r="M292" s="94" t="s">
        <v>40</v>
      </c>
      <c r="N292" s="94" t="s">
        <v>41</v>
      </c>
      <c r="O292" s="94" t="s">
        <v>42</v>
      </c>
      <c r="P292" s="94" t="s">
        <v>495</v>
      </c>
      <c r="Q292" s="94" t="s">
        <v>935</v>
      </c>
      <c r="R292" s="94" t="s">
        <v>40</v>
      </c>
      <c r="S292" s="98"/>
      <c r="T292" s="94"/>
      <c r="U292" s="94"/>
      <c r="V292" s="70"/>
      <c r="W292" s="73" t="str">
        <f t="shared" si="2"/>
        <v/>
      </c>
      <c r="X292" s="73" t="str">
        <f t="shared" si="3"/>
        <v/>
      </c>
      <c r="Y292" s="73" t="str">
        <f t="shared" si="4"/>
        <v/>
      </c>
      <c r="Z292" s="73" t="str">
        <f t="shared" si="5"/>
        <v>X</v>
      </c>
      <c r="AA292" s="73" t="s">
        <v>29</v>
      </c>
      <c r="AB292" s="73" t="str">
        <f t="shared" si="6"/>
        <v>Trim 4</v>
      </c>
      <c r="AC292" s="73">
        <f t="shared" si="7"/>
        <v>0</v>
      </c>
      <c r="AD292" s="73">
        <f t="shared" si="8"/>
        <v>0</v>
      </c>
      <c r="AE292" s="73"/>
      <c r="AF292" s="73"/>
      <c r="AG292" s="73"/>
      <c r="AH292" s="73"/>
      <c r="AI292" s="73"/>
    </row>
    <row r="293" spans="1:35" ht="75">
      <c r="A293" s="94" t="s">
        <v>929</v>
      </c>
      <c r="B293" s="94">
        <v>1</v>
      </c>
      <c r="C293" s="94" t="s">
        <v>930</v>
      </c>
      <c r="D293" s="96">
        <v>0.15</v>
      </c>
      <c r="E293" s="94" t="s">
        <v>52</v>
      </c>
      <c r="F293" s="94" t="s">
        <v>943</v>
      </c>
      <c r="G293" s="98">
        <v>0.02</v>
      </c>
      <c r="H293" s="94" t="s">
        <v>944</v>
      </c>
      <c r="I293" s="94" t="s">
        <v>945</v>
      </c>
      <c r="J293" s="94" t="s">
        <v>934</v>
      </c>
      <c r="K293" s="94" t="s">
        <v>111</v>
      </c>
      <c r="L293" s="94" t="s">
        <v>939</v>
      </c>
      <c r="M293" s="94" t="s">
        <v>40</v>
      </c>
      <c r="N293" s="94" t="s">
        <v>41</v>
      </c>
      <c r="O293" s="94" t="s">
        <v>42</v>
      </c>
      <c r="P293" s="94" t="s">
        <v>495</v>
      </c>
      <c r="Q293" s="94" t="s">
        <v>935</v>
      </c>
      <c r="R293" s="94" t="s">
        <v>40</v>
      </c>
      <c r="S293" s="98"/>
      <c r="T293" s="94"/>
      <c r="U293" s="94"/>
      <c r="V293" s="70"/>
      <c r="W293" s="73" t="str">
        <f t="shared" si="2"/>
        <v/>
      </c>
      <c r="X293" s="73" t="str">
        <f t="shared" si="3"/>
        <v>X</v>
      </c>
      <c r="Y293" s="73" t="str">
        <f t="shared" si="4"/>
        <v/>
      </c>
      <c r="Z293" s="73" t="str">
        <f t="shared" si="5"/>
        <v/>
      </c>
      <c r="AA293" s="73" t="s">
        <v>27</v>
      </c>
      <c r="AB293" s="73" t="str">
        <f t="shared" si="6"/>
        <v>Trim 2</v>
      </c>
      <c r="AC293" s="73">
        <f t="shared" si="7"/>
        <v>0</v>
      </c>
      <c r="AD293" s="73">
        <f t="shared" si="8"/>
        <v>0</v>
      </c>
      <c r="AE293" s="73"/>
      <c r="AF293" s="73"/>
      <c r="AG293" s="73"/>
      <c r="AH293" s="73"/>
      <c r="AI293" s="73"/>
    </row>
    <row r="294" spans="1:35" ht="75">
      <c r="A294" s="94" t="s">
        <v>929</v>
      </c>
      <c r="B294" s="94">
        <v>1</v>
      </c>
      <c r="C294" s="94" t="s">
        <v>930</v>
      </c>
      <c r="D294" s="96">
        <v>0.15</v>
      </c>
      <c r="E294" s="94" t="s">
        <v>184</v>
      </c>
      <c r="F294" s="94" t="s">
        <v>946</v>
      </c>
      <c r="G294" s="98">
        <v>0.03</v>
      </c>
      <c r="H294" s="94" t="s">
        <v>944</v>
      </c>
      <c r="I294" s="94" t="s">
        <v>945</v>
      </c>
      <c r="J294" s="94" t="s">
        <v>934</v>
      </c>
      <c r="K294" s="94" t="s">
        <v>115</v>
      </c>
      <c r="L294" s="94" t="s">
        <v>939</v>
      </c>
      <c r="M294" s="94" t="s">
        <v>40</v>
      </c>
      <c r="N294" s="94" t="s">
        <v>41</v>
      </c>
      <c r="O294" s="94" t="s">
        <v>42</v>
      </c>
      <c r="P294" s="94" t="s">
        <v>495</v>
      </c>
      <c r="Q294" s="94" t="s">
        <v>935</v>
      </c>
      <c r="R294" s="94" t="s">
        <v>40</v>
      </c>
      <c r="S294" s="98"/>
      <c r="T294" s="94"/>
      <c r="U294" s="94"/>
      <c r="V294" s="70"/>
      <c r="W294" s="73" t="str">
        <f t="shared" si="2"/>
        <v/>
      </c>
      <c r="X294" s="73" t="str">
        <f t="shared" si="3"/>
        <v/>
      </c>
      <c r="Y294" s="73" t="str">
        <f t="shared" si="4"/>
        <v>X</v>
      </c>
      <c r="Z294" s="73" t="str">
        <f t="shared" si="5"/>
        <v/>
      </c>
      <c r="AA294" s="73" t="s">
        <v>28</v>
      </c>
      <c r="AB294" s="73" t="str">
        <f t="shared" si="6"/>
        <v>Trim 3</v>
      </c>
      <c r="AC294" s="73">
        <f t="shared" si="7"/>
        <v>0</v>
      </c>
      <c r="AD294" s="73">
        <f t="shared" si="8"/>
        <v>0</v>
      </c>
      <c r="AE294" s="73"/>
      <c r="AF294" s="73"/>
      <c r="AG294" s="73"/>
      <c r="AH294" s="73"/>
      <c r="AI294" s="73"/>
    </row>
    <row r="295" spans="1:35" ht="75">
      <c r="A295" s="94" t="s">
        <v>929</v>
      </c>
      <c r="B295" s="94">
        <v>1</v>
      </c>
      <c r="C295" s="94" t="s">
        <v>930</v>
      </c>
      <c r="D295" s="96">
        <v>0.15</v>
      </c>
      <c r="E295" s="94" t="s">
        <v>189</v>
      </c>
      <c r="F295" s="94" t="s">
        <v>947</v>
      </c>
      <c r="G295" s="98">
        <v>0.03</v>
      </c>
      <c r="H295" s="94" t="s">
        <v>944</v>
      </c>
      <c r="I295" s="94" t="s">
        <v>945</v>
      </c>
      <c r="J295" s="94" t="s">
        <v>934</v>
      </c>
      <c r="K295" s="94" t="s">
        <v>39</v>
      </c>
      <c r="L295" s="94" t="s">
        <v>939</v>
      </c>
      <c r="M295" s="94" t="s">
        <v>40</v>
      </c>
      <c r="N295" s="94" t="s">
        <v>41</v>
      </c>
      <c r="O295" s="94" t="s">
        <v>42</v>
      </c>
      <c r="P295" s="94" t="s">
        <v>495</v>
      </c>
      <c r="Q295" s="94" t="s">
        <v>935</v>
      </c>
      <c r="R295" s="94" t="s">
        <v>40</v>
      </c>
      <c r="S295" s="98"/>
      <c r="T295" s="94"/>
      <c r="U295" s="94"/>
      <c r="V295" s="70"/>
      <c r="W295" s="73" t="str">
        <f t="shared" si="2"/>
        <v/>
      </c>
      <c r="X295" s="73" t="str">
        <f t="shared" si="3"/>
        <v/>
      </c>
      <c r="Y295" s="73" t="str">
        <f t="shared" si="4"/>
        <v/>
      </c>
      <c r="Z295" s="73" t="str">
        <f t="shared" si="5"/>
        <v>X</v>
      </c>
      <c r="AA295" s="73" t="s">
        <v>29</v>
      </c>
      <c r="AB295" s="73" t="str">
        <f t="shared" si="6"/>
        <v>Trim 4</v>
      </c>
      <c r="AC295" s="73">
        <f t="shared" si="7"/>
        <v>0</v>
      </c>
      <c r="AD295" s="73">
        <f t="shared" si="8"/>
        <v>0</v>
      </c>
      <c r="AE295" s="73"/>
      <c r="AF295" s="73"/>
      <c r="AG295" s="73"/>
      <c r="AH295" s="73"/>
      <c r="AI295" s="73"/>
    </row>
    <row r="296" spans="1:35" ht="75">
      <c r="A296" s="94" t="s">
        <v>929</v>
      </c>
      <c r="B296" s="94">
        <v>1</v>
      </c>
      <c r="C296" s="94" t="s">
        <v>930</v>
      </c>
      <c r="D296" s="96">
        <v>0.15</v>
      </c>
      <c r="E296" s="94" t="s">
        <v>195</v>
      </c>
      <c r="F296" s="94" t="s">
        <v>948</v>
      </c>
      <c r="G296" s="98">
        <v>2.5000000000000001E-3</v>
      </c>
      <c r="H296" s="94" t="s">
        <v>944</v>
      </c>
      <c r="I296" s="94" t="s">
        <v>949</v>
      </c>
      <c r="J296" s="94" t="s">
        <v>934</v>
      </c>
      <c r="K296" s="94" t="s">
        <v>45</v>
      </c>
      <c r="L296" s="94" t="s">
        <v>40</v>
      </c>
      <c r="M296" s="94" t="s">
        <v>40</v>
      </c>
      <c r="N296" s="94" t="s">
        <v>41</v>
      </c>
      <c r="O296" s="94" t="s">
        <v>42</v>
      </c>
      <c r="P296" s="94" t="s">
        <v>495</v>
      </c>
      <c r="Q296" s="94" t="s">
        <v>935</v>
      </c>
      <c r="R296" s="94" t="s">
        <v>40</v>
      </c>
      <c r="S296" s="98"/>
      <c r="T296" s="94"/>
      <c r="U296" s="94"/>
      <c r="V296" s="70"/>
      <c r="W296" s="73" t="str">
        <f t="shared" si="2"/>
        <v>X</v>
      </c>
      <c r="X296" s="73" t="str">
        <f t="shared" si="3"/>
        <v/>
      </c>
      <c r="Y296" s="73" t="str">
        <f t="shared" si="4"/>
        <v/>
      </c>
      <c r="Z296" s="73" t="str">
        <f t="shared" si="5"/>
        <v/>
      </c>
      <c r="AA296" s="73" t="s">
        <v>26</v>
      </c>
      <c r="AB296" s="73" t="str">
        <f t="shared" si="6"/>
        <v>Trim 1</v>
      </c>
      <c r="AC296" s="73">
        <f t="shared" si="7"/>
        <v>0</v>
      </c>
      <c r="AD296" s="73">
        <f t="shared" si="8"/>
        <v>1</v>
      </c>
      <c r="AE296" s="73"/>
      <c r="AF296" s="73"/>
      <c r="AG296" s="73"/>
      <c r="AH296" s="73"/>
      <c r="AI296" s="73"/>
    </row>
    <row r="297" spans="1:35" ht="75">
      <c r="A297" s="94" t="s">
        <v>929</v>
      </c>
      <c r="B297" s="94">
        <v>1</v>
      </c>
      <c r="C297" s="94" t="s">
        <v>930</v>
      </c>
      <c r="D297" s="96">
        <v>0.15</v>
      </c>
      <c r="E297" s="94" t="s">
        <v>201</v>
      </c>
      <c r="F297" s="94" t="s">
        <v>950</v>
      </c>
      <c r="G297" s="98">
        <v>2.5000000000000001E-3</v>
      </c>
      <c r="H297" s="94" t="s">
        <v>944</v>
      </c>
      <c r="I297" s="94" t="s">
        <v>949</v>
      </c>
      <c r="J297" s="94" t="s">
        <v>934</v>
      </c>
      <c r="K297" s="94" t="s">
        <v>111</v>
      </c>
      <c r="L297" s="94" t="s">
        <v>40</v>
      </c>
      <c r="M297" s="94" t="s">
        <v>40</v>
      </c>
      <c r="N297" s="94" t="s">
        <v>41</v>
      </c>
      <c r="O297" s="94" t="s">
        <v>42</v>
      </c>
      <c r="P297" s="94" t="s">
        <v>495</v>
      </c>
      <c r="Q297" s="94" t="s">
        <v>935</v>
      </c>
      <c r="R297" s="94" t="s">
        <v>40</v>
      </c>
      <c r="S297" s="98"/>
      <c r="T297" s="94"/>
      <c r="U297" s="94"/>
      <c r="V297" s="70"/>
      <c r="W297" s="73" t="str">
        <f t="shared" si="2"/>
        <v/>
      </c>
      <c r="X297" s="73" t="str">
        <f t="shared" si="3"/>
        <v>X</v>
      </c>
      <c r="Y297" s="73" t="str">
        <f t="shared" si="4"/>
        <v/>
      </c>
      <c r="Z297" s="73" t="str">
        <f t="shared" si="5"/>
        <v/>
      </c>
      <c r="AA297" s="73" t="s">
        <v>27</v>
      </c>
      <c r="AB297" s="73" t="str">
        <f t="shared" si="6"/>
        <v>Trim 2</v>
      </c>
      <c r="AC297" s="73">
        <f t="shared" si="7"/>
        <v>0</v>
      </c>
      <c r="AD297" s="73">
        <f t="shared" si="8"/>
        <v>0</v>
      </c>
      <c r="AE297" s="73"/>
      <c r="AF297" s="73"/>
      <c r="AG297" s="73"/>
      <c r="AH297" s="73"/>
      <c r="AI297" s="73"/>
    </row>
    <row r="298" spans="1:35" ht="75">
      <c r="A298" s="94" t="s">
        <v>929</v>
      </c>
      <c r="B298" s="94">
        <v>1</v>
      </c>
      <c r="C298" s="94" t="s">
        <v>930</v>
      </c>
      <c r="D298" s="96">
        <v>0.15</v>
      </c>
      <c r="E298" s="94" t="s">
        <v>203</v>
      </c>
      <c r="F298" s="94" t="s">
        <v>951</v>
      </c>
      <c r="G298" s="98">
        <v>2.5000000000000001E-3</v>
      </c>
      <c r="H298" s="94" t="s">
        <v>944</v>
      </c>
      <c r="I298" s="94" t="s">
        <v>949</v>
      </c>
      <c r="J298" s="94" t="s">
        <v>934</v>
      </c>
      <c r="K298" s="94" t="s">
        <v>115</v>
      </c>
      <c r="L298" s="94" t="s">
        <v>40</v>
      </c>
      <c r="M298" s="94" t="s">
        <v>40</v>
      </c>
      <c r="N298" s="94" t="s">
        <v>41</v>
      </c>
      <c r="O298" s="94" t="s">
        <v>42</v>
      </c>
      <c r="P298" s="94" t="s">
        <v>495</v>
      </c>
      <c r="Q298" s="94" t="s">
        <v>935</v>
      </c>
      <c r="R298" s="94" t="s">
        <v>40</v>
      </c>
      <c r="S298" s="98"/>
      <c r="T298" s="94"/>
      <c r="U298" s="94"/>
      <c r="V298" s="70"/>
      <c r="W298" s="73" t="str">
        <f t="shared" si="2"/>
        <v/>
      </c>
      <c r="X298" s="73" t="str">
        <f t="shared" si="3"/>
        <v/>
      </c>
      <c r="Y298" s="73" t="str">
        <f t="shared" si="4"/>
        <v>X</v>
      </c>
      <c r="Z298" s="73" t="str">
        <f t="shared" si="5"/>
        <v/>
      </c>
      <c r="AA298" s="73" t="s">
        <v>28</v>
      </c>
      <c r="AB298" s="73" t="str">
        <f t="shared" si="6"/>
        <v>Trim 3</v>
      </c>
      <c r="AC298" s="73">
        <f t="shared" si="7"/>
        <v>0</v>
      </c>
      <c r="AD298" s="73">
        <f t="shared" si="8"/>
        <v>0</v>
      </c>
      <c r="AE298" s="73"/>
      <c r="AF298" s="73"/>
      <c r="AG298" s="73"/>
      <c r="AH298" s="73"/>
      <c r="AI298" s="73"/>
    </row>
    <row r="299" spans="1:35" ht="75">
      <c r="A299" s="94" t="s">
        <v>929</v>
      </c>
      <c r="B299" s="94">
        <v>1</v>
      </c>
      <c r="C299" s="94" t="s">
        <v>930</v>
      </c>
      <c r="D299" s="96">
        <v>0.15</v>
      </c>
      <c r="E299" s="94" t="s">
        <v>205</v>
      </c>
      <c r="F299" s="94" t="s">
        <v>952</v>
      </c>
      <c r="G299" s="98">
        <v>2.5000000000000001E-3</v>
      </c>
      <c r="H299" s="94" t="s">
        <v>944</v>
      </c>
      <c r="I299" s="94" t="s">
        <v>949</v>
      </c>
      <c r="J299" s="94" t="s">
        <v>934</v>
      </c>
      <c r="K299" s="94" t="s">
        <v>39</v>
      </c>
      <c r="L299" s="94" t="s">
        <v>40</v>
      </c>
      <c r="M299" s="94" t="s">
        <v>40</v>
      </c>
      <c r="N299" s="94" t="s">
        <v>41</v>
      </c>
      <c r="O299" s="94" t="s">
        <v>42</v>
      </c>
      <c r="P299" s="94" t="s">
        <v>495</v>
      </c>
      <c r="Q299" s="94" t="s">
        <v>935</v>
      </c>
      <c r="R299" s="94" t="s">
        <v>40</v>
      </c>
      <c r="S299" s="98"/>
      <c r="T299" s="94"/>
      <c r="U299" s="94"/>
      <c r="V299" s="70"/>
      <c r="W299" s="73" t="str">
        <f t="shared" si="2"/>
        <v/>
      </c>
      <c r="X299" s="73" t="str">
        <f t="shared" si="3"/>
        <v/>
      </c>
      <c r="Y299" s="73" t="str">
        <f t="shared" si="4"/>
        <v/>
      </c>
      <c r="Z299" s="73" t="str">
        <f t="shared" si="5"/>
        <v>X</v>
      </c>
      <c r="AA299" s="73" t="s">
        <v>29</v>
      </c>
      <c r="AB299" s="73" t="str">
        <f t="shared" si="6"/>
        <v>Trim 4</v>
      </c>
      <c r="AC299" s="73">
        <f t="shared" si="7"/>
        <v>0</v>
      </c>
      <c r="AD299" s="73">
        <f t="shared" si="8"/>
        <v>0</v>
      </c>
      <c r="AE299" s="73"/>
      <c r="AF299" s="73"/>
      <c r="AG299" s="73"/>
      <c r="AH299" s="73"/>
      <c r="AI299" s="73"/>
    </row>
    <row r="300" spans="1:35" ht="105">
      <c r="A300" s="94" t="s">
        <v>929</v>
      </c>
      <c r="B300" s="94">
        <v>2</v>
      </c>
      <c r="C300" s="94" t="s">
        <v>953</v>
      </c>
      <c r="D300" s="96">
        <v>0.1</v>
      </c>
      <c r="E300" s="94" t="s">
        <v>56</v>
      </c>
      <c r="F300" s="94" t="s">
        <v>954</v>
      </c>
      <c r="G300" s="98">
        <v>0.01</v>
      </c>
      <c r="H300" s="94" t="s">
        <v>955</v>
      </c>
      <c r="I300" s="94" t="s">
        <v>956</v>
      </c>
      <c r="J300" s="94" t="s">
        <v>934</v>
      </c>
      <c r="K300" s="94" t="s">
        <v>115</v>
      </c>
      <c r="L300" s="94" t="s">
        <v>939</v>
      </c>
      <c r="M300" s="94" t="s">
        <v>957</v>
      </c>
      <c r="N300" s="94" t="s">
        <v>41</v>
      </c>
      <c r="O300" s="94" t="s">
        <v>42</v>
      </c>
      <c r="P300" s="94" t="s">
        <v>495</v>
      </c>
      <c r="Q300" s="94" t="s">
        <v>935</v>
      </c>
      <c r="R300" s="94" t="s">
        <v>40</v>
      </c>
      <c r="S300" s="98"/>
      <c r="T300" s="94"/>
      <c r="U300" s="94"/>
      <c r="V300" s="70"/>
      <c r="W300" s="73" t="str">
        <f t="shared" si="2"/>
        <v/>
      </c>
      <c r="X300" s="73" t="str">
        <f t="shared" si="3"/>
        <v/>
      </c>
      <c r="Y300" s="73" t="str">
        <f t="shared" si="4"/>
        <v>X</v>
      </c>
      <c r="Z300" s="73" t="str">
        <f t="shared" si="5"/>
        <v/>
      </c>
      <c r="AA300" s="73" t="s">
        <v>28</v>
      </c>
      <c r="AB300" s="73" t="str">
        <f t="shared" si="6"/>
        <v>Trim 3</v>
      </c>
      <c r="AC300" s="73">
        <f t="shared" si="7"/>
        <v>0</v>
      </c>
      <c r="AD300" s="73">
        <f t="shared" si="8"/>
        <v>0</v>
      </c>
      <c r="AE300" s="73"/>
      <c r="AF300" s="73"/>
      <c r="AG300" s="73"/>
      <c r="AH300" s="73"/>
      <c r="AI300" s="73"/>
    </row>
    <row r="301" spans="1:35" ht="105">
      <c r="A301" s="94" t="s">
        <v>929</v>
      </c>
      <c r="B301" s="94">
        <v>2</v>
      </c>
      <c r="C301" s="94" t="s">
        <v>953</v>
      </c>
      <c r="D301" s="96">
        <v>0.1</v>
      </c>
      <c r="E301" s="94" t="s">
        <v>63</v>
      </c>
      <c r="F301" s="94" t="s">
        <v>958</v>
      </c>
      <c r="G301" s="98">
        <v>0.03</v>
      </c>
      <c r="H301" s="94" t="s">
        <v>959</v>
      </c>
      <c r="I301" s="94" t="s">
        <v>960</v>
      </c>
      <c r="J301" s="94" t="s">
        <v>934</v>
      </c>
      <c r="K301" s="94" t="s">
        <v>39</v>
      </c>
      <c r="L301" s="94" t="s">
        <v>939</v>
      </c>
      <c r="M301" s="94" t="s">
        <v>957</v>
      </c>
      <c r="N301" s="94" t="s">
        <v>41</v>
      </c>
      <c r="O301" s="94" t="s">
        <v>42</v>
      </c>
      <c r="P301" s="94" t="s">
        <v>495</v>
      </c>
      <c r="Q301" s="94" t="s">
        <v>935</v>
      </c>
      <c r="R301" s="94" t="s">
        <v>40</v>
      </c>
      <c r="S301" s="98"/>
      <c r="T301" s="94"/>
      <c r="U301" s="94"/>
      <c r="V301" s="70"/>
      <c r="W301" s="73" t="str">
        <f t="shared" si="2"/>
        <v/>
      </c>
      <c r="X301" s="73" t="str">
        <f t="shared" si="3"/>
        <v/>
      </c>
      <c r="Y301" s="73" t="str">
        <f t="shared" si="4"/>
        <v/>
      </c>
      <c r="Z301" s="73" t="str">
        <f t="shared" si="5"/>
        <v>X</v>
      </c>
      <c r="AA301" s="73" t="s">
        <v>29</v>
      </c>
      <c r="AB301" s="73" t="str">
        <f t="shared" si="6"/>
        <v>Trim 4</v>
      </c>
      <c r="AC301" s="73">
        <f t="shared" si="7"/>
        <v>0</v>
      </c>
      <c r="AD301" s="73">
        <f t="shared" si="8"/>
        <v>0</v>
      </c>
      <c r="AE301" s="73"/>
      <c r="AF301" s="73"/>
      <c r="AG301" s="73"/>
      <c r="AH301" s="73"/>
      <c r="AI301" s="73"/>
    </row>
    <row r="302" spans="1:35" ht="105">
      <c r="A302" s="94" t="s">
        <v>929</v>
      </c>
      <c r="B302" s="94">
        <v>2</v>
      </c>
      <c r="C302" s="94" t="s">
        <v>953</v>
      </c>
      <c r="D302" s="96">
        <v>0.1</v>
      </c>
      <c r="E302" s="94" t="s">
        <v>110</v>
      </c>
      <c r="F302" s="94" t="s">
        <v>961</v>
      </c>
      <c r="G302" s="98">
        <v>0.01</v>
      </c>
      <c r="H302" s="94" t="s">
        <v>955</v>
      </c>
      <c r="I302" s="94" t="s">
        <v>956</v>
      </c>
      <c r="J302" s="94" t="s">
        <v>934</v>
      </c>
      <c r="K302" s="94" t="s">
        <v>111</v>
      </c>
      <c r="L302" s="94" t="s">
        <v>939</v>
      </c>
      <c r="M302" s="94" t="s">
        <v>957</v>
      </c>
      <c r="N302" s="94" t="s">
        <v>41</v>
      </c>
      <c r="O302" s="94" t="s">
        <v>42</v>
      </c>
      <c r="P302" s="94" t="s">
        <v>495</v>
      </c>
      <c r="Q302" s="94" t="s">
        <v>935</v>
      </c>
      <c r="R302" s="94" t="s">
        <v>40</v>
      </c>
      <c r="S302" s="98"/>
      <c r="T302" s="94"/>
      <c r="U302" s="94"/>
      <c r="V302" s="70"/>
      <c r="W302" s="73" t="str">
        <f t="shared" si="2"/>
        <v/>
      </c>
      <c r="X302" s="73" t="str">
        <f t="shared" si="3"/>
        <v>X</v>
      </c>
      <c r="Y302" s="73" t="str">
        <f t="shared" si="4"/>
        <v/>
      </c>
      <c r="Z302" s="73" t="str">
        <f t="shared" si="5"/>
        <v/>
      </c>
      <c r="AA302" s="73" t="s">
        <v>27</v>
      </c>
      <c r="AB302" s="73" t="str">
        <f t="shared" si="6"/>
        <v>Trim 2</v>
      </c>
      <c r="AC302" s="73">
        <f t="shared" si="7"/>
        <v>0</v>
      </c>
      <c r="AD302" s="73">
        <f t="shared" si="8"/>
        <v>0</v>
      </c>
      <c r="AE302" s="73"/>
      <c r="AF302" s="73"/>
      <c r="AG302" s="73"/>
      <c r="AH302" s="73"/>
      <c r="AI302" s="73"/>
    </row>
    <row r="303" spans="1:35" ht="105">
      <c r="A303" s="94" t="s">
        <v>929</v>
      </c>
      <c r="B303" s="94">
        <v>2</v>
      </c>
      <c r="C303" s="94" t="s">
        <v>953</v>
      </c>
      <c r="D303" s="96">
        <v>0.1</v>
      </c>
      <c r="E303" s="94" t="s">
        <v>112</v>
      </c>
      <c r="F303" s="94" t="s">
        <v>962</v>
      </c>
      <c r="G303" s="98">
        <v>0.05</v>
      </c>
      <c r="H303" s="94" t="s">
        <v>959</v>
      </c>
      <c r="I303" s="94" t="s">
        <v>960</v>
      </c>
      <c r="J303" s="94" t="s">
        <v>934</v>
      </c>
      <c r="K303" s="94" t="s">
        <v>39</v>
      </c>
      <c r="L303" s="94" t="s">
        <v>939</v>
      </c>
      <c r="M303" s="94" t="s">
        <v>957</v>
      </c>
      <c r="N303" s="94" t="s">
        <v>41</v>
      </c>
      <c r="O303" s="94" t="s">
        <v>42</v>
      </c>
      <c r="P303" s="94" t="s">
        <v>495</v>
      </c>
      <c r="Q303" s="94" t="s">
        <v>935</v>
      </c>
      <c r="R303" s="94" t="s">
        <v>40</v>
      </c>
      <c r="S303" s="98"/>
      <c r="T303" s="94"/>
      <c r="U303" s="94"/>
      <c r="V303" s="70"/>
      <c r="W303" s="73" t="str">
        <f t="shared" si="2"/>
        <v/>
      </c>
      <c r="X303" s="73" t="str">
        <f t="shared" si="3"/>
        <v/>
      </c>
      <c r="Y303" s="73" t="str">
        <f t="shared" si="4"/>
        <v/>
      </c>
      <c r="Z303" s="73" t="str">
        <f t="shared" si="5"/>
        <v>X</v>
      </c>
      <c r="AA303" s="73" t="s">
        <v>29</v>
      </c>
      <c r="AB303" s="73" t="str">
        <f t="shared" si="6"/>
        <v>Trim 4</v>
      </c>
      <c r="AC303" s="73">
        <f t="shared" si="7"/>
        <v>0</v>
      </c>
      <c r="AD303" s="73">
        <f t="shared" si="8"/>
        <v>0</v>
      </c>
      <c r="AE303" s="73"/>
      <c r="AF303" s="73"/>
      <c r="AG303" s="73"/>
      <c r="AH303" s="73"/>
      <c r="AI303" s="73"/>
    </row>
    <row r="304" spans="1:35" ht="45">
      <c r="A304" s="94" t="s">
        <v>929</v>
      </c>
      <c r="B304" s="94">
        <v>3</v>
      </c>
      <c r="C304" s="94" t="s">
        <v>963</v>
      </c>
      <c r="D304" s="96">
        <v>0.3</v>
      </c>
      <c r="E304" s="94" t="s">
        <v>68</v>
      </c>
      <c r="F304" s="94" t="s">
        <v>964</v>
      </c>
      <c r="G304" s="98">
        <v>7.4999999999999997E-2</v>
      </c>
      <c r="H304" s="94" t="s">
        <v>965</v>
      </c>
      <c r="I304" s="94" t="s">
        <v>945</v>
      </c>
      <c r="J304" s="94" t="s">
        <v>934</v>
      </c>
      <c r="K304" s="94" t="s">
        <v>45</v>
      </c>
      <c r="L304" s="94" t="s">
        <v>939</v>
      </c>
      <c r="M304" s="94" t="s">
        <v>40</v>
      </c>
      <c r="N304" s="94" t="s">
        <v>41</v>
      </c>
      <c r="O304" s="94" t="s">
        <v>42</v>
      </c>
      <c r="P304" s="94" t="s">
        <v>495</v>
      </c>
      <c r="Q304" s="94" t="s">
        <v>935</v>
      </c>
      <c r="R304" s="94" t="s">
        <v>40</v>
      </c>
      <c r="S304" s="98"/>
      <c r="T304" s="94"/>
      <c r="U304" s="94"/>
      <c r="V304" s="70"/>
      <c r="W304" s="73" t="str">
        <f t="shared" si="2"/>
        <v>X</v>
      </c>
      <c r="X304" s="73" t="str">
        <f t="shared" si="3"/>
        <v/>
      </c>
      <c r="Y304" s="73" t="str">
        <f t="shared" si="4"/>
        <v/>
      </c>
      <c r="Z304" s="73" t="str">
        <f t="shared" si="5"/>
        <v/>
      </c>
      <c r="AA304" s="73" t="s">
        <v>26</v>
      </c>
      <c r="AB304" s="73" t="str">
        <f t="shared" si="6"/>
        <v>Trim 1</v>
      </c>
      <c r="AC304" s="73">
        <f t="shared" si="7"/>
        <v>0</v>
      </c>
      <c r="AD304" s="73">
        <f t="shared" si="8"/>
        <v>1</v>
      </c>
      <c r="AE304" s="73"/>
      <c r="AF304" s="73"/>
      <c r="AG304" s="73"/>
      <c r="AH304" s="73"/>
      <c r="AI304" s="73"/>
    </row>
    <row r="305" spans="1:35" ht="45">
      <c r="A305" s="94" t="s">
        <v>929</v>
      </c>
      <c r="B305" s="94">
        <v>3</v>
      </c>
      <c r="C305" s="94" t="s">
        <v>963</v>
      </c>
      <c r="D305" s="96">
        <v>0.3</v>
      </c>
      <c r="E305" s="94" t="s">
        <v>73</v>
      </c>
      <c r="F305" s="94" t="s">
        <v>966</v>
      </c>
      <c r="G305" s="98">
        <v>7.4999999999999997E-2</v>
      </c>
      <c r="H305" s="94" t="s">
        <v>965</v>
      </c>
      <c r="I305" s="94" t="s">
        <v>945</v>
      </c>
      <c r="J305" s="94" t="s">
        <v>934</v>
      </c>
      <c r="K305" s="94" t="s">
        <v>111</v>
      </c>
      <c r="L305" s="94" t="s">
        <v>939</v>
      </c>
      <c r="M305" s="94" t="s">
        <v>40</v>
      </c>
      <c r="N305" s="94" t="s">
        <v>41</v>
      </c>
      <c r="O305" s="94" t="s">
        <v>42</v>
      </c>
      <c r="P305" s="94" t="s">
        <v>495</v>
      </c>
      <c r="Q305" s="94" t="s">
        <v>935</v>
      </c>
      <c r="R305" s="94" t="s">
        <v>40</v>
      </c>
      <c r="S305" s="98"/>
      <c r="T305" s="94"/>
      <c r="U305" s="94"/>
      <c r="V305" s="70"/>
      <c r="W305" s="73" t="str">
        <f t="shared" si="2"/>
        <v/>
      </c>
      <c r="X305" s="73" t="str">
        <f t="shared" si="3"/>
        <v>X</v>
      </c>
      <c r="Y305" s="73" t="str">
        <f t="shared" si="4"/>
        <v/>
      </c>
      <c r="Z305" s="73" t="str">
        <f t="shared" si="5"/>
        <v/>
      </c>
      <c r="AA305" s="73" t="s">
        <v>27</v>
      </c>
      <c r="AB305" s="73" t="str">
        <f t="shared" si="6"/>
        <v>Trim 2</v>
      </c>
      <c r="AC305" s="73">
        <f t="shared" si="7"/>
        <v>0</v>
      </c>
      <c r="AD305" s="73">
        <f t="shared" si="8"/>
        <v>0</v>
      </c>
      <c r="AE305" s="73"/>
      <c r="AF305" s="73"/>
      <c r="AG305" s="73"/>
      <c r="AH305" s="73"/>
      <c r="AI305" s="73"/>
    </row>
    <row r="306" spans="1:35" ht="45">
      <c r="A306" s="94" t="s">
        <v>929</v>
      </c>
      <c r="B306" s="94">
        <v>3</v>
      </c>
      <c r="C306" s="94" t="s">
        <v>963</v>
      </c>
      <c r="D306" s="96">
        <v>0.3</v>
      </c>
      <c r="E306" s="94" t="s">
        <v>75</v>
      </c>
      <c r="F306" s="94" t="s">
        <v>967</v>
      </c>
      <c r="G306" s="98">
        <v>7.4999999999999997E-2</v>
      </c>
      <c r="H306" s="94" t="s">
        <v>965</v>
      </c>
      <c r="I306" s="94" t="s">
        <v>945</v>
      </c>
      <c r="J306" s="94" t="s">
        <v>934</v>
      </c>
      <c r="K306" s="94" t="s">
        <v>115</v>
      </c>
      <c r="L306" s="94" t="s">
        <v>939</v>
      </c>
      <c r="M306" s="94" t="s">
        <v>40</v>
      </c>
      <c r="N306" s="94" t="s">
        <v>41</v>
      </c>
      <c r="O306" s="94" t="s">
        <v>42</v>
      </c>
      <c r="P306" s="94" t="s">
        <v>495</v>
      </c>
      <c r="Q306" s="94" t="s">
        <v>935</v>
      </c>
      <c r="R306" s="94" t="s">
        <v>40</v>
      </c>
      <c r="S306" s="98"/>
      <c r="T306" s="94"/>
      <c r="U306" s="94"/>
      <c r="V306" s="70"/>
      <c r="W306" s="73" t="str">
        <f t="shared" si="2"/>
        <v/>
      </c>
      <c r="X306" s="73" t="str">
        <f t="shared" si="3"/>
        <v/>
      </c>
      <c r="Y306" s="73" t="str">
        <f t="shared" si="4"/>
        <v>X</v>
      </c>
      <c r="Z306" s="73" t="str">
        <f t="shared" si="5"/>
        <v/>
      </c>
      <c r="AA306" s="73" t="s">
        <v>28</v>
      </c>
      <c r="AB306" s="73" t="str">
        <f t="shared" si="6"/>
        <v>Trim 3</v>
      </c>
      <c r="AC306" s="73">
        <f t="shared" si="7"/>
        <v>0</v>
      </c>
      <c r="AD306" s="73">
        <f t="shared" si="8"/>
        <v>0</v>
      </c>
      <c r="AE306" s="73"/>
      <c r="AF306" s="73"/>
      <c r="AG306" s="73"/>
      <c r="AH306" s="73"/>
      <c r="AI306" s="73"/>
    </row>
    <row r="307" spans="1:35" ht="45">
      <c r="A307" s="94" t="s">
        <v>929</v>
      </c>
      <c r="B307" s="94">
        <v>3</v>
      </c>
      <c r="C307" s="94" t="s">
        <v>963</v>
      </c>
      <c r="D307" s="96">
        <v>0.3</v>
      </c>
      <c r="E307" s="94" t="s">
        <v>287</v>
      </c>
      <c r="F307" s="94" t="s">
        <v>968</v>
      </c>
      <c r="G307" s="98">
        <v>7.4999999999999997E-2</v>
      </c>
      <c r="H307" s="94" t="s">
        <v>965</v>
      </c>
      <c r="I307" s="94" t="s">
        <v>945</v>
      </c>
      <c r="J307" s="94" t="s">
        <v>934</v>
      </c>
      <c r="K307" s="94" t="s">
        <v>39</v>
      </c>
      <c r="L307" s="94" t="s">
        <v>939</v>
      </c>
      <c r="M307" s="94" t="s">
        <v>40</v>
      </c>
      <c r="N307" s="94" t="s">
        <v>41</v>
      </c>
      <c r="O307" s="94" t="s">
        <v>42</v>
      </c>
      <c r="P307" s="94" t="s">
        <v>495</v>
      </c>
      <c r="Q307" s="94" t="s">
        <v>935</v>
      </c>
      <c r="R307" s="94" t="s">
        <v>40</v>
      </c>
      <c r="S307" s="98"/>
      <c r="T307" s="94"/>
      <c r="U307" s="94"/>
      <c r="V307" s="70"/>
      <c r="W307" s="73" t="str">
        <f t="shared" si="2"/>
        <v/>
      </c>
      <c r="X307" s="73" t="str">
        <f t="shared" si="3"/>
        <v/>
      </c>
      <c r="Y307" s="73" t="str">
        <f t="shared" si="4"/>
        <v/>
      </c>
      <c r="Z307" s="73" t="str">
        <f t="shared" si="5"/>
        <v>X</v>
      </c>
      <c r="AA307" s="73" t="s">
        <v>29</v>
      </c>
      <c r="AB307" s="73" t="str">
        <f t="shared" si="6"/>
        <v>Trim 4</v>
      </c>
      <c r="AC307" s="73">
        <f t="shared" si="7"/>
        <v>0</v>
      </c>
      <c r="AD307" s="73">
        <f t="shared" si="8"/>
        <v>0</v>
      </c>
      <c r="AE307" s="73"/>
      <c r="AF307" s="73"/>
      <c r="AG307" s="73"/>
      <c r="AH307" s="73"/>
      <c r="AI307" s="73"/>
    </row>
    <row r="308" spans="1:35" ht="75">
      <c r="A308" s="94" t="s">
        <v>929</v>
      </c>
      <c r="B308" s="94">
        <v>4</v>
      </c>
      <c r="C308" s="94" t="s">
        <v>969</v>
      </c>
      <c r="D308" s="96">
        <v>0.25</v>
      </c>
      <c r="E308" s="94" t="s">
        <v>79</v>
      </c>
      <c r="F308" s="94" t="s">
        <v>970</v>
      </c>
      <c r="G308" s="98">
        <v>0.01</v>
      </c>
      <c r="H308" s="94" t="s">
        <v>971</v>
      </c>
      <c r="I308" s="94" t="s">
        <v>972</v>
      </c>
      <c r="J308" s="94" t="s">
        <v>934</v>
      </c>
      <c r="K308" s="94" t="s">
        <v>45</v>
      </c>
      <c r="L308" s="94" t="s">
        <v>939</v>
      </c>
      <c r="M308" s="94" t="s">
        <v>40</v>
      </c>
      <c r="N308" s="94" t="s">
        <v>41</v>
      </c>
      <c r="O308" s="94" t="s">
        <v>42</v>
      </c>
      <c r="P308" s="94" t="s">
        <v>495</v>
      </c>
      <c r="Q308" s="94" t="s">
        <v>935</v>
      </c>
      <c r="R308" s="94" t="s">
        <v>40</v>
      </c>
      <c r="S308" s="98"/>
      <c r="T308" s="94"/>
      <c r="U308" s="94"/>
      <c r="V308" s="70"/>
      <c r="W308" s="73" t="str">
        <f t="shared" si="2"/>
        <v>X</v>
      </c>
      <c r="X308" s="73" t="str">
        <f t="shared" si="3"/>
        <v/>
      </c>
      <c r="Y308" s="73" t="str">
        <f t="shared" si="4"/>
        <v/>
      </c>
      <c r="Z308" s="73" t="str">
        <f t="shared" si="5"/>
        <v/>
      </c>
      <c r="AA308" s="73" t="s">
        <v>26</v>
      </c>
      <c r="AB308" s="73" t="str">
        <f t="shared" si="6"/>
        <v>Trim 1</v>
      </c>
      <c r="AC308" s="73">
        <f t="shared" si="7"/>
        <v>0</v>
      </c>
      <c r="AD308" s="73">
        <f t="shared" si="8"/>
        <v>1</v>
      </c>
      <c r="AE308" s="73"/>
      <c r="AF308" s="73"/>
      <c r="AG308" s="73"/>
      <c r="AH308" s="73"/>
      <c r="AI308" s="73"/>
    </row>
    <row r="309" spans="1:35" ht="45">
      <c r="A309" s="94" t="s">
        <v>929</v>
      </c>
      <c r="B309" s="94">
        <v>4</v>
      </c>
      <c r="C309" s="94" t="s">
        <v>969</v>
      </c>
      <c r="D309" s="96">
        <v>0.25</v>
      </c>
      <c r="E309" s="94" t="s">
        <v>83</v>
      </c>
      <c r="F309" s="94" t="s">
        <v>973</v>
      </c>
      <c r="G309" s="98">
        <v>0.01</v>
      </c>
      <c r="H309" s="94" t="s">
        <v>974</v>
      </c>
      <c r="I309" s="94" t="s">
        <v>975</v>
      </c>
      <c r="J309" s="94" t="s">
        <v>934</v>
      </c>
      <c r="K309" s="94" t="s">
        <v>45</v>
      </c>
      <c r="L309" s="94" t="s">
        <v>939</v>
      </c>
      <c r="M309" s="94" t="s">
        <v>40</v>
      </c>
      <c r="N309" s="94" t="s">
        <v>41</v>
      </c>
      <c r="O309" s="94" t="s">
        <v>42</v>
      </c>
      <c r="P309" s="94" t="s">
        <v>495</v>
      </c>
      <c r="Q309" s="94" t="s">
        <v>935</v>
      </c>
      <c r="R309" s="94" t="s">
        <v>40</v>
      </c>
      <c r="S309" s="98"/>
      <c r="T309" s="94"/>
      <c r="U309" s="94"/>
      <c r="V309" s="70"/>
      <c r="W309" s="73" t="str">
        <f t="shared" si="2"/>
        <v>X</v>
      </c>
      <c r="X309" s="73" t="str">
        <f t="shared" si="3"/>
        <v/>
      </c>
      <c r="Y309" s="73" t="str">
        <f t="shared" si="4"/>
        <v/>
      </c>
      <c r="Z309" s="73" t="str">
        <f t="shared" si="5"/>
        <v/>
      </c>
      <c r="AA309" s="73" t="s">
        <v>26</v>
      </c>
      <c r="AB309" s="73" t="str">
        <f t="shared" si="6"/>
        <v>Trim 1</v>
      </c>
      <c r="AC309" s="73">
        <f t="shared" si="7"/>
        <v>0</v>
      </c>
      <c r="AD309" s="73">
        <f t="shared" si="8"/>
        <v>1</v>
      </c>
      <c r="AE309" s="73"/>
      <c r="AF309" s="73"/>
      <c r="AG309" s="73"/>
      <c r="AH309" s="73"/>
      <c r="AI309" s="73"/>
    </row>
    <row r="310" spans="1:35" ht="45">
      <c r="A310" s="94" t="s">
        <v>929</v>
      </c>
      <c r="B310" s="94">
        <v>4</v>
      </c>
      <c r="C310" s="94" t="s">
        <v>969</v>
      </c>
      <c r="D310" s="96">
        <v>0.25</v>
      </c>
      <c r="E310" s="94" t="s">
        <v>86</v>
      </c>
      <c r="F310" s="94" t="s">
        <v>976</v>
      </c>
      <c r="G310" s="98">
        <v>1.4999999999999999E-2</v>
      </c>
      <c r="H310" s="94" t="s">
        <v>977</v>
      </c>
      <c r="I310" s="94" t="s">
        <v>975</v>
      </c>
      <c r="J310" s="94" t="s">
        <v>934</v>
      </c>
      <c r="K310" s="94" t="s">
        <v>45</v>
      </c>
      <c r="L310" s="94" t="s">
        <v>939</v>
      </c>
      <c r="M310" s="94" t="s">
        <v>40</v>
      </c>
      <c r="N310" s="94" t="s">
        <v>41</v>
      </c>
      <c r="O310" s="94" t="s">
        <v>42</v>
      </c>
      <c r="P310" s="94" t="s">
        <v>495</v>
      </c>
      <c r="Q310" s="94" t="s">
        <v>935</v>
      </c>
      <c r="R310" s="94" t="s">
        <v>40</v>
      </c>
      <c r="S310" s="98"/>
      <c r="T310" s="94"/>
      <c r="U310" s="94"/>
      <c r="V310" s="70"/>
      <c r="W310" s="73" t="str">
        <f t="shared" si="2"/>
        <v>X</v>
      </c>
      <c r="X310" s="73" t="str">
        <f t="shared" si="3"/>
        <v/>
      </c>
      <c r="Y310" s="73" t="str">
        <f t="shared" si="4"/>
        <v/>
      </c>
      <c r="Z310" s="73" t="str">
        <f t="shared" si="5"/>
        <v/>
      </c>
      <c r="AA310" s="73" t="s">
        <v>26</v>
      </c>
      <c r="AB310" s="73" t="str">
        <f t="shared" si="6"/>
        <v>Trim 1</v>
      </c>
      <c r="AC310" s="73">
        <f t="shared" si="7"/>
        <v>0</v>
      </c>
      <c r="AD310" s="73">
        <f t="shared" si="8"/>
        <v>1</v>
      </c>
      <c r="AE310" s="73"/>
      <c r="AF310" s="73"/>
      <c r="AG310" s="73"/>
      <c r="AH310" s="73"/>
      <c r="AI310" s="73"/>
    </row>
    <row r="311" spans="1:35" ht="45">
      <c r="A311" s="94" t="s">
        <v>929</v>
      </c>
      <c r="B311" s="94">
        <v>4</v>
      </c>
      <c r="C311" s="94" t="s">
        <v>969</v>
      </c>
      <c r="D311" s="96">
        <v>0.25</v>
      </c>
      <c r="E311" s="94" t="s">
        <v>89</v>
      </c>
      <c r="F311" s="94" t="s">
        <v>978</v>
      </c>
      <c r="G311" s="98">
        <v>2.5000000000000001E-2</v>
      </c>
      <c r="H311" s="94" t="s">
        <v>979</v>
      </c>
      <c r="I311" s="94" t="s">
        <v>975</v>
      </c>
      <c r="J311" s="94" t="s">
        <v>934</v>
      </c>
      <c r="K311" s="94" t="s">
        <v>45</v>
      </c>
      <c r="L311" s="94" t="s">
        <v>939</v>
      </c>
      <c r="M311" s="94" t="s">
        <v>40</v>
      </c>
      <c r="N311" s="94" t="s">
        <v>41</v>
      </c>
      <c r="O311" s="94" t="s">
        <v>42</v>
      </c>
      <c r="P311" s="94" t="s">
        <v>495</v>
      </c>
      <c r="Q311" s="94" t="s">
        <v>935</v>
      </c>
      <c r="R311" s="94" t="s">
        <v>40</v>
      </c>
      <c r="S311" s="98"/>
      <c r="T311" s="94"/>
      <c r="U311" s="94"/>
      <c r="V311" s="70"/>
      <c r="W311" s="73" t="str">
        <f t="shared" si="2"/>
        <v>X</v>
      </c>
      <c r="X311" s="73" t="str">
        <f t="shared" si="3"/>
        <v/>
      </c>
      <c r="Y311" s="73" t="str">
        <f t="shared" si="4"/>
        <v/>
      </c>
      <c r="Z311" s="73" t="str">
        <f t="shared" si="5"/>
        <v/>
      </c>
      <c r="AA311" s="73" t="s">
        <v>26</v>
      </c>
      <c r="AB311" s="73" t="str">
        <f t="shared" si="6"/>
        <v>Trim 1</v>
      </c>
      <c r="AC311" s="73">
        <f t="shared" si="7"/>
        <v>0</v>
      </c>
      <c r="AD311" s="73">
        <f t="shared" si="8"/>
        <v>1</v>
      </c>
      <c r="AE311" s="73"/>
      <c r="AF311" s="73"/>
      <c r="AG311" s="73"/>
      <c r="AH311" s="73"/>
      <c r="AI311" s="73"/>
    </row>
    <row r="312" spans="1:35" ht="45">
      <c r="A312" s="94" t="s">
        <v>929</v>
      </c>
      <c r="B312" s="94">
        <v>4</v>
      </c>
      <c r="C312" s="94" t="s">
        <v>969</v>
      </c>
      <c r="D312" s="96">
        <v>0.25</v>
      </c>
      <c r="E312" s="94" t="s">
        <v>321</v>
      </c>
      <c r="F312" s="94" t="s">
        <v>980</v>
      </c>
      <c r="G312" s="98">
        <v>2.5000000000000001E-3</v>
      </c>
      <c r="H312" s="94" t="s">
        <v>981</v>
      </c>
      <c r="I312" s="94" t="s">
        <v>982</v>
      </c>
      <c r="J312" s="94" t="s">
        <v>934</v>
      </c>
      <c r="K312" s="94" t="s">
        <v>45</v>
      </c>
      <c r="L312" s="94" t="s">
        <v>939</v>
      </c>
      <c r="M312" s="94" t="s">
        <v>40</v>
      </c>
      <c r="N312" s="94" t="s">
        <v>41</v>
      </c>
      <c r="O312" s="94" t="s">
        <v>42</v>
      </c>
      <c r="P312" s="94" t="s">
        <v>495</v>
      </c>
      <c r="Q312" s="94" t="s">
        <v>935</v>
      </c>
      <c r="R312" s="94" t="s">
        <v>40</v>
      </c>
      <c r="S312" s="98"/>
      <c r="T312" s="94"/>
      <c r="U312" s="94"/>
      <c r="V312" s="70"/>
      <c r="W312" s="73" t="str">
        <f t="shared" si="2"/>
        <v>X</v>
      </c>
      <c r="X312" s="73" t="str">
        <f t="shared" si="3"/>
        <v/>
      </c>
      <c r="Y312" s="73" t="str">
        <f t="shared" si="4"/>
        <v/>
      </c>
      <c r="Z312" s="73" t="str">
        <f t="shared" si="5"/>
        <v/>
      </c>
      <c r="AA312" s="73" t="s">
        <v>26</v>
      </c>
      <c r="AB312" s="73" t="str">
        <f t="shared" si="6"/>
        <v>Trim 1</v>
      </c>
      <c r="AC312" s="73">
        <f t="shared" si="7"/>
        <v>0</v>
      </c>
      <c r="AD312" s="73">
        <f t="shared" si="8"/>
        <v>1</v>
      </c>
      <c r="AE312" s="73"/>
      <c r="AF312" s="73"/>
      <c r="AG312" s="73"/>
      <c r="AH312" s="73"/>
      <c r="AI312" s="73"/>
    </row>
    <row r="313" spans="1:35" ht="75">
      <c r="A313" s="94" t="s">
        <v>929</v>
      </c>
      <c r="B313" s="94">
        <v>4</v>
      </c>
      <c r="C313" s="94" t="s">
        <v>969</v>
      </c>
      <c r="D313" s="96">
        <v>0.25</v>
      </c>
      <c r="E313" s="94" t="s">
        <v>324</v>
      </c>
      <c r="F313" s="94" t="s">
        <v>983</v>
      </c>
      <c r="G313" s="98">
        <v>0.01</v>
      </c>
      <c r="H313" s="94" t="s">
        <v>971</v>
      </c>
      <c r="I313" s="94" t="s">
        <v>972</v>
      </c>
      <c r="J313" s="94" t="s">
        <v>934</v>
      </c>
      <c r="K313" s="94" t="s">
        <v>111</v>
      </c>
      <c r="L313" s="94" t="s">
        <v>939</v>
      </c>
      <c r="M313" s="94" t="s">
        <v>40</v>
      </c>
      <c r="N313" s="94" t="s">
        <v>41</v>
      </c>
      <c r="O313" s="94" t="s">
        <v>42</v>
      </c>
      <c r="P313" s="94" t="s">
        <v>495</v>
      </c>
      <c r="Q313" s="94" t="s">
        <v>935</v>
      </c>
      <c r="R313" s="94" t="s">
        <v>40</v>
      </c>
      <c r="S313" s="98"/>
      <c r="T313" s="94"/>
      <c r="U313" s="94"/>
      <c r="V313" s="70"/>
      <c r="W313" s="73" t="str">
        <f t="shared" si="2"/>
        <v/>
      </c>
      <c r="X313" s="73" t="str">
        <f t="shared" si="3"/>
        <v>X</v>
      </c>
      <c r="Y313" s="73" t="str">
        <f t="shared" si="4"/>
        <v/>
      </c>
      <c r="Z313" s="73" t="str">
        <f t="shared" si="5"/>
        <v/>
      </c>
      <c r="AA313" s="73" t="s">
        <v>27</v>
      </c>
      <c r="AB313" s="73" t="str">
        <f t="shared" si="6"/>
        <v>Trim 2</v>
      </c>
      <c r="AC313" s="73">
        <f t="shared" si="7"/>
        <v>0</v>
      </c>
      <c r="AD313" s="73">
        <f t="shared" si="8"/>
        <v>0</v>
      </c>
      <c r="AE313" s="73"/>
      <c r="AF313" s="73"/>
      <c r="AG313" s="73"/>
      <c r="AH313" s="73"/>
      <c r="AI313" s="73"/>
    </row>
    <row r="314" spans="1:35" ht="45">
      <c r="A314" s="94" t="s">
        <v>929</v>
      </c>
      <c r="B314" s="94">
        <v>4</v>
      </c>
      <c r="C314" s="94" t="s">
        <v>969</v>
      </c>
      <c r="D314" s="96">
        <v>0.25</v>
      </c>
      <c r="E314" s="94" t="s">
        <v>551</v>
      </c>
      <c r="F314" s="94" t="s">
        <v>984</v>
      </c>
      <c r="G314" s="98">
        <v>0.01</v>
      </c>
      <c r="H314" s="94" t="s">
        <v>974</v>
      </c>
      <c r="I314" s="94" t="s">
        <v>975</v>
      </c>
      <c r="J314" s="94" t="s">
        <v>934</v>
      </c>
      <c r="K314" s="94" t="s">
        <v>111</v>
      </c>
      <c r="L314" s="94" t="s">
        <v>939</v>
      </c>
      <c r="M314" s="94" t="s">
        <v>40</v>
      </c>
      <c r="N314" s="94" t="s">
        <v>41</v>
      </c>
      <c r="O314" s="94" t="s">
        <v>42</v>
      </c>
      <c r="P314" s="94" t="s">
        <v>495</v>
      </c>
      <c r="Q314" s="94" t="s">
        <v>935</v>
      </c>
      <c r="R314" s="94" t="s">
        <v>40</v>
      </c>
      <c r="S314" s="98"/>
      <c r="T314" s="94"/>
      <c r="U314" s="94"/>
      <c r="V314" s="70"/>
      <c r="W314" s="73" t="str">
        <f t="shared" si="2"/>
        <v/>
      </c>
      <c r="X314" s="73" t="str">
        <f t="shared" si="3"/>
        <v>X</v>
      </c>
      <c r="Y314" s="73" t="str">
        <f t="shared" si="4"/>
        <v/>
      </c>
      <c r="Z314" s="73" t="str">
        <f t="shared" si="5"/>
        <v/>
      </c>
      <c r="AA314" s="73" t="s">
        <v>27</v>
      </c>
      <c r="AB314" s="73" t="str">
        <f t="shared" si="6"/>
        <v>Trim 2</v>
      </c>
      <c r="AC314" s="73">
        <f t="shared" si="7"/>
        <v>0</v>
      </c>
      <c r="AD314" s="73">
        <f t="shared" si="8"/>
        <v>0</v>
      </c>
      <c r="AE314" s="73"/>
      <c r="AF314" s="73"/>
      <c r="AG314" s="73"/>
      <c r="AH314" s="73"/>
      <c r="AI314" s="73"/>
    </row>
    <row r="315" spans="1:35" ht="45">
      <c r="A315" s="94" t="s">
        <v>929</v>
      </c>
      <c r="B315" s="94">
        <v>4</v>
      </c>
      <c r="C315" s="94" t="s">
        <v>969</v>
      </c>
      <c r="D315" s="96">
        <v>0.25</v>
      </c>
      <c r="E315" s="94" t="s">
        <v>985</v>
      </c>
      <c r="F315" s="94" t="s">
        <v>986</v>
      </c>
      <c r="G315" s="98">
        <v>1.4999999999999999E-2</v>
      </c>
      <c r="H315" s="94" t="s">
        <v>977</v>
      </c>
      <c r="I315" s="94" t="s">
        <v>975</v>
      </c>
      <c r="J315" s="94" t="s">
        <v>934</v>
      </c>
      <c r="K315" s="94" t="s">
        <v>111</v>
      </c>
      <c r="L315" s="94" t="s">
        <v>939</v>
      </c>
      <c r="M315" s="94" t="s">
        <v>40</v>
      </c>
      <c r="N315" s="94" t="s">
        <v>41</v>
      </c>
      <c r="O315" s="94" t="s">
        <v>42</v>
      </c>
      <c r="P315" s="94" t="s">
        <v>495</v>
      </c>
      <c r="Q315" s="94" t="s">
        <v>935</v>
      </c>
      <c r="R315" s="94" t="s">
        <v>40</v>
      </c>
      <c r="S315" s="98"/>
      <c r="T315" s="94"/>
      <c r="U315" s="94"/>
      <c r="V315" s="70"/>
      <c r="W315" s="73" t="str">
        <f t="shared" si="2"/>
        <v/>
      </c>
      <c r="X315" s="73" t="str">
        <f t="shared" si="3"/>
        <v>X</v>
      </c>
      <c r="Y315" s="73" t="str">
        <f t="shared" si="4"/>
        <v/>
      </c>
      <c r="Z315" s="73" t="str">
        <f t="shared" si="5"/>
        <v/>
      </c>
      <c r="AA315" s="73" t="s">
        <v>27</v>
      </c>
      <c r="AB315" s="73" t="str">
        <f t="shared" si="6"/>
        <v>Trim 2</v>
      </c>
      <c r="AC315" s="73">
        <f t="shared" si="7"/>
        <v>0</v>
      </c>
      <c r="AD315" s="73">
        <f t="shared" si="8"/>
        <v>0</v>
      </c>
      <c r="AE315" s="73"/>
      <c r="AF315" s="73"/>
      <c r="AG315" s="73"/>
      <c r="AH315" s="73"/>
      <c r="AI315" s="73"/>
    </row>
    <row r="316" spans="1:35" ht="45">
      <c r="A316" s="94" t="s">
        <v>929</v>
      </c>
      <c r="B316" s="94">
        <v>4</v>
      </c>
      <c r="C316" s="94" t="s">
        <v>969</v>
      </c>
      <c r="D316" s="96">
        <v>0.25</v>
      </c>
      <c r="E316" s="94" t="s">
        <v>987</v>
      </c>
      <c r="F316" s="94" t="s">
        <v>988</v>
      </c>
      <c r="G316" s="98">
        <v>2.5000000000000001E-2</v>
      </c>
      <c r="H316" s="94" t="s">
        <v>979</v>
      </c>
      <c r="I316" s="94" t="s">
        <v>975</v>
      </c>
      <c r="J316" s="94" t="s">
        <v>934</v>
      </c>
      <c r="K316" s="94" t="s">
        <v>111</v>
      </c>
      <c r="L316" s="94" t="s">
        <v>939</v>
      </c>
      <c r="M316" s="94" t="s">
        <v>40</v>
      </c>
      <c r="N316" s="94" t="s">
        <v>41</v>
      </c>
      <c r="O316" s="94" t="s">
        <v>42</v>
      </c>
      <c r="P316" s="94" t="s">
        <v>495</v>
      </c>
      <c r="Q316" s="94" t="s">
        <v>935</v>
      </c>
      <c r="R316" s="94" t="s">
        <v>40</v>
      </c>
      <c r="S316" s="98"/>
      <c r="T316" s="94"/>
      <c r="U316" s="94"/>
      <c r="V316" s="70"/>
      <c r="W316" s="73" t="str">
        <f t="shared" si="2"/>
        <v/>
      </c>
      <c r="X316" s="73" t="str">
        <f t="shared" si="3"/>
        <v>X</v>
      </c>
      <c r="Y316" s="73" t="str">
        <f t="shared" si="4"/>
        <v/>
      </c>
      <c r="Z316" s="73" t="str">
        <f t="shared" si="5"/>
        <v/>
      </c>
      <c r="AA316" s="73" t="s">
        <v>27</v>
      </c>
      <c r="AB316" s="73" t="str">
        <f t="shared" si="6"/>
        <v>Trim 2</v>
      </c>
      <c r="AC316" s="73">
        <f t="shared" si="7"/>
        <v>0</v>
      </c>
      <c r="AD316" s="73">
        <f t="shared" si="8"/>
        <v>0</v>
      </c>
      <c r="AE316" s="73"/>
      <c r="AF316" s="73"/>
      <c r="AG316" s="73"/>
      <c r="AH316" s="73"/>
      <c r="AI316" s="73"/>
    </row>
    <row r="317" spans="1:35" ht="45">
      <c r="A317" s="94" t="s">
        <v>929</v>
      </c>
      <c r="B317" s="94">
        <v>4</v>
      </c>
      <c r="C317" s="94" t="s">
        <v>969</v>
      </c>
      <c r="D317" s="96">
        <v>0.25</v>
      </c>
      <c r="E317" s="94" t="s">
        <v>989</v>
      </c>
      <c r="F317" s="94" t="s">
        <v>990</v>
      </c>
      <c r="G317" s="98">
        <v>2.5000000000000001E-3</v>
      </c>
      <c r="H317" s="94" t="s">
        <v>981</v>
      </c>
      <c r="I317" s="94" t="s">
        <v>982</v>
      </c>
      <c r="J317" s="94" t="s">
        <v>934</v>
      </c>
      <c r="K317" s="94" t="s">
        <v>111</v>
      </c>
      <c r="L317" s="94" t="s">
        <v>939</v>
      </c>
      <c r="M317" s="94" t="s">
        <v>40</v>
      </c>
      <c r="N317" s="94" t="s">
        <v>41</v>
      </c>
      <c r="O317" s="94" t="s">
        <v>42</v>
      </c>
      <c r="P317" s="94" t="s">
        <v>495</v>
      </c>
      <c r="Q317" s="94" t="s">
        <v>935</v>
      </c>
      <c r="R317" s="94" t="s">
        <v>40</v>
      </c>
      <c r="S317" s="98"/>
      <c r="T317" s="94"/>
      <c r="U317" s="94"/>
      <c r="V317" s="70"/>
      <c r="W317" s="73" t="str">
        <f t="shared" si="2"/>
        <v/>
      </c>
      <c r="X317" s="73" t="str">
        <f t="shared" si="3"/>
        <v>X</v>
      </c>
      <c r="Y317" s="73" t="str">
        <f t="shared" si="4"/>
        <v/>
      </c>
      <c r="Z317" s="73" t="str">
        <f t="shared" si="5"/>
        <v/>
      </c>
      <c r="AA317" s="73" t="s">
        <v>27</v>
      </c>
      <c r="AB317" s="73" t="str">
        <f t="shared" si="6"/>
        <v>Trim 2</v>
      </c>
      <c r="AC317" s="73">
        <f t="shared" si="7"/>
        <v>0</v>
      </c>
      <c r="AD317" s="73">
        <f t="shared" si="8"/>
        <v>0</v>
      </c>
      <c r="AE317" s="73"/>
      <c r="AF317" s="73"/>
      <c r="AG317" s="73"/>
      <c r="AH317" s="73"/>
      <c r="AI317" s="73"/>
    </row>
    <row r="318" spans="1:35" ht="75">
      <c r="A318" s="94" t="s">
        <v>929</v>
      </c>
      <c r="B318" s="94">
        <v>4</v>
      </c>
      <c r="C318" s="94" t="s">
        <v>969</v>
      </c>
      <c r="D318" s="96">
        <v>0.25</v>
      </c>
      <c r="E318" s="94" t="s">
        <v>991</v>
      </c>
      <c r="F318" s="94" t="s">
        <v>992</v>
      </c>
      <c r="G318" s="98">
        <v>0.01</v>
      </c>
      <c r="H318" s="94" t="s">
        <v>971</v>
      </c>
      <c r="I318" s="94" t="s">
        <v>972</v>
      </c>
      <c r="J318" s="94" t="s">
        <v>934</v>
      </c>
      <c r="K318" s="94" t="s">
        <v>115</v>
      </c>
      <c r="L318" s="94" t="s">
        <v>939</v>
      </c>
      <c r="M318" s="94" t="s">
        <v>40</v>
      </c>
      <c r="N318" s="94" t="s">
        <v>41</v>
      </c>
      <c r="O318" s="94" t="s">
        <v>42</v>
      </c>
      <c r="P318" s="94" t="s">
        <v>495</v>
      </c>
      <c r="Q318" s="94" t="s">
        <v>935</v>
      </c>
      <c r="R318" s="94" t="s">
        <v>40</v>
      </c>
      <c r="S318" s="98"/>
      <c r="T318" s="94"/>
      <c r="U318" s="94"/>
      <c r="V318" s="70"/>
      <c r="W318" s="73" t="str">
        <f t="shared" si="2"/>
        <v/>
      </c>
      <c r="X318" s="73" t="str">
        <f t="shared" si="3"/>
        <v/>
      </c>
      <c r="Y318" s="73" t="str">
        <f t="shared" si="4"/>
        <v>X</v>
      </c>
      <c r="Z318" s="73" t="str">
        <f t="shared" si="5"/>
        <v/>
      </c>
      <c r="AA318" s="73" t="s">
        <v>28</v>
      </c>
      <c r="AB318" s="73" t="str">
        <f t="shared" si="6"/>
        <v>Trim 3</v>
      </c>
      <c r="AC318" s="73">
        <f t="shared" si="7"/>
        <v>0</v>
      </c>
      <c r="AD318" s="73">
        <f t="shared" si="8"/>
        <v>0</v>
      </c>
      <c r="AE318" s="73"/>
      <c r="AF318" s="73"/>
      <c r="AG318" s="73"/>
      <c r="AH318" s="73"/>
      <c r="AI318" s="73"/>
    </row>
    <row r="319" spans="1:35" ht="45">
      <c r="A319" s="94" t="s">
        <v>929</v>
      </c>
      <c r="B319" s="94">
        <v>4</v>
      </c>
      <c r="C319" s="94" t="s">
        <v>969</v>
      </c>
      <c r="D319" s="96">
        <v>0.25</v>
      </c>
      <c r="E319" s="94" t="s">
        <v>993</v>
      </c>
      <c r="F319" s="94" t="s">
        <v>994</v>
      </c>
      <c r="G319" s="98">
        <v>0.01</v>
      </c>
      <c r="H319" s="94" t="s">
        <v>974</v>
      </c>
      <c r="I319" s="94" t="s">
        <v>975</v>
      </c>
      <c r="J319" s="94" t="s">
        <v>934</v>
      </c>
      <c r="K319" s="94" t="s">
        <v>115</v>
      </c>
      <c r="L319" s="94" t="s">
        <v>939</v>
      </c>
      <c r="M319" s="94" t="s">
        <v>40</v>
      </c>
      <c r="N319" s="94" t="s">
        <v>41</v>
      </c>
      <c r="O319" s="94" t="s">
        <v>42</v>
      </c>
      <c r="P319" s="94" t="s">
        <v>495</v>
      </c>
      <c r="Q319" s="94" t="s">
        <v>935</v>
      </c>
      <c r="R319" s="94" t="s">
        <v>40</v>
      </c>
      <c r="S319" s="98"/>
      <c r="T319" s="94"/>
      <c r="U319" s="94"/>
      <c r="V319" s="70"/>
      <c r="W319" s="73" t="str">
        <f t="shared" si="2"/>
        <v/>
      </c>
      <c r="X319" s="73" t="str">
        <f t="shared" si="3"/>
        <v/>
      </c>
      <c r="Y319" s="73" t="str">
        <f t="shared" si="4"/>
        <v>X</v>
      </c>
      <c r="Z319" s="73" t="str">
        <f t="shared" si="5"/>
        <v/>
      </c>
      <c r="AA319" s="73" t="s">
        <v>28</v>
      </c>
      <c r="AB319" s="73" t="str">
        <f t="shared" si="6"/>
        <v>Trim 3</v>
      </c>
      <c r="AC319" s="73">
        <f t="shared" si="7"/>
        <v>0</v>
      </c>
      <c r="AD319" s="73">
        <f t="shared" si="8"/>
        <v>0</v>
      </c>
      <c r="AE319" s="73"/>
      <c r="AF319" s="73"/>
      <c r="AG319" s="73"/>
      <c r="AH319" s="73"/>
      <c r="AI319" s="73"/>
    </row>
    <row r="320" spans="1:35" ht="45">
      <c r="A320" s="94" t="s">
        <v>929</v>
      </c>
      <c r="B320" s="94">
        <v>4</v>
      </c>
      <c r="C320" s="94" t="s">
        <v>969</v>
      </c>
      <c r="D320" s="96">
        <v>0.25</v>
      </c>
      <c r="E320" s="94" t="s">
        <v>995</v>
      </c>
      <c r="F320" s="94" t="s">
        <v>996</v>
      </c>
      <c r="G320" s="98">
        <v>1.4999999999999999E-2</v>
      </c>
      <c r="H320" s="94" t="s">
        <v>977</v>
      </c>
      <c r="I320" s="94" t="s">
        <v>975</v>
      </c>
      <c r="J320" s="94" t="s">
        <v>934</v>
      </c>
      <c r="K320" s="94" t="s">
        <v>115</v>
      </c>
      <c r="L320" s="94" t="s">
        <v>939</v>
      </c>
      <c r="M320" s="94" t="s">
        <v>40</v>
      </c>
      <c r="N320" s="94" t="s">
        <v>41</v>
      </c>
      <c r="O320" s="94" t="s">
        <v>42</v>
      </c>
      <c r="P320" s="94" t="s">
        <v>495</v>
      </c>
      <c r="Q320" s="94" t="s">
        <v>935</v>
      </c>
      <c r="R320" s="94" t="s">
        <v>40</v>
      </c>
      <c r="S320" s="98"/>
      <c r="T320" s="94"/>
      <c r="U320" s="94"/>
      <c r="V320" s="70"/>
      <c r="W320" s="73" t="str">
        <f t="shared" si="2"/>
        <v/>
      </c>
      <c r="X320" s="73" t="str">
        <f t="shared" si="3"/>
        <v/>
      </c>
      <c r="Y320" s="73" t="str">
        <f t="shared" si="4"/>
        <v>X</v>
      </c>
      <c r="Z320" s="73" t="str">
        <f t="shared" si="5"/>
        <v/>
      </c>
      <c r="AA320" s="73" t="s">
        <v>28</v>
      </c>
      <c r="AB320" s="73" t="str">
        <f t="shared" si="6"/>
        <v>Trim 3</v>
      </c>
      <c r="AC320" s="73">
        <f t="shared" si="7"/>
        <v>0</v>
      </c>
      <c r="AD320" s="73">
        <f t="shared" si="8"/>
        <v>0</v>
      </c>
      <c r="AE320" s="73"/>
      <c r="AF320" s="73"/>
      <c r="AG320" s="73"/>
      <c r="AH320" s="73"/>
      <c r="AI320" s="73"/>
    </row>
    <row r="321" spans="1:35" ht="45">
      <c r="A321" s="94" t="s">
        <v>929</v>
      </c>
      <c r="B321" s="94">
        <v>4</v>
      </c>
      <c r="C321" s="94" t="s">
        <v>969</v>
      </c>
      <c r="D321" s="96">
        <v>0.25</v>
      </c>
      <c r="E321" s="94" t="s">
        <v>997</v>
      </c>
      <c r="F321" s="94" t="s">
        <v>998</v>
      </c>
      <c r="G321" s="98">
        <v>2.5000000000000001E-2</v>
      </c>
      <c r="H321" s="94" t="s">
        <v>979</v>
      </c>
      <c r="I321" s="94" t="s">
        <v>975</v>
      </c>
      <c r="J321" s="94" t="s">
        <v>934</v>
      </c>
      <c r="K321" s="94" t="s">
        <v>115</v>
      </c>
      <c r="L321" s="94" t="s">
        <v>939</v>
      </c>
      <c r="M321" s="94" t="s">
        <v>40</v>
      </c>
      <c r="N321" s="94" t="s">
        <v>41</v>
      </c>
      <c r="O321" s="94" t="s">
        <v>42</v>
      </c>
      <c r="P321" s="94" t="s">
        <v>495</v>
      </c>
      <c r="Q321" s="94" t="s">
        <v>935</v>
      </c>
      <c r="R321" s="94" t="s">
        <v>40</v>
      </c>
      <c r="S321" s="98"/>
      <c r="T321" s="94"/>
      <c r="U321" s="94"/>
      <c r="V321" s="70"/>
      <c r="W321" s="73" t="str">
        <f t="shared" si="2"/>
        <v/>
      </c>
      <c r="X321" s="73" t="str">
        <f t="shared" si="3"/>
        <v/>
      </c>
      <c r="Y321" s="73" t="str">
        <f t="shared" si="4"/>
        <v>X</v>
      </c>
      <c r="Z321" s="73" t="str">
        <f t="shared" si="5"/>
        <v/>
      </c>
      <c r="AA321" s="73" t="s">
        <v>28</v>
      </c>
      <c r="AB321" s="73" t="str">
        <f t="shared" si="6"/>
        <v>Trim 3</v>
      </c>
      <c r="AC321" s="73">
        <f t="shared" si="7"/>
        <v>0</v>
      </c>
      <c r="AD321" s="73">
        <f t="shared" si="8"/>
        <v>0</v>
      </c>
      <c r="AE321" s="73"/>
      <c r="AF321" s="73"/>
      <c r="AG321" s="73"/>
      <c r="AH321" s="73"/>
      <c r="AI321" s="73"/>
    </row>
    <row r="322" spans="1:35" ht="45">
      <c r="A322" s="94" t="s">
        <v>929</v>
      </c>
      <c r="B322" s="94">
        <v>4</v>
      </c>
      <c r="C322" s="94" t="s">
        <v>969</v>
      </c>
      <c r="D322" s="96">
        <v>0.25</v>
      </c>
      <c r="E322" s="94" t="s">
        <v>999</v>
      </c>
      <c r="F322" s="94" t="s">
        <v>1000</v>
      </c>
      <c r="G322" s="98">
        <v>2.5000000000000001E-3</v>
      </c>
      <c r="H322" s="94" t="s">
        <v>981</v>
      </c>
      <c r="I322" s="94" t="s">
        <v>982</v>
      </c>
      <c r="J322" s="94" t="s">
        <v>934</v>
      </c>
      <c r="K322" s="94" t="s">
        <v>115</v>
      </c>
      <c r="L322" s="94" t="s">
        <v>939</v>
      </c>
      <c r="M322" s="94" t="s">
        <v>40</v>
      </c>
      <c r="N322" s="94" t="s">
        <v>41</v>
      </c>
      <c r="O322" s="94" t="s">
        <v>42</v>
      </c>
      <c r="P322" s="94" t="s">
        <v>495</v>
      </c>
      <c r="Q322" s="94" t="s">
        <v>935</v>
      </c>
      <c r="R322" s="94" t="s">
        <v>40</v>
      </c>
      <c r="S322" s="98"/>
      <c r="T322" s="94"/>
      <c r="U322" s="94"/>
      <c r="V322" s="70"/>
      <c r="W322" s="73" t="str">
        <f t="shared" si="2"/>
        <v/>
      </c>
      <c r="X322" s="73" t="str">
        <f t="shared" si="3"/>
        <v/>
      </c>
      <c r="Y322" s="73" t="str">
        <f t="shared" si="4"/>
        <v>X</v>
      </c>
      <c r="Z322" s="73" t="str">
        <f t="shared" si="5"/>
        <v/>
      </c>
      <c r="AA322" s="73" t="s">
        <v>28</v>
      </c>
      <c r="AB322" s="73" t="str">
        <f t="shared" si="6"/>
        <v>Trim 3</v>
      </c>
      <c r="AC322" s="73">
        <f t="shared" si="7"/>
        <v>0</v>
      </c>
      <c r="AD322" s="73">
        <f t="shared" si="8"/>
        <v>0</v>
      </c>
      <c r="AE322" s="73"/>
      <c r="AF322" s="73"/>
      <c r="AG322" s="73"/>
      <c r="AH322" s="73"/>
      <c r="AI322" s="73"/>
    </row>
    <row r="323" spans="1:35" ht="75">
      <c r="A323" s="94" t="s">
        <v>929</v>
      </c>
      <c r="B323" s="94">
        <v>4</v>
      </c>
      <c r="C323" s="94" t="s">
        <v>969</v>
      </c>
      <c r="D323" s="96">
        <v>0.25</v>
      </c>
      <c r="E323" s="94" t="s">
        <v>1001</v>
      </c>
      <c r="F323" s="94" t="s">
        <v>1002</v>
      </c>
      <c r="G323" s="98">
        <v>0.01</v>
      </c>
      <c r="H323" s="94" t="s">
        <v>971</v>
      </c>
      <c r="I323" s="94" t="s">
        <v>972</v>
      </c>
      <c r="J323" s="94" t="s">
        <v>934</v>
      </c>
      <c r="K323" s="94" t="s">
        <v>39</v>
      </c>
      <c r="L323" s="94" t="s">
        <v>939</v>
      </c>
      <c r="M323" s="94" t="s">
        <v>40</v>
      </c>
      <c r="N323" s="94" t="s">
        <v>41</v>
      </c>
      <c r="O323" s="94" t="s">
        <v>42</v>
      </c>
      <c r="P323" s="94" t="s">
        <v>495</v>
      </c>
      <c r="Q323" s="94" t="s">
        <v>935</v>
      </c>
      <c r="R323" s="94" t="s">
        <v>40</v>
      </c>
      <c r="S323" s="98"/>
      <c r="T323" s="94"/>
      <c r="U323" s="94"/>
      <c r="V323" s="70"/>
      <c r="W323" s="73" t="str">
        <f t="shared" si="2"/>
        <v/>
      </c>
      <c r="X323" s="73" t="str">
        <f t="shared" si="3"/>
        <v/>
      </c>
      <c r="Y323" s="73" t="str">
        <f t="shared" si="4"/>
        <v/>
      </c>
      <c r="Z323" s="73" t="str">
        <f t="shared" si="5"/>
        <v>X</v>
      </c>
      <c r="AA323" s="73" t="s">
        <v>29</v>
      </c>
      <c r="AB323" s="73" t="str">
        <f t="shared" si="6"/>
        <v>Trim 4</v>
      </c>
      <c r="AC323" s="73">
        <f t="shared" si="7"/>
        <v>0</v>
      </c>
      <c r="AD323" s="73">
        <f t="shared" si="8"/>
        <v>0</v>
      </c>
      <c r="AE323" s="73"/>
      <c r="AF323" s="73"/>
      <c r="AG323" s="73"/>
      <c r="AH323" s="73"/>
      <c r="AI323" s="73"/>
    </row>
    <row r="324" spans="1:35" ht="45">
      <c r="A324" s="94" t="s">
        <v>929</v>
      </c>
      <c r="B324" s="94">
        <v>4</v>
      </c>
      <c r="C324" s="94" t="s">
        <v>969</v>
      </c>
      <c r="D324" s="96">
        <v>0.25</v>
      </c>
      <c r="E324" s="94" t="s">
        <v>1003</v>
      </c>
      <c r="F324" s="94" t="s">
        <v>1004</v>
      </c>
      <c r="G324" s="98">
        <v>0.01</v>
      </c>
      <c r="H324" s="94" t="s">
        <v>974</v>
      </c>
      <c r="I324" s="94" t="s">
        <v>975</v>
      </c>
      <c r="J324" s="94" t="s">
        <v>934</v>
      </c>
      <c r="K324" s="94" t="s">
        <v>39</v>
      </c>
      <c r="L324" s="94" t="s">
        <v>939</v>
      </c>
      <c r="M324" s="94" t="s">
        <v>40</v>
      </c>
      <c r="N324" s="94" t="s">
        <v>41</v>
      </c>
      <c r="O324" s="94" t="s">
        <v>42</v>
      </c>
      <c r="P324" s="94" t="s">
        <v>495</v>
      </c>
      <c r="Q324" s="94" t="s">
        <v>935</v>
      </c>
      <c r="R324" s="94" t="s">
        <v>40</v>
      </c>
      <c r="S324" s="98"/>
      <c r="T324" s="94"/>
      <c r="U324" s="94"/>
      <c r="V324" s="70"/>
      <c r="W324" s="73" t="str">
        <f t="shared" si="2"/>
        <v/>
      </c>
      <c r="X324" s="73" t="str">
        <f t="shared" si="3"/>
        <v/>
      </c>
      <c r="Y324" s="73" t="str">
        <f t="shared" si="4"/>
        <v/>
      </c>
      <c r="Z324" s="73" t="str">
        <f t="shared" si="5"/>
        <v>X</v>
      </c>
      <c r="AA324" s="73" t="s">
        <v>29</v>
      </c>
      <c r="AB324" s="73" t="str">
        <f t="shared" si="6"/>
        <v>Trim 4</v>
      </c>
      <c r="AC324" s="73">
        <f t="shared" si="7"/>
        <v>0</v>
      </c>
      <c r="AD324" s="73">
        <f t="shared" si="8"/>
        <v>0</v>
      </c>
      <c r="AE324" s="73"/>
      <c r="AF324" s="73"/>
      <c r="AG324" s="73"/>
      <c r="AH324" s="73"/>
      <c r="AI324" s="73"/>
    </row>
    <row r="325" spans="1:35" ht="45">
      <c r="A325" s="94" t="s">
        <v>929</v>
      </c>
      <c r="B325" s="94">
        <v>4</v>
      </c>
      <c r="C325" s="94" t="s">
        <v>969</v>
      </c>
      <c r="D325" s="96">
        <v>0.25</v>
      </c>
      <c r="E325" s="94" t="s">
        <v>1005</v>
      </c>
      <c r="F325" s="94" t="s">
        <v>1006</v>
      </c>
      <c r="G325" s="98">
        <v>1.4999999999999999E-2</v>
      </c>
      <c r="H325" s="94" t="s">
        <v>977</v>
      </c>
      <c r="I325" s="94" t="s">
        <v>975</v>
      </c>
      <c r="J325" s="94" t="s">
        <v>934</v>
      </c>
      <c r="K325" s="94" t="s">
        <v>39</v>
      </c>
      <c r="L325" s="94" t="s">
        <v>939</v>
      </c>
      <c r="M325" s="94" t="s">
        <v>40</v>
      </c>
      <c r="N325" s="94" t="s">
        <v>41</v>
      </c>
      <c r="O325" s="94" t="s">
        <v>42</v>
      </c>
      <c r="P325" s="94" t="s">
        <v>495</v>
      </c>
      <c r="Q325" s="94" t="s">
        <v>935</v>
      </c>
      <c r="R325" s="94" t="s">
        <v>40</v>
      </c>
      <c r="S325" s="98"/>
      <c r="T325" s="94"/>
      <c r="U325" s="94"/>
      <c r="V325" s="70"/>
      <c r="W325" s="73" t="str">
        <f t="shared" si="2"/>
        <v/>
      </c>
      <c r="X325" s="73" t="str">
        <f t="shared" si="3"/>
        <v/>
      </c>
      <c r="Y325" s="73" t="str">
        <f t="shared" si="4"/>
        <v/>
      </c>
      <c r="Z325" s="73" t="str">
        <f t="shared" si="5"/>
        <v>X</v>
      </c>
      <c r="AA325" s="73" t="s">
        <v>29</v>
      </c>
      <c r="AB325" s="73" t="str">
        <f t="shared" si="6"/>
        <v>Trim 4</v>
      </c>
      <c r="AC325" s="73">
        <f t="shared" si="7"/>
        <v>0</v>
      </c>
      <c r="AD325" s="73">
        <f t="shared" si="8"/>
        <v>0</v>
      </c>
      <c r="AE325" s="73"/>
      <c r="AF325" s="73"/>
      <c r="AG325" s="73"/>
      <c r="AH325" s="73"/>
      <c r="AI325" s="73"/>
    </row>
    <row r="326" spans="1:35" ht="45">
      <c r="A326" s="94" t="s">
        <v>929</v>
      </c>
      <c r="B326" s="94">
        <v>4</v>
      </c>
      <c r="C326" s="94" t="s">
        <v>969</v>
      </c>
      <c r="D326" s="96">
        <v>0.25</v>
      </c>
      <c r="E326" s="94" t="s">
        <v>1007</v>
      </c>
      <c r="F326" s="94" t="s">
        <v>1008</v>
      </c>
      <c r="G326" s="98">
        <v>2.5000000000000001E-2</v>
      </c>
      <c r="H326" s="94" t="s">
        <v>979</v>
      </c>
      <c r="I326" s="94" t="s">
        <v>975</v>
      </c>
      <c r="J326" s="94" t="s">
        <v>934</v>
      </c>
      <c r="K326" s="94" t="s">
        <v>39</v>
      </c>
      <c r="L326" s="94" t="s">
        <v>939</v>
      </c>
      <c r="M326" s="94" t="s">
        <v>40</v>
      </c>
      <c r="N326" s="94" t="s">
        <v>41</v>
      </c>
      <c r="O326" s="94" t="s">
        <v>42</v>
      </c>
      <c r="P326" s="94" t="s">
        <v>495</v>
      </c>
      <c r="Q326" s="94" t="s">
        <v>935</v>
      </c>
      <c r="R326" s="94" t="s">
        <v>40</v>
      </c>
      <c r="S326" s="98"/>
      <c r="T326" s="94"/>
      <c r="U326" s="94"/>
      <c r="V326" s="70"/>
      <c r="W326" s="73" t="str">
        <f t="shared" si="2"/>
        <v/>
      </c>
      <c r="X326" s="73" t="str">
        <f t="shared" si="3"/>
        <v/>
      </c>
      <c r="Y326" s="73" t="str">
        <f t="shared" si="4"/>
        <v/>
      </c>
      <c r="Z326" s="73" t="str">
        <f t="shared" si="5"/>
        <v>X</v>
      </c>
      <c r="AA326" s="73" t="s">
        <v>29</v>
      </c>
      <c r="AB326" s="73" t="str">
        <f t="shared" si="6"/>
        <v>Trim 4</v>
      </c>
      <c r="AC326" s="73">
        <f t="shared" si="7"/>
        <v>0</v>
      </c>
      <c r="AD326" s="73">
        <f t="shared" si="8"/>
        <v>0</v>
      </c>
      <c r="AE326" s="73"/>
      <c r="AF326" s="73"/>
      <c r="AG326" s="73"/>
      <c r="AH326" s="73"/>
      <c r="AI326" s="73"/>
    </row>
    <row r="327" spans="1:35" ht="45">
      <c r="A327" s="94" t="s">
        <v>929</v>
      </c>
      <c r="B327" s="94">
        <v>4</v>
      </c>
      <c r="C327" s="94" t="s">
        <v>969</v>
      </c>
      <c r="D327" s="96">
        <v>0.25</v>
      </c>
      <c r="E327" s="94" t="s">
        <v>1009</v>
      </c>
      <c r="F327" s="94" t="s">
        <v>1010</v>
      </c>
      <c r="G327" s="98">
        <v>2.5000000000000001E-3</v>
      </c>
      <c r="H327" s="94" t="s">
        <v>981</v>
      </c>
      <c r="I327" s="94" t="s">
        <v>982</v>
      </c>
      <c r="J327" s="94" t="s">
        <v>934</v>
      </c>
      <c r="K327" s="94" t="s">
        <v>39</v>
      </c>
      <c r="L327" s="94" t="s">
        <v>939</v>
      </c>
      <c r="M327" s="94" t="s">
        <v>40</v>
      </c>
      <c r="N327" s="94" t="s">
        <v>41</v>
      </c>
      <c r="O327" s="94" t="s">
        <v>42</v>
      </c>
      <c r="P327" s="94" t="s">
        <v>495</v>
      </c>
      <c r="Q327" s="94" t="s">
        <v>935</v>
      </c>
      <c r="R327" s="94" t="s">
        <v>40</v>
      </c>
      <c r="S327" s="98"/>
      <c r="T327" s="94"/>
      <c r="U327" s="94"/>
      <c r="V327" s="70"/>
      <c r="W327" s="73" t="str">
        <f t="shared" si="2"/>
        <v/>
      </c>
      <c r="X327" s="73" t="str">
        <f t="shared" si="3"/>
        <v/>
      </c>
      <c r="Y327" s="73" t="str">
        <f t="shared" si="4"/>
        <v/>
      </c>
      <c r="Z327" s="73" t="str">
        <f t="shared" si="5"/>
        <v>X</v>
      </c>
      <c r="AA327" s="73" t="s">
        <v>29</v>
      </c>
      <c r="AB327" s="73" t="str">
        <f t="shared" si="6"/>
        <v>Trim 4</v>
      </c>
      <c r="AC327" s="73">
        <f t="shared" si="7"/>
        <v>0</v>
      </c>
      <c r="AD327" s="73">
        <f t="shared" si="8"/>
        <v>0</v>
      </c>
      <c r="AE327" s="73"/>
      <c r="AF327" s="73"/>
      <c r="AG327" s="73"/>
      <c r="AH327" s="73"/>
      <c r="AI327" s="73"/>
    </row>
    <row r="328" spans="1:35" ht="60">
      <c r="A328" s="94" t="s">
        <v>929</v>
      </c>
      <c r="B328" s="94">
        <v>5</v>
      </c>
      <c r="C328" s="94" t="s">
        <v>1011</v>
      </c>
      <c r="D328" s="96">
        <v>0.2</v>
      </c>
      <c r="E328" s="94" t="s">
        <v>469</v>
      </c>
      <c r="F328" s="94" t="s">
        <v>1012</v>
      </c>
      <c r="G328" s="98">
        <v>3.5000000000000003E-2</v>
      </c>
      <c r="H328" s="94" t="s">
        <v>1013</v>
      </c>
      <c r="I328" s="94" t="s">
        <v>1014</v>
      </c>
      <c r="J328" s="94" t="s">
        <v>934</v>
      </c>
      <c r="K328" s="94" t="s">
        <v>45</v>
      </c>
      <c r="L328" s="94" t="s">
        <v>939</v>
      </c>
      <c r="M328" s="94" t="s">
        <v>40</v>
      </c>
      <c r="N328" s="94" t="s">
        <v>41</v>
      </c>
      <c r="O328" s="94" t="s">
        <v>42</v>
      </c>
      <c r="P328" s="94" t="s">
        <v>495</v>
      </c>
      <c r="Q328" s="94" t="s">
        <v>935</v>
      </c>
      <c r="R328" s="94" t="s">
        <v>40</v>
      </c>
      <c r="S328" s="98"/>
      <c r="T328" s="94"/>
      <c r="U328" s="94"/>
      <c r="V328" s="70"/>
      <c r="W328" s="73" t="str">
        <f t="shared" si="2"/>
        <v>X</v>
      </c>
      <c r="X328" s="73" t="str">
        <f t="shared" si="3"/>
        <v/>
      </c>
      <c r="Y328" s="73" t="str">
        <f t="shared" si="4"/>
        <v/>
      </c>
      <c r="Z328" s="73" t="str">
        <f t="shared" si="5"/>
        <v/>
      </c>
      <c r="AA328" s="73" t="s">
        <v>26</v>
      </c>
      <c r="AB328" s="73" t="str">
        <f t="shared" si="6"/>
        <v>Trim 1</v>
      </c>
      <c r="AC328" s="73">
        <f t="shared" si="7"/>
        <v>0</v>
      </c>
      <c r="AD328" s="73">
        <f t="shared" si="8"/>
        <v>1</v>
      </c>
      <c r="AE328" s="73"/>
      <c r="AF328" s="73"/>
      <c r="AG328" s="73"/>
      <c r="AH328" s="73"/>
      <c r="AI328" s="73"/>
    </row>
    <row r="329" spans="1:35" ht="45">
      <c r="A329" s="94" t="s">
        <v>929</v>
      </c>
      <c r="B329" s="94">
        <v>5</v>
      </c>
      <c r="C329" s="94" t="s">
        <v>1011</v>
      </c>
      <c r="D329" s="96">
        <v>0.2</v>
      </c>
      <c r="E329" s="94" t="s">
        <v>476</v>
      </c>
      <c r="F329" s="94" t="s">
        <v>1015</v>
      </c>
      <c r="G329" s="98">
        <v>1.4999999999999999E-2</v>
      </c>
      <c r="H329" s="94" t="s">
        <v>1016</v>
      </c>
      <c r="I329" s="94" t="s">
        <v>1017</v>
      </c>
      <c r="J329" s="94" t="s">
        <v>934</v>
      </c>
      <c r="K329" s="94" t="s">
        <v>45</v>
      </c>
      <c r="L329" s="94" t="s">
        <v>939</v>
      </c>
      <c r="M329" s="94" t="s">
        <v>40</v>
      </c>
      <c r="N329" s="94" t="s">
        <v>41</v>
      </c>
      <c r="O329" s="94" t="s">
        <v>42</v>
      </c>
      <c r="P329" s="94" t="s">
        <v>495</v>
      </c>
      <c r="Q329" s="94" t="s">
        <v>935</v>
      </c>
      <c r="R329" s="94" t="s">
        <v>40</v>
      </c>
      <c r="S329" s="98"/>
      <c r="T329" s="94"/>
      <c r="U329" s="94"/>
      <c r="V329" s="70"/>
      <c r="W329" s="73" t="str">
        <f t="shared" si="2"/>
        <v>X</v>
      </c>
      <c r="X329" s="73" t="str">
        <f t="shared" si="3"/>
        <v/>
      </c>
      <c r="Y329" s="73" t="str">
        <f t="shared" si="4"/>
        <v/>
      </c>
      <c r="Z329" s="73" t="str">
        <f t="shared" si="5"/>
        <v/>
      </c>
      <c r="AA329" s="73" t="s">
        <v>26</v>
      </c>
      <c r="AB329" s="73" t="str">
        <f t="shared" si="6"/>
        <v>Trim 1</v>
      </c>
      <c r="AC329" s="73">
        <f t="shared" si="7"/>
        <v>0</v>
      </c>
      <c r="AD329" s="73">
        <f t="shared" si="8"/>
        <v>1</v>
      </c>
      <c r="AE329" s="73"/>
      <c r="AF329" s="73"/>
      <c r="AG329" s="73"/>
      <c r="AH329" s="73"/>
      <c r="AI329" s="73"/>
    </row>
    <row r="330" spans="1:35" ht="60">
      <c r="A330" s="94" t="s">
        <v>929</v>
      </c>
      <c r="B330" s="94">
        <v>5</v>
      </c>
      <c r="C330" s="94" t="s">
        <v>1011</v>
      </c>
      <c r="D330" s="96">
        <v>0.2</v>
      </c>
      <c r="E330" s="94" t="s">
        <v>482</v>
      </c>
      <c r="F330" s="94" t="s">
        <v>1018</v>
      </c>
      <c r="G330" s="98">
        <v>3.5000000000000003E-2</v>
      </c>
      <c r="H330" s="94" t="s">
        <v>1013</v>
      </c>
      <c r="I330" s="94" t="s">
        <v>1014</v>
      </c>
      <c r="J330" s="94" t="s">
        <v>934</v>
      </c>
      <c r="K330" s="94" t="s">
        <v>111</v>
      </c>
      <c r="L330" s="94" t="s">
        <v>939</v>
      </c>
      <c r="M330" s="94" t="s">
        <v>40</v>
      </c>
      <c r="N330" s="94" t="s">
        <v>41</v>
      </c>
      <c r="O330" s="94" t="s">
        <v>42</v>
      </c>
      <c r="P330" s="94" t="s">
        <v>495</v>
      </c>
      <c r="Q330" s="94" t="s">
        <v>935</v>
      </c>
      <c r="R330" s="94" t="s">
        <v>40</v>
      </c>
      <c r="S330" s="98"/>
      <c r="T330" s="94"/>
      <c r="U330" s="94"/>
      <c r="V330" s="70"/>
      <c r="W330" s="73" t="str">
        <f t="shared" si="2"/>
        <v/>
      </c>
      <c r="X330" s="73" t="str">
        <f t="shared" si="3"/>
        <v>X</v>
      </c>
      <c r="Y330" s="73" t="str">
        <f t="shared" si="4"/>
        <v/>
      </c>
      <c r="Z330" s="73" t="str">
        <f t="shared" si="5"/>
        <v/>
      </c>
      <c r="AA330" s="73" t="s">
        <v>27</v>
      </c>
      <c r="AB330" s="73" t="str">
        <f t="shared" si="6"/>
        <v>Trim 2</v>
      </c>
      <c r="AC330" s="73">
        <f t="shared" si="7"/>
        <v>0</v>
      </c>
      <c r="AD330" s="73">
        <f t="shared" si="8"/>
        <v>0</v>
      </c>
      <c r="AE330" s="73"/>
      <c r="AF330" s="73"/>
      <c r="AG330" s="73"/>
      <c r="AH330" s="73"/>
      <c r="AI330" s="73"/>
    </row>
    <row r="331" spans="1:35" ht="45">
      <c r="A331" s="94" t="s">
        <v>929</v>
      </c>
      <c r="B331" s="94">
        <v>5</v>
      </c>
      <c r="C331" s="94" t="s">
        <v>1011</v>
      </c>
      <c r="D331" s="96">
        <v>0.2</v>
      </c>
      <c r="E331" s="94" t="s">
        <v>888</v>
      </c>
      <c r="F331" s="94" t="s">
        <v>1019</v>
      </c>
      <c r="G331" s="98">
        <v>1.4999999999999999E-2</v>
      </c>
      <c r="H331" s="94" t="s">
        <v>1016</v>
      </c>
      <c r="I331" s="94" t="s">
        <v>1017</v>
      </c>
      <c r="J331" s="94" t="s">
        <v>934</v>
      </c>
      <c r="K331" s="94" t="s">
        <v>111</v>
      </c>
      <c r="L331" s="94" t="s">
        <v>939</v>
      </c>
      <c r="M331" s="94" t="s">
        <v>40</v>
      </c>
      <c r="N331" s="94" t="s">
        <v>41</v>
      </c>
      <c r="O331" s="94" t="s">
        <v>42</v>
      </c>
      <c r="P331" s="94" t="s">
        <v>495</v>
      </c>
      <c r="Q331" s="94" t="s">
        <v>935</v>
      </c>
      <c r="R331" s="94" t="s">
        <v>40</v>
      </c>
      <c r="S331" s="98"/>
      <c r="T331" s="94"/>
      <c r="U331" s="94"/>
      <c r="V331" s="70"/>
      <c r="W331" s="73" t="str">
        <f t="shared" si="2"/>
        <v/>
      </c>
      <c r="X331" s="73" t="str">
        <f t="shared" si="3"/>
        <v>X</v>
      </c>
      <c r="Y331" s="73" t="str">
        <f t="shared" si="4"/>
        <v/>
      </c>
      <c r="Z331" s="73" t="str">
        <f t="shared" si="5"/>
        <v/>
      </c>
      <c r="AA331" s="73" t="s">
        <v>27</v>
      </c>
      <c r="AB331" s="73" t="str">
        <f t="shared" si="6"/>
        <v>Trim 2</v>
      </c>
      <c r="AC331" s="73">
        <f t="shared" si="7"/>
        <v>0</v>
      </c>
      <c r="AD331" s="73">
        <f t="shared" si="8"/>
        <v>0</v>
      </c>
      <c r="AE331" s="73"/>
      <c r="AF331" s="73"/>
      <c r="AG331" s="73"/>
      <c r="AH331" s="73"/>
      <c r="AI331" s="73"/>
    </row>
    <row r="332" spans="1:35" ht="60">
      <c r="A332" s="94" t="s">
        <v>929</v>
      </c>
      <c r="B332" s="94">
        <v>5</v>
      </c>
      <c r="C332" s="94" t="s">
        <v>1011</v>
      </c>
      <c r="D332" s="96">
        <v>0.2</v>
      </c>
      <c r="E332" s="94" t="s">
        <v>399</v>
      </c>
      <c r="F332" s="94" t="s">
        <v>1020</v>
      </c>
      <c r="G332" s="98">
        <v>3.5000000000000003E-2</v>
      </c>
      <c r="H332" s="94" t="s">
        <v>1013</v>
      </c>
      <c r="I332" s="94" t="s">
        <v>1014</v>
      </c>
      <c r="J332" s="94" t="s">
        <v>934</v>
      </c>
      <c r="K332" s="94" t="s">
        <v>115</v>
      </c>
      <c r="L332" s="94" t="s">
        <v>939</v>
      </c>
      <c r="M332" s="94" t="s">
        <v>40</v>
      </c>
      <c r="N332" s="94" t="s">
        <v>41</v>
      </c>
      <c r="O332" s="94" t="s">
        <v>42</v>
      </c>
      <c r="P332" s="94" t="s">
        <v>495</v>
      </c>
      <c r="Q332" s="94" t="s">
        <v>935</v>
      </c>
      <c r="R332" s="94" t="s">
        <v>40</v>
      </c>
      <c r="S332" s="98"/>
      <c r="T332" s="94"/>
      <c r="U332" s="94"/>
      <c r="V332" s="70"/>
      <c r="W332" s="73" t="str">
        <f t="shared" si="2"/>
        <v/>
      </c>
      <c r="X332" s="73" t="str">
        <f t="shared" si="3"/>
        <v/>
      </c>
      <c r="Y332" s="73" t="str">
        <f t="shared" si="4"/>
        <v>X</v>
      </c>
      <c r="Z332" s="73" t="str">
        <f t="shared" si="5"/>
        <v/>
      </c>
      <c r="AA332" s="73" t="s">
        <v>28</v>
      </c>
      <c r="AB332" s="73" t="str">
        <f t="shared" si="6"/>
        <v>Trim 3</v>
      </c>
      <c r="AC332" s="73">
        <f t="shared" si="7"/>
        <v>0</v>
      </c>
      <c r="AD332" s="73">
        <f t="shared" si="8"/>
        <v>0</v>
      </c>
      <c r="AE332" s="73"/>
      <c r="AF332" s="73"/>
      <c r="AG332" s="73"/>
      <c r="AH332" s="73"/>
      <c r="AI332" s="73"/>
    </row>
    <row r="333" spans="1:35" ht="45">
      <c r="A333" s="94" t="s">
        <v>929</v>
      </c>
      <c r="B333" s="94">
        <v>5</v>
      </c>
      <c r="C333" s="94" t="s">
        <v>1011</v>
      </c>
      <c r="D333" s="96">
        <v>0.2</v>
      </c>
      <c r="E333" s="94" t="s">
        <v>405</v>
      </c>
      <c r="F333" s="94" t="s">
        <v>1021</v>
      </c>
      <c r="G333" s="98">
        <v>1.4999999999999999E-2</v>
      </c>
      <c r="H333" s="94" t="s">
        <v>1016</v>
      </c>
      <c r="I333" s="94" t="s">
        <v>1017</v>
      </c>
      <c r="J333" s="94" t="s">
        <v>934</v>
      </c>
      <c r="K333" s="94" t="s">
        <v>115</v>
      </c>
      <c r="L333" s="94" t="s">
        <v>939</v>
      </c>
      <c r="M333" s="94" t="s">
        <v>40</v>
      </c>
      <c r="N333" s="94" t="s">
        <v>41</v>
      </c>
      <c r="O333" s="94" t="s">
        <v>42</v>
      </c>
      <c r="P333" s="94" t="s">
        <v>495</v>
      </c>
      <c r="Q333" s="94" t="s">
        <v>935</v>
      </c>
      <c r="R333" s="94" t="s">
        <v>40</v>
      </c>
      <c r="S333" s="98"/>
      <c r="T333" s="94"/>
      <c r="U333" s="94"/>
      <c r="V333" s="70"/>
      <c r="W333" s="73" t="str">
        <f t="shared" si="2"/>
        <v/>
      </c>
      <c r="X333" s="73" t="str">
        <f t="shared" si="3"/>
        <v/>
      </c>
      <c r="Y333" s="73" t="str">
        <f t="shared" si="4"/>
        <v>X</v>
      </c>
      <c r="Z333" s="73" t="str">
        <f t="shared" si="5"/>
        <v/>
      </c>
      <c r="AA333" s="73" t="s">
        <v>28</v>
      </c>
      <c r="AB333" s="73" t="str">
        <f t="shared" si="6"/>
        <v>Trim 3</v>
      </c>
      <c r="AC333" s="73">
        <f t="shared" si="7"/>
        <v>0</v>
      </c>
      <c r="AD333" s="73">
        <f t="shared" si="8"/>
        <v>0</v>
      </c>
      <c r="AE333" s="73"/>
      <c r="AF333" s="73"/>
      <c r="AG333" s="73"/>
      <c r="AH333" s="73"/>
      <c r="AI333" s="73"/>
    </row>
    <row r="334" spans="1:35" ht="60">
      <c r="A334" s="94" t="s">
        <v>929</v>
      </c>
      <c r="B334" s="94">
        <v>5</v>
      </c>
      <c r="C334" s="94" t="s">
        <v>1011</v>
      </c>
      <c r="D334" s="96">
        <v>0.2</v>
      </c>
      <c r="E334" s="94" t="s">
        <v>410</v>
      </c>
      <c r="F334" s="94" t="s">
        <v>1022</v>
      </c>
      <c r="G334" s="98">
        <v>3.5000000000000003E-2</v>
      </c>
      <c r="H334" s="94" t="s">
        <v>1013</v>
      </c>
      <c r="I334" s="94" t="s">
        <v>1014</v>
      </c>
      <c r="J334" s="94" t="s">
        <v>934</v>
      </c>
      <c r="K334" s="94" t="s">
        <v>39</v>
      </c>
      <c r="L334" s="94" t="s">
        <v>939</v>
      </c>
      <c r="M334" s="94" t="s">
        <v>40</v>
      </c>
      <c r="N334" s="94" t="s">
        <v>41</v>
      </c>
      <c r="O334" s="94" t="s">
        <v>42</v>
      </c>
      <c r="P334" s="94" t="s">
        <v>495</v>
      </c>
      <c r="Q334" s="94" t="s">
        <v>935</v>
      </c>
      <c r="R334" s="94" t="s">
        <v>40</v>
      </c>
      <c r="S334" s="98"/>
      <c r="T334" s="94"/>
      <c r="U334" s="94"/>
      <c r="V334" s="70"/>
      <c r="W334" s="73" t="str">
        <f t="shared" si="2"/>
        <v/>
      </c>
      <c r="X334" s="73" t="str">
        <f t="shared" si="3"/>
        <v/>
      </c>
      <c r="Y334" s="73" t="str">
        <f t="shared" si="4"/>
        <v/>
      </c>
      <c r="Z334" s="73" t="str">
        <f t="shared" si="5"/>
        <v>X</v>
      </c>
      <c r="AA334" s="73" t="s">
        <v>29</v>
      </c>
      <c r="AB334" s="73" t="str">
        <f t="shared" si="6"/>
        <v>Trim 4</v>
      </c>
      <c r="AC334" s="73">
        <f t="shared" si="7"/>
        <v>0</v>
      </c>
      <c r="AD334" s="73">
        <f t="shared" si="8"/>
        <v>0</v>
      </c>
      <c r="AE334" s="73"/>
      <c r="AF334" s="73"/>
      <c r="AG334" s="73"/>
      <c r="AH334" s="73"/>
      <c r="AI334" s="73"/>
    </row>
    <row r="335" spans="1:35" ht="45">
      <c r="A335" s="94" t="s">
        <v>929</v>
      </c>
      <c r="B335" s="94">
        <v>5</v>
      </c>
      <c r="C335" s="94" t="s">
        <v>1011</v>
      </c>
      <c r="D335" s="96">
        <v>0.2</v>
      </c>
      <c r="E335" s="94" t="s">
        <v>1023</v>
      </c>
      <c r="F335" s="94" t="s">
        <v>1024</v>
      </c>
      <c r="G335" s="98">
        <v>1.4999999999999999E-2</v>
      </c>
      <c r="H335" s="94" t="s">
        <v>1016</v>
      </c>
      <c r="I335" s="94" t="s">
        <v>1017</v>
      </c>
      <c r="J335" s="94" t="s">
        <v>934</v>
      </c>
      <c r="K335" s="94" t="s">
        <v>39</v>
      </c>
      <c r="L335" s="94" t="s">
        <v>939</v>
      </c>
      <c r="M335" s="94" t="s">
        <v>40</v>
      </c>
      <c r="N335" s="94" t="s">
        <v>41</v>
      </c>
      <c r="O335" s="94" t="s">
        <v>42</v>
      </c>
      <c r="P335" s="94" t="s">
        <v>495</v>
      </c>
      <c r="Q335" s="94" t="s">
        <v>935</v>
      </c>
      <c r="R335" s="94" t="s">
        <v>40</v>
      </c>
      <c r="S335" s="98"/>
      <c r="T335" s="94"/>
      <c r="U335" s="94"/>
      <c r="V335" s="70"/>
      <c r="W335" s="73" t="str">
        <f t="shared" si="2"/>
        <v/>
      </c>
      <c r="X335" s="73" t="str">
        <f t="shared" si="3"/>
        <v/>
      </c>
      <c r="Y335" s="73" t="str">
        <f t="shared" si="4"/>
        <v/>
      </c>
      <c r="Z335" s="73" t="str">
        <f t="shared" si="5"/>
        <v>X</v>
      </c>
      <c r="AA335" s="73" t="s">
        <v>29</v>
      </c>
      <c r="AB335" s="73" t="str">
        <f t="shared" si="6"/>
        <v>Trim 4</v>
      </c>
      <c r="AC335" s="73">
        <f t="shared" si="7"/>
        <v>0</v>
      </c>
      <c r="AD335" s="73">
        <f t="shared" si="8"/>
        <v>0</v>
      </c>
      <c r="AE335" s="73"/>
      <c r="AF335" s="73"/>
      <c r="AG335" s="73"/>
      <c r="AH335" s="73"/>
      <c r="AI335" s="73"/>
    </row>
    <row r="336" spans="1:35" ht="75">
      <c r="A336" s="94" t="s">
        <v>1025</v>
      </c>
      <c r="B336" s="94">
        <v>1</v>
      </c>
      <c r="C336" s="94" t="s">
        <v>1026</v>
      </c>
      <c r="D336" s="96">
        <v>0.2</v>
      </c>
      <c r="E336" s="94" t="s">
        <v>34</v>
      </c>
      <c r="F336" s="94" t="s">
        <v>1027</v>
      </c>
      <c r="G336" s="98">
        <v>0.02</v>
      </c>
      <c r="H336" s="94" t="s">
        <v>1028</v>
      </c>
      <c r="I336" s="94" t="s">
        <v>1029</v>
      </c>
      <c r="J336" s="94" t="s">
        <v>1030</v>
      </c>
      <c r="K336" s="94" t="s">
        <v>1031</v>
      </c>
      <c r="L336" s="94" t="s">
        <v>939</v>
      </c>
      <c r="M336" s="94" t="s">
        <v>40</v>
      </c>
      <c r="N336" s="94" t="s">
        <v>41</v>
      </c>
      <c r="O336" s="94" t="s">
        <v>42</v>
      </c>
      <c r="P336" s="94" t="s">
        <v>495</v>
      </c>
      <c r="Q336" s="94" t="s">
        <v>935</v>
      </c>
      <c r="R336" s="94" t="s">
        <v>40</v>
      </c>
      <c r="S336" s="98"/>
      <c r="T336" s="94"/>
      <c r="U336" s="94"/>
      <c r="V336" s="70"/>
      <c r="W336" s="73" t="str">
        <f t="shared" si="2"/>
        <v>X</v>
      </c>
      <c r="X336" s="73" t="str">
        <f t="shared" si="3"/>
        <v/>
      </c>
      <c r="Y336" s="73" t="str">
        <f t="shared" si="4"/>
        <v/>
      </c>
      <c r="Z336" s="73" t="str">
        <f t="shared" si="5"/>
        <v/>
      </c>
      <c r="AA336" s="73" t="s">
        <v>26</v>
      </c>
      <c r="AB336" s="73" t="str">
        <f t="shared" si="6"/>
        <v>Trim 1</v>
      </c>
      <c r="AC336" s="73">
        <f t="shared" si="7"/>
        <v>0</v>
      </c>
      <c r="AD336" s="73">
        <f t="shared" si="8"/>
        <v>1</v>
      </c>
      <c r="AE336" s="73"/>
      <c r="AF336" s="73"/>
      <c r="AG336" s="73"/>
      <c r="AH336" s="73"/>
      <c r="AI336" s="73"/>
    </row>
    <row r="337" spans="1:35" ht="75">
      <c r="A337" s="94" t="s">
        <v>1025</v>
      </c>
      <c r="B337" s="94">
        <v>1</v>
      </c>
      <c r="C337" s="94" t="s">
        <v>1026</v>
      </c>
      <c r="D337" s="96">
        <v>0.2</v>
      </c>
      <c r="E337" s="94" t="s">
        <v>47</v>
      </c>
      <c r="F337" s="94" t="s">
        <v>1032</v>
      </c>
      <c r="G337" s="98">
        <v>0.05</v>
      </c>
      <c r="H337" s="94" t="s">
        <v>1032</v>
      </c>
      <c r="I337" s="94" t="s">
        <v>1029</v>
      </c>
      <c r="J337" s="94" t="s">
        <v>1030</v>
      </c>
      <c r="K337" s="94" t="s">
        <v>111</v>
      </c>
      <c r="L337" s="94" t="s">
        <v>939</v>
      </c>
      <c r="M337" s="94" t="s">
        <v>40</v>
      </c>
      <c r="N337" s="94" t="s">
        <v>41</v>
      </c>
      <c r="O337" s="94" t="s">
        <v>42</v>
      </c>
      <c r="P337" s="94" t="s">
        <v>495</v>
      </c>
      <c r="Q337" s="94" t="s">
        <v>935</v>
      </c>
      <c r="R337" s="94" t="s">
        <v>40</v>
      </c>
      <c r="S337" s="98"/>
      <c r="T337" s="94"/>
      <c r="U337" s="94"/>
      <c r="V337" s="70"/>
      <c r="W337" s="73" t="str">
        <f t="shared" si="2"/>
        <v/>
      </c>
      <c r="X337" s="73" t="str">
        <f t="shared" si="3"/>
        <v>X</v>
      </c>
      <c r="Y337" s="73" t="str">
        <f t="shared" si="4"/>
        <v/>
      </c>
      <c r="Z337" s="73" t="str">
        <f t="shared" si="5"/>
        <v/>
      </c>
      <c r="AA337" s="73" t="s">
        <v>27</v>
      </c>
      <c r="AB337" s="73" t="str">
        <f t="shared" si="6"/>
        <v>Trim 2</v>
      </c>
      <c r="AC337" s="73">
        <f t="shared" si="7"/>
        <v>0</v>
      </c>
      <c r="AD337" s="73">
        <f t="shared" si="8"/>
        <v>0</v>
      </c>
      <c r="AE337" s="73"/>
      <c r="AF337" s="73"/>
      <c r="AG337" s="73"/>
      <c r="AH337" s="73"/>
      <c r="AI337" s="73"/>
    </row>
    <row r="338" spans="1:35" ht="75">
      <c r="A338" s="94" t="s">
        <v>1025</v>
      </c>
      <c r="B338" s="94">
        <v>1</v>
      </c>
      <c r="C338" s="94" t="s">
        <v>1026</v>
      </c>
      <c r="D338" s="96">
        <v>0.2</v>
      </c>
      <c r="E338" s="94" t="s">
        <v>49</v>
      </c>
      <c r="F338" s="94" t="s">
        <v>1033</v>
      </c>
      <c r="G338" s="98">
        <v>5.3999999999999999E-2</v>
      </c>
      <c r="H338" s="94" t="s">
        <v>1034</v>
      </c>
      <c r="I338" s="94" t="s">
        <v>1029</v>
      </c>
      <c r="J338" s="94" t="s">
        <v>1035</v>
      </c>
      <c r="K338" s="94" t="s">
        <v>133</v>
      </c>
      <c r="L338" s="94" t="s">
        <v>939</v>
      </c>
      <c r="M338" s="94" t="s">
        <v>40</v>
      </c>
      <c r="N338" s="94" t="s">
        <v>41</v>
      </c>
      <c r="O338" s="94" t="s">
        <v>42</v>
      </c>
      <c r="P338" s="94" t="s">
        <v>495</v>
      </c>
      <c r="Q338" s="94" t="s">
        <v>935</v>
      </c>
      <c r="R338" s="94" t="s">
        <v>40</v>
      </c>
      <c r="S338" s="98"/>
      <c r="T338" s="94"/>
      <c r="U338" s="94"/>
      <c r="V338" s="70"/>
      <c r="W338" s="73" t="str">
        <f t="shared" si="2"/>
        <v/>
      </c>
      <c r="X338" s="73" t="str">
        <f t="shared" si="3"/>
        <v/>
      </c>
      <c r="Y338" s="73" t="str">
        <f t="shared" si="4"/>
        <v>X</v>
      </c>
      <c r="Z338" s="73" t="str">
        <f t="shared" si="5"/>
        <v/>
      </c>
      <c r="AA338" s="73" t="s">
        <v>28</v>
      </c>
      <c r="AB338" s="73" t="str">
        <f t="shared" si="6"/>
        <v>Trim 3</v>
      </c>
      <c r="AC338" s="73">
        <f t="shared" si="7"/>
        <v>0</v>
      </c>
      <c r="AD338" s="73">
        <f t="shared" si="8"/>
        <v>0</v>
      </c>
      <c r="AE338" s="73"/>
      <c r="AF338" s="73"/>
      <c r="AG338" s="73"/>
      <c r="AH338" s="73"/>
      <c r="AI338" s="73"/>
    </row>
    <row r="339" spans="1:35" ht="75">
      <c r="A339" s="94" t="s">
        <v>1025</v>
      </c>
      <c r="B339" s="94">
        <v>1</v>
      </c>
      <c r="C339" s="94" t="s">
        <v>1026</v>
      </c>
      <c r="D339" s="96">
        <v>0.2</v>
      </c>
      <c r="E339" s="94" t="s">
        <v>49</v>
      </c>
      <c r="F339" s="94" t="s">
        <v>1033</v>
      </c>
      <c r="G339" s="98">
        <v>6.0000000000000001E-3</v>
      </c>
      <c r="H339" s="94" t="s">
        <v>1036</v>
      </c>
      <c r="I339" s="94" t="s">
        <v>1029</v>
      </c>
      <c r="J339" s="94" t="s">
        <v>1035</v>
      </c>
      <c r="K339" s="94" t="s">
        <v>115</v>
      </c>
      <c r="L339" s="94" t="s">
        <v>939</v>
      </c>
      <c r="M339" s="94" t="s">
        <v>40</v>
      </c>
      <c r="N339" s="94" t="s">
        <v>41</v>
      </c>
      <c r="O339" s="94" t="s">
        <v>42</v>
      </c>
      <c r="P339" s="94" t="s">
        <v>495</v>
      </c>
      <c r="Q339" s="94" t="s">
        <v>935</v>
      </c>
      <c r="R339" s="94" t="s">
        <v>40</v>
      </c>
      <c r="S339" s="98"/>
      <c r="T339" s="94"/>
      <c r="U339" s="94"/>
      <c r="V339" s="70"/>
      <c r="W339" s="73" t="str">
        <f t="shared" si="2"/>
        <v/>
      </c>
      <c r="X339" s="73" t="str">
        <f t="shared" si="3"/>
        <v/>
      </c>
      <c r="Y339" s="73" t="str">
        <f t="shared" si="4"/>
        <v>X</v>
      </c>
      <c r="Z339" s="73" t="str">
        <f t="shared" si="5"/>
        <v/>
      </c>
      <c r="AA339" s="73" t="s">
        <v>28</v>
      </c>
      <c r="AB339" s="73" t="str">
        <f t="shared" si="6"/>
        <v>Trim 3</v>
      </c>
      <c r="AC339" s="73">
        <f t="shared" si="7"/>
        <v>0</v>
      </c>
      <c r="AD339" s="73">
        <f t="shared" si="8"/>
        <v>0</v>
      </c>
      <c r="AE339" s="73"/>
      <c r="AF339" s="73"/>
      <c r="AG339" s="73"/>
      <c r="AH339" s="73"/>
      <c r="AI339" s="73"/>
    </row>
    <row r="340" spans="1:35" ht="75">
      <c r="A340" s="94" t="s">
        <v>1025</v>
      </c>
      <c r="B340" s="94">
        <v>1</v>
      </c>
      <c r="C340" s="94" t="s">
        <v>1026</v>
      </c>
      <c r="D340" s="96">
        <v>0.2</v>
      </c>
      <c r="E340" s="94" t="s">
        <v>52</v>
      </c>
      <c r="F340" s="94" t="s">
        <v>1037</v>
      </c>
      <c r="G340" s="98">
        <v>7.0000000000000001E-3</v>
      </c>
      <c r="H340" s="94" t="s">
        <v>1038</v>
      </c>
      <c r="I340" s="94" t="s">
        <v>1039</v>
      </c>
      <c r="J340" s="94" t="s">
        <v>1035</v>
      </c>
      <c r="K340" s="94" t="s">
        <v>138</v>
      </c>
      <c r="L340" s="94" t="s">
        <v>939</v>
      </c>
      <c r="M340" s="94" t="s">
        <v>40</v>
      </c>
      <c r="N340" s="94" t="s">
        <v>41</v>
      </c>
      <c r="O340" s="94" t="s">
        <v>42</v>
      </c>
      <c r="P340" s="94" t="s">
        <v>495</v>
      </c>
      <c r="Q340" s="94" t="s">
        <v>935</v>
      </c>
      <c r="R340" s="94" t="s">
        <v>40</v>
      </c>
      <c r="S340" s="98"/>
      <c r="T340" s="94"/>
      <c r="U340" s="94"/>
      <c r="V340" s="70"/>
      <c r="W340" s="73" t="str">
        <f t="shared" si="2"/>
        <v/>
      </c>
      <c r="X340" s="73" t="str">
        <f t="shared" si="3"/>
        <v/>
      </c>
      <c r="Y340" s="73" t="str">
        <f t="shared" si="4"/>
        <v/>
      </c>
      <c r="Z340" s="73" t="str">
        <f t="shared" si="5"/>
        <v>X</v>
      </c>
      <c r="AA340" s="73" t="s">
        <v>29</v>
      </c>
      <c r="AB340" s="73" t="str">
        <f t="shared" si="6"/>
        <v>Trim 4</v>
      </c>
      <c r="AC340" s="73">
        <f t="shared" si="7"/>
        <v>0</v>
      </c>
      <c r="AD340" s="73">
        <f t="shared" si="8"/>
        <v>0</v>
      </c>
      <c r="AE340" s="73"/>
      <c r="AF340" s="73"/>
      <c r="AG340" s="73"/>
      <c r="AH340" s="73"/>
      <c r="AI340" s="73"/>
    </row>
    <row r="341" spans="1:35" ht="75">
      <c r="A341" s="94" t="s">
        <v>1025</v>
      </c>
      <c r="B341" s="94">
        <v>1</v>
      </c>
      <c r="C341" s="94" t="s">
        <v>1026</v>
      </c>
      <c r="D341" s="96">
        <v>0.2</v>
      </c>
      <c r="E341" s="94" t="s">
        <v>184</v>
      </c>
      <c r="F341" s="94" t="s">
        <v>1040</v>
      </c>
      <c r="G341" s="98">
        <v>5.6000000000000001E-2</v>
      </c>
      <c r="H341" s="94" t="s">
        <v>1040</v>
      </c>
      <c r="I341" s="94" t="s">
        <v>1039</v>
      </c>
      <c r="J341" s="94" t="s">
        <v>1035</v>
      </c>
      <c r="K341" s="94" t="s">
        <v>39</v>
      </c>
      <c r="L341" s="94" t="s">
        <v>939</v>
      </c>
      <c r="M341" s="94" t="s">
        <v>40</v>
      </c>
      <c r="N341" s="94" t="s">
        <v>41</v>
      </c>
      <c r="O341" s="94" t="s">
        <v>42</v>
      </c>
      <c r="P341" s="94" t="s">
        <v>495</v>
      </c>
      <c r="Q341" s="94" t="s">
        <v>935</v>
      </c>
      <c r="R341" s="94" t="s">
        <v>40</v>
      </c>
      <c r="S341" s="98"/>
      <c r="T341" s="94"/>
      <c r="U341" s="94"/>
      <c r="V341" s="70"/>
      <c r="W341" s="73" t="str">
        <f t="shared" si="2"/>
        <v/>
      </c>
      <c r="X341" s="73" t="str">
        <f t="shared" si="3"/>
        <v/>
      </c>
      <c r="Y341" s="73" t="str">
        <f t="shared" si="4"/>
        <v/>
      </c>
      <c r="Z341" s="73" t="str">
        <f t="shared" si="5"/>
        <v>X</v>
      </c>
      <c r="AA341" s="73" t="s">
        <v>29</v>
      </c>
      <c r="AB341" s="73" t="str">
        <f t="shared" si="6"/>
        <v>Trim 4</v>
      </c>
      <c r="AC341" s="73">
        <f t="shared" si="7"/>
        <v>0</v>
      </c>
      <c r="AD341" s="73">
        <f t="shared" si="8"/>
        <v>0</v>
      </c>
      <c r="AE341" s="73"/>
      <c r="AF341" s="73"/>
      <c r="AG341" s="73"/>
      <c r="AH341" s="73"/>
      <c r="AI341" s="73"/>
    </row>
    <row r="342" spans="1:35" ht="75">
      <c r="A342" s="94" t="s">
        <v>1025</v>
      </c>
      <c r="B342" s="94">
        <v>1</v>
      </c>
      <c r="C342" s="94" t="s">
        <v>1026</v>
      </c>
      <c r="D342" s="96">
        <v>0.2</v>
      </c>
      <c r="E342" s="94" t="s">
        <v>189</v>
      </c>
      <c r="F342" s="94" t="s">
        <v>1041</v>
      </c>
      <c r="G342" s="98">
        <v>7.0000000000000001E-3</v>
      </c>
      <c r="H342" s="94" t="s">
        <v>1042</v>
      </c>
      <c r="I342" s="94" t="s">
        <v>1039</v>
      </c>
      <c r="J342" s="94" t="s">
        <v>1035</v>
      </c>
      <c r="K342" s="94" t="s">
        <v>39</v>
      </c>
      <c r="L342" s="94" t="s">
        <v>939</v>
      </c>
      <c r="M342" s="94" t="s">
        <v>40</v>
      </c>
      <c r="N342" s="94" t="s">
        <v>41</v>
      </c>
      <c r="O342" s="94" t="s">
        <v>42</v>
      </c>
      <c r="P342" s="94" t="s">
        <v>495</v>
      </c>
      <c r="Q342" s="94" t="s">
        <v>935</v>
      </c>
      <c r="R342" s="94" t="s">
        <v>40</v>
      </c>
      <c r="S342" s="98"/>
      <c r="T342" s="94"/>
      <c r="U342" s="94"/>
      <c r="V342" s="70"/>
      <c r="W342" s="73" t="str">
        <f t="shared" si="2"/>
        <v/>
      </c>
      <c r="X342" s="73" t="str">
        <f t="shared" si="3"/>
        <v/>
      </c>
      <c r="Y342" s="73" t="str">
        <f t="shared" si="4"/>
        <v/>
      </c>
      <c r="Z342" s="73" t="str">
        <f t="shared" si="5"/>
        <v>X</v>
      </c>
      <c r="AA342" s="73" t="s">
        <v>29</v>
      </c>
      <c r="AB342" s="73" t="str">
        <f t="shared" si="6"/>
        <v>Trim 4</v>
      </c>
      <c r="AC342" s="73">
        <f t="shared" si="7"/>
        <v>0</v>
      </c>
      <c r="AD342" s="73">
        <f t="shared" si="8"/>
        <v>0</v>
      </c>
      <c r="AE342" s="73"/>
      <c r="AF342" s="73"/>
      <c r="AG342" s="73"/>
      <c r="AH342" s="73"/>
      <c r="AI342" s="73"/>
    </row>
    <row r="343" spans="1:35" ht="45">
      <c r="A343" s="94" t="s">
        <v>1025</v>
      </c>
      <c r="B343" s="94">
        <v>2</v>
      </c>
      <c r="C343" s="94" t="s">
        <v>1043</v>
      </c>
      <c r="D343" s="96">
        <v>0.2</v>
      </c>
      <c r="E343" s="94" t="s">
        <v>56</v>
      </c>
      <c r="F343" s="94" t="s">
        <v>1043</v>
      </c>
      <c r="G343" s="98">
        <v>1.2500000000000001E-2</v>
      </c>
      <c r="H343" s="94" t="s">
        <v>1044</v>
      </c>
      <c r="I343" s="94" t="s">
        <v>1045</v>
      </c>
      <c r="J343" s="94" t="s">
        <v>1030</v>
      </c>
      <c r="K343" s="94" t="s">
        <v>45</v>
      </c>
      <c r="L343" s="94" t="s">
        <v>40</v>
      </c>
      <c r="M343" s="94" t="s">
        <v>40</v>
      </c>
      <c r="N343" s="94" t="s">
        <v>41</v>
      </c>
      <c r="O343" s="94" t="s">
        <v>42</v>
      </c>
      <c r="P343" s="94" t="s">
        <v>495</v>
      </c>
      <c r="Q343" s="94" t="s">
        <v>935</v>
      </c>
      <c r="R343" s="94" t="s">
        <v>40</v>
      </c>
      <c r="S343" s="98"/>
      <c r="T343" s="94"/>
      <c r="U343" s="94"/>
      <c r="V343" s="70"/>
      <c r="W343" s="73" t="str">
        <f t="shared" si="2"/>
        <v>X</v>
      </c>
      <c r="X343" s="73" t="str">
        <f t="shared" si="3"/>
        <v/>
      </c>
      <c r="Y343" s="73" t="str">
        <f t="shared" si="4"/>
        <v/>
      </c>
      <c r="Z343" s="73" t="str">
        <f t="shared" si="5"/>
        <v/>
      </c>
      <c r="AA343" s="73" t="s">
        <v>26</v>
      </c>
      <c r="AB343" s="73" t="str">
        <f t="shared" si="6"/>
        <v>Trim 1</v>
      </c>
      <c r="AC343" s="73">
        <f t="shared" si="7"/>
        <v>0</v>
      </c>
      <c r="AD343" s="73">
        <f t="shared" si="8"/>
        <v>1</v>
      </c>
      <c r="AE343" s="73"/>
      <c r="AF343" s="73"/>
      <c r="AG343" s="73"/>
      <c r="AH343" s="73"/>
      <c r="AI343" s="73"/>
    </row>
    <row r="344" spans="1:35" ht="45">
      <c r="A344" s="94" t="s">
        <v>1025</v>
      </c>
      <c r="B344" s="94">
        <v>2</v>
      </c>
      <c r="C344" s="94" t="s">
        <v>1043</v>
      </c>
      <c r="D344" s="96">
        <v>0.2</v>
      </c>
      <c r="E344" s="94" t="s">
        <v>60</v>
      </c>
      <c r="F344" s="94" t="s">
        <v>1043</v>
      </c>
      <c r="G344" s="98">
        <v>1.2500000000000001E-2</v>
      </c>
      <c r="H344" s="94" t="s">
        <v>1044</v>
      </c>
      <c r="I344" s="94" t="s">
        <v>1045</v>
      </c>
      <c r="J344" s="94" t="s">
        <v>1030</v>
      </c>
      <c r="K344" s="94" t="s">
        <v>111</v>
      </c>
      <c r="L344" s="94" t="s">
        <v>40</v>
      </c>
      <c r="M344" s="94" t="s">
        <v>40</v>
      </c>
      <c r="N344" s="94" t="s">
        <v>41</v>
      </c>
      <c r="O344" s="94" t="s">
        <v>42</v>
      </c>
      <c r="P344" s="94" t="s">
        <v>495</v>
      </c>
      <c r="Q344" s="94" t="s">
        <v>935</v>
      </c>
      <c r="R344" s="94" t="s">
        <v>40</v>
      </c>
      <c r="S344" s="98"/>
      <c r="T344" s="94"/>
      <c r="U344" s="94"/>
      <c r="V344" s="70"/>
      <c r="W344" s="73" t="str">
        <f t="shared" si="2"/>
        <v/>
      </c>
      <c r="X344" s="73" t="str">
        <f t="shared" si="3"/>
        <v>X</v>
      </c>
      <c r="Y344" s="73" t="str">
        <f t="shared" si="4"/>
        <v/>
      </c>
      <c r="Z344" s="73" t="str">
        <f t="shared" si="5"/>
        <v/>
      </c>
      <c r="AA344" s="73" t="s">
        <v>27</v>
      </c>
      <c r="AB344" s="73" t="str">
        <f t="shared" si="6"/>
        <v>Trim 2</v>
      </c>
      <c r="AC344" s="73">
        <f t="shared" si="7"/>
        <v>0</v>
      </c>
      <c r="AD344" s="73">
        <f t="shared" si="8"/>
        <v>0</v>
      </c>
      <c r="AE344" s="73"/>
      <c r="AF344" s="73"/>
      <c r="AG344" s="73"/>
      <c r="AH344" s="73"/>
      <c r="AI344" s="73"/>
    </row>
    <row r="345" spans="1:35" ht="45">
      <c r="A345" s="94" t="s">
        <v>1025</v>
      </c>
      <c r="B345" s="94">
        <v>2</v>
      </c>
      <c r="C345" s="94" t="s">
        <v>1043</v>
      </c>
      <c r="D345" s="96">
        <v>0.2</v>
      </c>
      <c r="E345" s="94" t="s">
        <v>63</v>
      </c>
      <c r="F345" s="94" t="s">
        <v>1043</v>
      </c>
      <c r="G345" s="98">
        <v>1.2500000000000001E-2</v>
      </c>
      <c r="H345" s="94" t="s">
        <v>1044</v>
      </c>
      <c r="I345" s="94" t="s">
        <v>1045</v>
      </c>
      <c r="J345" s="94" t="s">
        <v>1030</v>
      </c>
      <c r="K345" s="94" t="s">
        <v>115</v>
      </c>
      <c r="L345" s="94" t="s">
        <v>40</v>
      </c>
      <c r="M345" s="94" t="s">
        <v>40</v>
      </c>
      <c r="N345" s="94" t="s">
        <v>41</v>
      </c>
      <c r="O345" s="94" t="s">
        <v>42</v>
      </c>
      <c r="P345" s="94" t="s">
        <v>495</v>
      </c>
      <c r="Q345" s="94" t="s">
        <v>935</v>
      </c>
      <c r="R345" s="94" t="s">
        <v>40</v>
      </c>
      <c r="S345" s="98"/>
      <c r="T345" s="94"/>
      <c r="U345" s="94"/>
      <c r="V345" s="70"/>
      <c r="W345" s="73" t="str">
        <f t="shared" si="2"/>
        <v/>
      </c>
      <c r="X345" s="73" t="str">
        <f t="shared" si="3"/>
        <v/>
      </c>
      <c r="Y345" s="73" t="str">
        <f t="shared" si="4"/>
        <v>X</v>
      </c>
      <c r="Z345" s="73" t="str">
        <f t="shared" si="5"/>
        <v/>
      </c>
      <c r="AA345" s="73" t="s">
        <v>28</v>
      </c>
      <c r="AB345" s="73" t="str">
        <f t="shared" si="6"/>
        <v>Trim 3</v>
      </c>
      <c r="AC345" s="73">
        <f t="shared" si="7"/>
        <v>0</v>
      </c>
      <c r="AD345" s="73">
        <f t="shared" si="8"/>
        <v>0</v>
      </c>
      <c r="AE345" s="73"/>
      <c r="AF345" s="73"/>
      <c r="AG345" s="73"/>
      <c r="AH345" s="73"/>
      <c r="AI345" s="73"/>
    </row>
    <row r="346" spans="1:35" ht="45">
      <c r="A346" s="94" t="s">
        <v>1025</v>
      </c>
      <c r="B346" s="94">
        <v>2</v>
      </c>
      <c r="C346" s="94" t="s">
        <v>1043</v>
      </c>
      <c r="D346" s="96">
        <v>0.2</v>
      </c>
      <c r="E346" s="94" t="s">
        <v>110</v>
      </c>
      <c r="F346" s="94" t="s">
        <v>1043</v>
      </c>
      <c r="G346" s="98">
        <v>1.2500000000000001E-2</v>
      </c>
      <c r="H346" s="94" t="s">
        <v>1044</v>
      </c>
      <c r="I346" s="94" t="s">
        <v>1045</v>
      </c>
      <c r="J346" s="94" t="s">
        <v>1030</v>
      </c>
      <c r="K346" s="94" t="s">
        <v>39</v>
      </c>
      <c r="L346" s="94" t="s">
        <v>40</v>
      </c>
      <c r="M346" s="94" t="s">
        <v>40</v>
      </c>
      <c r="N346" s="94" t="s">
        <v>41</v>
      </c>
      <c r="O346" s="94" t="s">
        <v>42</v>
      </c>
      <c r="P346" s="94" t="s">
        <v>495</v>
      </c>
      <c r="Q346" s="94" t="s">
        <v>935</v>
      </c>
      <c r="R346" s="94" t="s">
        <v>40</v>
      </c>
      <c r="S346" s="98"/>
      <c r="T346" s="94"/>
      <c r="U346" s="94"/>
      <c r="V346" s="70"/>
      <c r="W346" s="73" t="str">
        <f t="shared" si="2"/>
        <v/>
      </c>
      <c r="X346" s="73" t="str">
        <f t="shared" si="3"/>
        <v/>
      </c>
      <c r="Y346" s="73" t="str">
        <f t="shared" si="4"/>
        <v/>
      </c>
      <c r="Z346" s="73" t="str">
        <f t="shared" si="5"/>
        <v>X</v>
      </c>
      <c r="AA346" s="73" t="s">
        <v>29</v>
      </c>
      <c r="AB346" s="73" t="str">
        <f t="shared" si="6"/>
        <v>Trim 4</v>
      </c>
      <c r="AC346" s="73">
        <f t="shared" si="7"/>
        <v>0</v>
      </c>
      <c r="AD346" s="73">
        <f t="shared" si="8"/>
        <v>0</v>
      </c>
      <c r="AE346" s="73"/>
      <c r="AF346" s="73"/>
      <c r="AG346" s="73"/>
      <c r="AH346" s="73"/>
      <c r="AI346" s="73"/>
    </row>
    <row r="347" spans="1:35" ht="45">
      <c r="A347" s="94" t="s">
        <v>1025</v>
      </c>
      <c r="B347" s="94">
        <v>2</v>
      </c>
      <c r="C347" s="94" t="s">
        <v>1046</v>
      </c>
      <c r="D347" s="96">
        <v>0.2</v>
      </c>
      <c r="E347" s="94" t="s">
        <v>112</v>
      </c>
      <c r="F347" s="94" t="s">
        <v>1046</v>
      </c>
      <c r="G347" s="98">
        <v>1.2500000000000001E-2</v>
      </c>
      <c r="H347" s="94" t="s">
        <v>1044</v>
      </c>
      <c r="I347" s="94" t="s">
        <v>1047</v>
      </c>
      <c r="J347" s="94" t="s">
        <v>1030</v>
      </c>
      <c r="K347" s="94" t="s">
        <v>45</v>
      </c>
      <c r="L347" s="94" t="s">
        <v>40</v>
      </c>
      <c r="M347" s="94" t="s">
        <v>40</v>
      </c>
      <c r="N347" s="94" t="s">
        <v>41</v>
      </c>
      <c r="O347" s="94" t="s">
        <v>42</v>
      </c>
      <c r="P347" s="94" t="s">
        <v>495</v>
      </c>
      <c r="Q347" s="94" t="s">
        <v>935</v>
      </c>
      <c r="R347" s="94" t="s">
        <v>40</v>
      </c>
      <c r="S347" s="98"/>
      <c r="T347" s="94"/>
      <c r="U347" s="94"/>
      <c r="V347" s="70"/>
      <c r="W347" s="73" t="str">
        <f t="shared" si="2"/>
        <v>X</v>
      </c>
      <c r="X347" s="73" t="str">
        <f t="shared" si="3"/>
        <v/>
      </c>
      <c r="Y347" s="73" t="str">
        <f t="shared" si="4"/>
        <v/>
      </c>
      <c r="Z347" s="73" t="str">
        <f t="shared" si="5"/>
        <v/>
      </c>
      <c r="AA347" s="73" t="s">
        <v>26</v>
      </c>
      <c r="AB347" s="73" t="str">
        <f t="shared" si="6"/>
        <v>Trim 1</v>
      </c>
      <c r="AC347" s="73">
        <f t="shared" si="7"/>
        <v>0</v>
      </c>
      <c r="AD347" s="73">
        <f t="shared" si="8"/>
        <v>1</v>
      </c>
      <c r="AE347" s="73"/>
      <c r="AF347" s="73"/>
      <c r="AG347" s="73"/>
      <c r="AH347" s="73"/>
      <c r="AI347" s="73"/>
    </row>
    <row r="348" spans="1:35" ht="45">
      <c r="A348" s="94" t="s">
        <v>1025</v>
      </c>
      <c r="B348" s="94">
        <v>2</v>
      </c>
      <c r="C348" s="94" t="s">
        <v>1046</v>
      </c>
      <c r="D348" s="96">
        <v>0.2</v>
      </c>
      <c r="E348" s="94" t="s">
        <v>114</v>
      </c>
      <c r="F348" s="94" t="s">
        <v>1046</v>
      </c>
      <c r="G348" s="98">
        <v>1.2500000000000001E-2</v>
      </c>
      <c r="H348" s="94" t="s">
        <v>1044</v>
      </c>
      <c r="I348" s="94" t="s">
        <v>1047</v>
      </c>
      <c r="J348" s="94" t="s">
        <v>1030</v>
      </c>
      <c r="K348" s="94" t="s">
        <v>111</v>
      </c>
      <c r="L348" s="94" t="s">
        <v>40</v>
      </c>
      <c r="M348" s="94" t="s">
        <v>40</v>
      </c>
      <c r="N348" s="94" t="s">
        <v>41</v>
      </c>
      <c r="O348" s="94" t="s">
        <v>42</v>
      </c>
      <c r="P348" s="94" t="s">
        <v>495</v>
      </c>
      <c r="Q348" s="94" t="s">
        <v>935</v>
      </c>
      <c r="R348" s="94" t="s">
        <v>40</v>
      </c>
      <c r="S348" s="98"/>
      <c r="T348" s="94"/>
      <c r="U348" s="94"/>
      <c r="V348" s="70"/>
      <c r="W348" s="73" t="str">
        <f t="shared" si="2"/>
        <v/>
      </c>
      <c r="X348" s="73" t="str">
        <f t="shared" si="3"/>
        <v>X</v>
      </c>
      <c r="Y348" s="73" t="str">
        <f t="shared" si="4"/>
        <v/>
      </c>
      <c r="Z348" s="73" t="str">
        <f t="shared" si="5"/>
        <v/>
      </c>
      <c r="AA348" s="73" t="s">
        <v>27</v>
      </c>
      <c r="AB348" s="73" t="str">
        <f t="shared" si="6"/>
        <v>Trim 2</v>
      </c>
      <c r="AC348" s="73">
        <f t="shared" si="7"/>
        <v>0</v>
      </c>
      <c r="AD348" s="73">
        <f t="shared" si="8"/>
        <v>0</v>
      </c>
      <c r="AE348" s="73"/>
      <c r="AF348" s="73"/>
      <c r="AG348" s="73"/>
      <c r="AH348" s="73"/>
      <c r="AI348" s="73"/>
    </row>
    <row r="349" spans="1:35" ht="45">
      <c r="A349" s="94" t="s">
        <v>1025</v>
      </c>
      <c r="B349" s="94">
        <v>2</v>
      </c>
      <c r="C349" s="94" t="s">
        <v>1046</v>
      </c>
      <c r="D349" s="96">
        <v>0.2</v>
      </c>
      <c r="E349" s="94" t="s">
        <v>116</v>
      </c>
      <c r="F349" s="94" t="s">
        <v>1046</v>
      </c>
      <c r="G349" s="98">
        <v>1.2500000000000001E-2</v>
      </c>
      <c r="H349" s="94" t="s">
        <v>1044</v>
      </c>
      <c r="I349" s="94" t="s">
        <v>1047</v>
      </c>
      <c r="J349" s="94" t="s">
        <v>1030</v>
      </c>
      <c r="K349" s="94" t="s">
        <v>115</v>
      </c>
      <c r="L349" s="94" t="s">
        <v>40</v>
      </c>
      <c r="M349" s="94" t="s">
        <v>40</v>
      </c>
      <c r="N349" s="94" t="s">
        <v>41</v>
      </c>
      <c r="O349" s="94" t="s">
        <v>42</v>
      </c>
      <c r="P349" s="94" t="s">
        <v>495</v>
      </c>
      <c r="Q349" s="94" t="s">
        <v>935</v>
      </c>
      <c r="R349" s="94" t="s">
        <v>40</v>
      </c>
      <c r="S349" s="98"/>
      <c r="T349" s="94"/>
      <c r="U349" s="94"/>
      <c r="V349" s="70"/>
      <c r="W349" s="73" t="str">
        <f t="shared" si="2"/>
        <v/>
      </c>
      <c r="X349" s="73" t="str">
        <f t="shared" si="3"/>
        <v/>
      </c>
      <c r="Y349" s="73" t="str">
        <f t="shared" si="4"/>
        <v>X</v>
      </c>
      <c r="Z349" s="73" t="str">
        <f t="shared" si="5"/>
        <v/>
      </c>
      <c r="AA349" s="73" t="s">
        <v>28</v>
      </c>
      <c r="AB349" s="73" t="str">
        <f t="shared" si="6"/>
        <v>Trim 3</v>
      </c>
      <c r="AC349" s="73">
        <f t="shared" si="7"/>
        <v>0</v>
      </c>
      <c r="AD349" s="73">
        <f t="shared" si="8"/>
        <v>0</v>
      </c>
      <c r="AE349" s="73"/>
      <c r="AF349" s="73"/>
      <c r="AG349" s="73"/>
      <c r="AH349" s="73"/>
      <c r="AI349" s="73"/>
    </row>
    <row r="350" spans="1:35" ht="45">
      <c r="A350" s="94" t="s">
        <v>1025</v>
      </c>
      <c r="B350" s="94">
        <v>2</v>
      </c>
      <c r="C350" s="94" t="s">
        <v>1046</v>
      </c>
      <c r="D350" s="96">
        <v>0.2</v>
      </c>
      <c r="E350" s="94" t="s">
        <v>118</v>
      </c>
      <c r="F350" s="94" t="s">
        <v>1046</v>
      </c>
      <c r="G350" s="98">
        <v>1.2500000000000001E-2</v>
      </c>
      <c r="H350" s="94" t="s">
        <v>1044</v>
      </c>
      <c r="I350" s="94" t="s">
        <v>1047</v>
      </c>
      <c r="J350" s="94" t="s">
        <v>1030</v>
      </c>
      <c r="K350" s="94" t="s">
        <v>39</v>
      </c>
      <c r="L350" s="94" t="s">
        <v>40</v>
      </c>
      <c r="M350" s="94" t="s">
        <v>40</v>
      </c>
      <c r="N350" s="94" t="s">
        <v>41</v>
      </c>
      <c r="O350" s="94" t="s">
        <v>42</v>
      </c>
      <c r="P350" s="94" t="s">
        <v>495</v>
      </c>
      <c r="Q350" s="94" t="s">
        <v>935</v>
      </c>
      <c r="R350" s="94" t="s">
        <v>40</v>
      </c>
      <c r="S350" s="98"/>
      <c r="T350" s="94"/>
      <c r="U350" s="94"/>
      <c r="V350" s="70"/>
      <c r="W350" s="73" t="str">
        <f t="shared" si="2"/>
        <v/>
      </c>
      <c r="X350" s="73" t="str">
        <f t="shared" si="3"/>
        <v/>
      </c>
      <c r="Y350" s="73" t="str">
        <f t="shared" si="4"/>
        <v/>
      </c>
      <c r="Z350" s="73" t="str">
        <f t="shared" si="5"/>
        <v>X</v>
      </c>
      <c r="AA350" s="73" t="s">
        <v>29</v>
      </c>
      <c r="AB350" s="73" t="str">
        <f t="shared" si="6"/>
        <v>Trim 4</v>
      </c>
      <c r="AC350" s="73">
        <f t="shared" si="7"/>
        <v>0</v>
      </c>
      <c r="AD350" s="73">
        <f t="shared" si="8"/>
        <v>0</v>
      </c>
      <c r="AE350" s="73"/>
      <c r="AF350" s="73"/>
      <c r="AG350" s="73"/>
      <c r="AH350" s="73"/>
      <c r="AI350" s="73"/>
    </row>
    <row r="351" spans="1:35" ht="45">
      <c r="A351" s="94" t="s">
        <v>1025</v>
      </c>
      <c r="B351" s="94">
        <v>2</v>
      </c>
      <c r="C351" s="94" t="s">
        <v>1048</v>
      </c>
      <c r="D351" s="96">
        <v>0.2</v>
      </c>
      <c r="E351" s="94" t="s">
        <v>121</v>
      </c>
      <c r="F351" s="94" t="s">
        <v>1048</v>
      </c>
      <c r="G351" s="98">
        <v>1.2500000000000001E-2</v>
      </c>
      <c r="H351" s="94" t="s">
        <v>1044</v>
      </c>
      <c r="I351" s="94" t="s">
        <v>1049</v>
      </c>
      <c r="J351" s="94" t="s">
        <v>1030</v>
      </c>
      <c r="K351" s="94" t="s">
        <v>45</v>
      </c>
      <c r="L351" s="94" t="s">
        <v>40</v>
      </c>
      <c r="M351" s="94" t="s">
        <v>40</v>
      </c>
      <c r="N351" s="94" t="s">
        <v>41</v>
      </c>
      <c r="O351" s="94" t="s">
        <v>42</v>
      </c>
      <c r="P351" s="94" t="s">
        <v>495</v>
      </c>
      <c r="Q351" s="94" t="s">
        <v>935</v>
      </c>
      <c r="R351" s="94" t="s">
        <v>40</v>
      </c>
      <c r="S351" s="98"/>
      <c r="T351" s="94"/>
      <c r="U351" s="94"/>
      <c r="V351" s="70"/>
      <c r="W351" s="73" t="str">
        <f t="shared" si="2"/>
        <v>X</v>
      </c>
      <c r="X351" s="73" t="str">
        <f t="shared" si="3"/>
        <v/>
      </c>
      <c r="Y351" s="73" t="str">
        <f t="shared" si="4"/>
        <v/>
      </c>
      <c r="Z351" s="73" t="str">
        <f t="shared" si="5"/>
        <v/>
      </c>
      <c r="AA351" s="73" t="s">
        <v>26</v>
      </c>
      <c r="AB351" s="73" t="str">
        <f t="shared" si="6"/>
        <v>Trim 1</v>
      </c>
      <c r="AC351" s="73">
        <f t="shared" si="7"/>
        <v>0</v>
      </c>
      <c r="AD351" s="73">
        <f t="shared" si="8"/>
        <v>1</v>
      </c>
      <c r="AE351" s="73"/>
      <c r="AF351" s="73"/>
      <c r="AG351" s="73"/>
      <c r="AH351" s="73"/>
      <c r="AI351" s="73"/>
    </row>
    <row r="352" spans="1:35" ht="45">
      <c r="A352" s="94" t="s">
        <v>1025</v>
      </c>
      <c r="B352" s="94">
        <v>2</v>
      </c>
      <c r="C352" s="94" t="s">
        <v>1048</v>
      </c>
      <c r="D352" s="96">
        <v>0.2</v>
      </c>
      <c r="E352" s="94" t="s">
        <v>123</v>
      </c>
      <c r="F352" s="94" t="s">
        <v>1048</v>
      </c>
      <c r="G352" s="98">
        <v>1.2500000000000001E-2</v>
      </c>
      <c r="H352" s="94" t="s">
        <v>1044</v>
      </c>
      <c r="I352" s="94" t="s">
        <v>1049</v>
      </c>
      <c r="J352" s="94" t="s">
        <v>1030</v>
      </c>
      <c r="K352" s="94" t="s">
        <v>111</v>
      </c>
      <c r="L352" s="94" t="s">
        <v>40</v>
      </c>
      <c r="M352" s="94" t="s">
        <v>40</v>
      </c>
      <c r="N352" s="94" t="s">
        <v>41</v>
      </c>
      <c r="O352" s="94" t="s">
        <v>42</v>
      </c>
      <c r="P352" s="94" t="s">
        <v>495</v>
      </c>
      <c r="Q352" s="94" t="s">
        <v>935</v>
      </c>
      <c r="R352" s="94" t="s">
        <v>40</v>
      </c>
      <c r="S352" s="98"/>
      <c r="T352" s="94"/>
      <c r="U352" s="94"/>
      <c r="V352" s="70"/>
      <c r="W352" s="73" t="str">
        <f t="shared" si="2"/>
        <v/>
      </c>
      <c r="X352" s="73" t="str">
        <f t="shared" si="3"/>
        <v>X</v>
      </c>
      <c r="Y352" s="73" t="str">
        <f t="shared" si="4"/>
        <v/>
      </c>
      <c r="Z352" s="73" t="str">
        <f t="shared" si="5"/>
        <v/>
      </c>
      <c r="AA352" s="73" t="s">
        <v>27</v>
      </c>
      <c r="AB352" s="73" t="str">
        <f t="shared" si="6"/>
        <v>Trim 2</v>
      </c>
      <c r="AC352" s="73">
        <f t="shared" si="7"/>
        <v>0</v>
      </c>
      <c r="AD352" s="73">
        <f t="shared" si="8"/>
        <v>0</v>
      </c>
      <c r="AE352" s="73"/>
      <c r="AF352" s="73"/>
      <c r="AG352" s="73"/>
      <c r="AH352" s="73"/>
      <c r="AI352" s="73"/>
    </row>
    <row r="353" spans="1:35" ht="45">
      <c r="A353" s="94" t="s">
        <v>1025</v>
      </c>
      <c r="B353" s="94">
        <v>2</v>
      </c>
      <c r="C353" s="94" t="s">
        <v>1048</v>
      </c>
      <c r="D353" s="96">
        <v>0.2</v>
      </c>
      <c r="E353" s="94" t="s">
        <v>125</v>
      </c>
      <c r="F353" s="94" t="s">
        <v>1048</v>
      </c>
      <c r="G353" s="98">
        <v>1.2500000000000001E-2</v>
      </c>
      <c r="H353" s="94" t="s">
        <v>1044</v>
      </c>
      <c r="I353" s="94" t="s">
        <v>1049</v>
      </c>
      <c r="J353" s="94" t="s">
        <v>1030</v>
      </c>
      <c r="K353" s="94" t="s">
        <v>115</v>
      </c>
      <c r="L353" s="94" t="s">
        <v>40</v>
      </c>
      <c r="M353" s="94" t="s">
        <v>40</v>
      </c>
      <c r="N353" s="94" t="s">
        <v>41</v>
      </c>
      <c r="O353" s="94" t="s">
        <v>42</v>
      </c>
      <c r="P353" s="94" t="s">
        <v>495</v>
      </c>
      <c r="Q353" s="94" t="s">
        <v>935</v>
      </c>
      <c r="R353" s="94" t="s">
        <v>40</v>
      </c>
      <c r="S353" s="98"/>
      <c r="T353" s="94"/>
      <c r="U353" s="94"/>
      <c r="V353" s="70"/>
      <c r="W353" s="73" t="str">
        <f t="shared" si="2"/>
        <v/>
      </c>
      <c r="X353" s="73" t="str">
        <f t="shared" si="3"/>
        <v/>
      </c>
      <c r="Y353" s="73" t="str">
        <f t="shared" si="4"/>
        <v>X</v>
      </c>
      <c r="Z353" s="73" t="str">
        <f t="shared" si="5"/>
        <v/>
      </c>
      <c r="AA353" s="73" t="s">
        <v>28</v>
      </c>
      <c r="AB353" s="73" t="str">
        <f t="shared" si="6"/>
        <v>Trim 3</v>
      </c>
      <c r="AC353" s="73">
        <f t="shared" si="7"/>
        <v>0</v>
      </c>
      <c r="AD353" s="73">
        <f t="shared" si="8"/>
        <v>0</v>
      </c>
      <c r="AE353" s="73"/>
      <c r="AF353" s="73"/>
      <c r="AG353" s="73"/>
      <c r="AH353" s="73"/>
      <c r="AI353" s="73"/>
    </row>
    <row r="354" spans="1:35" ht="45">
      <c r="A354" s="94" t="s">
        <v>1025</v>
      </c>
      <c r="B354" s="94">
        <v>2</v>
      </c>
      <c r="C354" s="94" t="s">
        <v>1048</v>
      </c>
      <c r="D354" s="96">
        <v>0.2</v>
      </c>
      <c r="E354" s="94" t="s">
        <v>127</v>
      </c>
      <c r="F354" s="94" t="s">
        <v>1048</v>
      </c>
      <c r="G354" s="98">
        <v>1.2500000000000001E-2</v>
      </c>
      <c r="H354" s="94" t="s">
        <v>1044</v>
      </c>
      <c r="I354" s="94" t="s">
        <v>1049</v>
      </c>
      <c r="J354" s="94" t="s">
        <v>1030</v>
      </c>
      <c r="K354" s="94" t="s">
        <v>39</v>
      </c>
      <c r="L354" s="94" t="s">
        <v>40</v>
      </c>
      <c r="M354" s="94" t="s">
        <v>40</v>
      </c>
      <c r="N354" s="94" t="s">
        <v>41</v>
      </c>
      <c r="O354" s="94" t="s">
        <v>42</v>
      </c>
      <c r="P354" s="94" t="s">
        <v>495</v>
      </c>
      <c r="Q354" s="94" t="s">
        <v>935</v>
      </c>
      <c r="R354" s="94" t="s">
        <v>40</v>
      </c>
      <c r="S354" s="98"/>
      <c r="T354" s="94"/>
      <c r="U354" s="94"/>
      <c r="V354" s="70"/>
      <c r="W354" s="73" t="str">
        <f t="shared" si="2"/>
        <v/>
      </c>
      <c r="X354" s="73" t="str">
        <f t="shared" si="3"/>
        <v/>
      </c>
      <c r="Y354" s="73" t="str">
        <f t="shared" si="4"/>
        <v/>
      </c>
      <c r="Z354" s="73" t="str">
        <f t="shared" si="5"/>
        <v>X</v>
      </c>
      <c r="AA354" s="73" t="s">
        <v>29</v>
      </c>
      <c r="AB354" s="73" t="str">
        <f t="shared" si="6"/>
        <v>Trim 4</v>
      </c>
      <c r="AC354" s="73">
        <f t="shared" si="7"/>
        <v>0</v>
      </c>
      <c r="AD354" s="73">
        <f t="shared" si="8"/>
        <v>0</v>
      </c>
      <c r="AE354" s="73"/>
      <c r="AF354" s="73"/>
      <c r="AG354" s="73"/>
      <c r="AH354" s="73"/>
      <c r="AI354" s="73"/>
    </row>
    <row r="355" spans="1:35" ht="45">
      <c r="A355" s="94" t="s">
        <v>1025</v>
      </c>
      <c r="B355" s="94">
        <v>2</v>
      </c>
      <c r="C355" s="94" t="s">
        <v>1050</v>
      </c>
      <c r="D355" s="96">
        <v>0.2</v>
      </c>
      <c r="E355" s="94" t="s">
        <v>129</v>
      </c>
      <c r="F355" s="94" t="s">
        <v>1050</v>
      </c>
      <c r="G355" s="98">
        <v>1.2500000000000001E-2</v>
      </c>
      <c r="H355" s="94" t="s">
        <v>1044</v>
      </c>
      <c r="I355" s="94" t="s">
        <v>1051</v>
      </c>
      <c r="J355" s="94" t="s">
        <v>1030</v>
      </c>
      <c r="K355" s="94" t="s">
        <v>45</v>
      </c>
      <c r="L355" s="94" t="s">
        <v>40</v>
      </c>
      <c r="M355" s="94" t="s">
        <v>40</v>
      </c>
      <c r="N355" s="94" t="s">
        <v>41</v>
      </c>
      <c r="O355" s="94" t="s">
        <v>42</v>
      </c>
      <c r="P355" s="94" t="s">
        <v>495</v>
      </c>
      <c r="Q355" s="94" t="s">
        <v>935</v>
      </c>
      <c r="R355" s="94" t="s">
        <v>40</v>
      </c>
      <c r="S355" s="98"/>
      <c r="T355" s="94"/>
      <c r="U355" s="94"/>
      <c r="V355" s="70"/>
      <c r="W355" s="73" t="str">
        <f t="shared" si="2"/>
        <v>X</v>
      </c>
      <c r="X355" s="73" t="str">
        <f t="shared" si="3"/>
        <v/>
      </c>
      <c r="Y355" s="73" t="str">
        <f t="shared" si="4"/>
        <v/>
      </c>
      <c r="Z355" s="73" t="str">
        <f t="shared" si="5"/>
        <v/>
      </c>
      <c r="AA355" s="73" t="s">
        <v>26</v>
      </c>
      <c r="AB355" s="73" t="str">
        <f t="shared" si="6"/>
        <v>Trim 1</v>
      </c>
      <c r="AC355" s="73">
        <f t="shared" si="7"/>
        <v>0</v>
      </c>
      <c r="AD355" s="73">
        <f t="shared" si="8"/>
        <v>1</v>
      </c>
      <c r="AE355" s="73"/>
      <c r="AF355" s="73"/>
      <c r="AG355" s="73"/>
      <c r="AH355" s="73"/>
      <c r="AI355" s="73"/>
    </row>
    <row r="356" spans="1:35" ht="45">
      <c r="A356" s="94" t="s">
        <v>1025</v>
      </c>
      <c r="B356" s="94">
        <v>2</v>
      </c>
      <c r="C356" s="94" t="s">
        <v>1050</v>
      </c>
      <c r="D356" s="96">
        <v>0.2</v>
      </c>
      <c r="E356" s="94" t="s">
        <v>130</v>
      </c>
      <c r="F356" s="94" t="s">
        <v>1050</v>
      </c>
      <c r="G356" s="98">
        <v>1.2500000000000001E-2</v>
      </c>
      <c r="H356" s="94" t="s">
        <v>1044</v>
      </c>
      <c r="I356" s="94" t="s">
        <v>1051</v>
      </c>
      <c r="J356" s="94" t="s">
        <v>1030</v>
      </c>
      <c r="K356" s="94" t="s">
        <v>111</v>
      </c>
      <c r="L356" s="94" t="s">
        <v>40</v>
      </c>
      <c r="M356" s="94" t="s">
        <v>40</v>
      </c>
      <c r="N356" s="94" t="s">
        <v>41</v>
      </c>
      <c r="O356" s="94" t="s">
        <v>42</v>
      </c>
      <c r="P356" s="94" t="s">
        <v>495</v>
      </c>
      <c r="Q356" s="94" t="s">
        <v>935</v>
      </c>
      <c r="R356" s="94" t="s">
        <v>40</v>
      </c>
      <c r="S356" s="98"/>
      <c r="T356" s="94"/>
      <c r="U356" s="94"/>
      <c r="V356" s="70"/>
      <c r="W356" s="73" t="str">
        <f t="shared" si="2"/>
        <v/>
      </c>
      <c r="X356" s="73" t="str">
        <f t="shared" si="3"/>
        <v>X</v>
      </c>
      <c r="Y356" s="73" t="str">
        <f t="shared" si="4"/>
        <v/>
      </c>
      <c r="Z356" s="73" t="str">
        <f t="shared" si="5"/>
        <v/>
      </c>
      <c r="AA356" s="73" t="s">
        <v>27</v>
      </c>
      <c r="AB356" s="73" t="str">
        <f t="shared" si="6"/>
        <v>Trim 2</v>
      </c>
      <c r="AC356" s="73">
        <f t="shared" si="7"/>
        <v>0</v>
      </c>
      <c r="AD356" s="73">
        <f t="shared" si="8"/>
        <v>0</v>
      </c>
      <c r="AE356" s="73"/>
      <c r="AF356" s="73"/>
      <c r="AG356" s="73"/>
      <c r="AH356" s="73"/>
      <c r="AI356" s="73"/>
    </row>
    <row r="357" spans="1:35" ht="45">
      <c r="A357" s="94" t="s">
        <v>1025</v>
      </c>
      <c r="B357" s="94">
        <v>2</v>
      </c>
      <c r="C357" s="94" t="s">
        <v>1050</v>
      </c>
      <c r="D357" s="96">
        <v>0.2</v>
      </c>
      <c r="E357" s="94" t="s">
        <v>132</v>
      </c>
      <c r="F357" s="94" t="s">
        <v>1050</v>
      </c>
      <c r="G357" s="98">
        <v>1.2500000000000001E-2</v>
      </c>
      <c r="H357" s="94" t="s">
        <v>1044</v>
      </c>
      <c r="I357" s="94" t="s">
        <v>1051</v>
      </c>
      <c r="J357" s="94" t="s">
        <v>1030</v>
      </c>
      <c r="K357" s="94" t="s">
        <v>115</v>
      </c>
      <c r="L357" s="94" t="s">
        <v>40</v>
      </c>
      <c r="M357" s="94" t="s">
        <v>40</v>
      </c>
      <c r="N357" s="94" t="s">
        <v>41</v>
      </c>
      <c r="O357" s="94" t="s">
        <v>42</v>
      </c>
      <c r="P357" s="94" t="s">
        <v>495</v>
      </c>
      <c r="Q357" s="94" t="s">
        <v>935</v>
      </c>
      <c r="R357" s="94" t="s">
        <v>40</v>
      </c>
      <c r="S357" s="98"/>
      <c r="T357" s="94"/>
      <c r="U357" s="94"/>
      <c r="V357" s="70"/>
      <c r="W357" s="73" t="str">
        <f t="shared" si="2"/>
        <v/>
      </c>
      <c r="X357" s="73" t="str">
        <f t="shared" si="3"/>
        <v/>
      </c>
      <c r="Y357" s="73" t="str">
        <f t="shared" si="4"/>
        <v>X</v>
      </c>
      <c r="Z357" s="73" t="str">
        <f t="shared" si="5"/>
        <v/>
      </c>
      <c r="AA357" s="73" t="s">
        <v>28</v>
      </c>
      <c r="AB357" s="73" t="str">
        <f t="shared" si="6"/>
        <v>Trim 3</v>
      </c>
      <c r="AC357" s="73">
        <f t="shared" si="7"/>
        <v>0</v>
      </c>
      <c r="AD357" s="73">
        <f t="shared" si="8"/>
        <v>0</v>
      </c>
      <c r="AE357" s="73"/>
      <c r="AF357" s="73"/>
      <c r="AG357" s="73"/>
      <c r="AH357" s="73"/>
      <c r="AI357" s="73"/>
    </row>
    <row r="358" spans="1:35" ht="45">
      <c r="A358" s="94" t="s">
        <v>1025</v>
      </c>
      <c r="B358" s="94">
        <v>2</v>
      </c>
      <c r="C358" s="94" t="s">
        <v>1050</v>
      </c>
      <c r="D358" s="96">
        <v>0.2</v>
      </c>
      <c r="E358" s="94" t="s">
        <v>134</v>
      </c>
      <c r="F358" s="94" t="s">
        <v>1050</v>
      </c>
      <c r="G358" s="98">
        <v>1.2500000000000001E-2</v>
      </c>
      <c r="H358" s="94" t="s">
        <v>1044</v>
      </c>
      <c r="I358" s="94" t="s">
        <v>1051</v>
      </c>
      <c r="J358" s="94" t="s">
        <v>1030</v>
      </c>
      <c r="K358" s="94" t="s">
        <v>39</v>
      </c>
      <c r="L358" s="94" t="s">
        <v>40</v>
      </c>
      <c r="M358" s="94" t="s">
        <v>40</v>
      </c>
      <c r="N358" s="94" t="s">
        <v>41</v>
      </c>
      <c r="O358" s="94" t="s">
        <v>42</v>
      </c>
      <c r="P358" s="94" t="s">
        <v>495</v>
      </c>
      <c r="Q358" s="94" t="s">
        <v>935</v>
      </c>
      <c r="R358" s="94" t="s">
        <v>40</v>
      </c>
      <c r="S358" s="98"/>
      <c r="T358" s="94"/>
      <c r="U358" s="94"/>
      <c r="V358" s="70"/>
      <c r="W358" s="73" t="str">
        <f t="shared" si="2"/>
        <v/>
      </c>
      <c r="X358" s="73" t="str">
        <f t="shared" si="3"/>
        <v/>
      </c>
      <c r="Y358" s="73" t="str">
        <f t="shared" si="4"/>
        <v/>
      </c>
      <c r="Z358" s="73" t="str">
        <f t="shared" si="5"/>
        <v>X</v>
      </c>
      <c r="AA358" s="73" t="s">
        <v>29</v>
      </c>
      <c r="AB358" s="73" t="str">
        <f t="shared" si="6"/>
        <v>Trim 4</v>
      </c>
      <c r="AC358" s="73">
        <f t="shared" si="7"/>
        <v>0</v>
      </c>
      <c r="AD358" s="73">
        <f t="shared" si="8"/>
        <v>0</v>
      </c>
      <c r="AE358" s="73"/>
      <c r="AF358" s="73"/>
      <c r="AG358" s="73"/>
      <c r="AH358" s="73"/>
      <c r="AI358" s="73"/>
    </row>
    <row r="359" spans="1:35" ht="45">
      <c r="A359" s="94" t="s">
        <v>1025</v>
      </c>
      <c r="B359" s="94">
        <v>3</v>
      </c>
      <c r="C359" s="94" t="s">
        <v>1052</v>
      </c>
      <c r="D359" s="96">
        <v>0.2</v>
      </c>
      <c r="E359" s="94" t="s">
        <v>68</v>
      </c>
      <c r="F359" s="94" t="s">
        <v>1052</v>
      </c>
      <c r="G359" s="98">
        <v>0.05</v>
      </c>
      <c r="H359" s="94" t="s">
        <v>1052</v>
      </c>
      <c r="I359" s="94" t="s">
        <v>1039</v>
      </c>
      <c r="J359" s="94" t="s">
        <v>1030</v>
      </c>
      <c r="K359" s="94" t="s">
        <v>45</v>
      </c>
      <c r="L359" s="94" t="s">
        <v>40</v>
      </c>
      <c r="M359" s="94" t="s">
        <v>40</v>
      </c>
      <c r="N359" s="94" t="s">
        <v>41</v>
      </c>
      <c r="O359" s="94" t="s">
        <v>42</v>
      </c>
      <c r="P359" s="94" t="s">
        <v>495</v>
      </c>
      <c r="Q359" s="94" t="s">
        <v>935</v>
      </c>
      <c r="R359" s="94" t="s">
        <v>40</v>
      </c>
      <c r="S359" s="98"/>
      <c r="T359" s="94"/>
      <c r="U359" s="94"/>
      <c r="V359" s="70"/>
      <c r="W359" s="73" t="str">
        <f t="shared" si="2"/>
        <v>X</v>
      </c>
      <c r="X359" s="73" t="str">
        <f t="shared" si="3"/>
        <v/>
      </c>
      <c r="Y359" s="73" t="str">
        <f t="shared" si="4"/>
        <v/>
      </c>
      <c r="Z359" s="73" t="str">
        <f t="shared" si="5"/>
        <v/>
      </c>
      <c r="AA359" s="73" t="s">
        <v>26</v>
      </c>
      <c r="AB359" s="73" t="str">
        <f t="shared" si="6"/>
        <v>Trim 1</v>
      </c>
      <c r="AC359" s="73">
        <f t="shared" si="7"/>
        <v>0</v>
      </c>
      <c r="AD359" s="73">
        <f t="shared" si="8"/>
        <v>1</v>
      </c>
      <c r="AE359" s="73"/>
      <c r="AF359" s="73"/>
      <c r="AG359" s="73"/>
      <c r="AH359" s="73"/>
      <c r="AI359" s="73"/>
    </row>
    <row r="360" spans="1:35" ht="45">
      <c r="A360" s="94" t="s">
        <v>1025</v>
      </c>
      <c r="B360" s="94">
        <v>3</v>
      </c>
      <c r="C360" s="94" t="s">
        <v>1052</v>
      </c>
      <c r="D360" s="96">
        <v>0.2</v>
      </c>
      <c r="E360" s="94" t="s">
        <v>73</v>
      </c>
      <c r="F360" s="94" t="s">
        <v>1052</v>
      </c>
      <c r="G360" s="98">
        <v>0.05</v>
      </c>
      <c r="H360" s="94" t="s">
        <v>1052</v>
      </c>
      <c r="I360" s="94" t="s">
        <v>1039</v>
      </c>
      <c r="J360" s="94" t="s">
        <v>1030</v>
      </c>
      <c r="K360" s="94" t="s">
        <v>111</v>
      </c>
      <c r="L360" s="94" t="s">
        <v>40</v>
      </c>
      <c r="M360" s="94" t="s">
        <v>40</v>
      </c>
      <c r="N360" s="94" t="s">
        <v>41</v>
      </c>
      <c r="O360" s="94" t="s">
        <v>42</v>
      </c>
      <c r="P360" s="94" t="s">
        <v>495</v>
      </c>
      <c r="Q360" s="94" t="s">
        <v>935</v>
      </c>
      <c r="R360" s="94" t="s">
        <v>40</v>
      </c>
      <c r="S360" s="98"/>
      <c r="T360" s="94"/>
      <c r="U360" s="94"/>
      <c r="V360" s="70"/>
      <c r="W360" s="73" t="str">
        <f t="shared" si="2"/>
        <v/>
      </c>
      <c r="X360" s="73" t="str">
        <f t="shared" si="3"/>
        <v>X</v>
      </c>
      <c r="Y360" s="73" t="str">
        <f t="shared" si="4"/>
        <v/>
      </c>
      <c r="Z360" s="73" t="str">
        <f t="shared" si="5"/>
        <v/>
      </c>
      <c r="AA360" s="73" t="s">
        <v>27</v>
      </c>
      <c r="AB360" s="73" t="str">
        <f t="shared" si="6"/>
        <v>Trim 2</v>
      </c>
      <c r="AC360" s="73">
        <f t="shared" si="7"/>
        <v>0</v>
      </c>
      <c r="AD360" s="73">
        <f t="shared" si="8"/>
        <v>0</v>
      </c>
      <c r="AE360" s="73"/>
      <c r="AF360" s="73"/>
      <c r="AG360" s="73"/>
      <c r="AH360" s="73"/>
      <c r="AI360" s="73"/>
    </row>
    <row r="361" spans="1:35" ht="45">
      <c r="A361" s="94" t="s">
        <v>1025</v>
      </c>
      <c r="B361" s="94">
        <v>3</v>
      </c>
      <c r="C361" s="94" t="s">
        <v>1052</v>
      </c>
      <c r="D361" s="96">
        <v>0.2</v>
      </c>
      <c r="E361" s="94" t="s">
        <v>75</v>
      </c>
      <c r="F361" s="94" t="s">
        <v>1052</v>
      </c>
      <c r="G361" s="98">
        <v>0.05</v>
      </c>
      <c r="H361" s="94" t="s">
        <v>1052</v>
      </c>
      <c r="I361" s="94" t="s">
        <v>1039</v>
      </c>
      <c r="J361" s="94" t="s">
        <v>1030</v>
      </c>
      <c r="K361" s="94" t="s">
        <v>115</v>
      </c>
      <c r="L361" s="94" t="s">
        <v>40</v>
      </c>
      <c r="M361" s="94"/>
      <c r="N361" s="94"/>
      <c r="O361" s="94"/>
      <c r="P361" s="94"/>
      <c r="Q361" s="94"/>
      <c r="R361" s="94"/>
      <c r="S361" s="98"/>
      <c r="T361" s="94"/>
      <c r="U361" s="94"/>
      <c r="V361" s="70"/>
      <c r="W361" s="73" t="str">
        <f t="shared" si="2"/>
        <v/>
      </c>
      <c r="X361" s="73" t="str">
        <f t="shared" si="3"/>
        <v/>
      </c>
      <c r="Y361" s="73" t="str">
        <f t="shared" si="4"/>
        <v>X</v>
      </c>
      <c r="Z361" s="73" t="str">
        <f t="shared" si="5"/>
        <v/>
      </c>
      <c r="AA361" s="73" t="s">
        <v>28</v>
      </c>
      <c r="AB361" s="73" t="str">
        <f t="shared" si="6"/>
        <v>Trim 3</v>
      </c>
      <c r="AC361" s="73">
        <f t="shared" si="7"/>
        <v>0</v>
      </c>
      <c r="AD361" s="73">
        <f t="shared" si="8"/>
        <v>0</v>
      </c>
      <c r="AE361" s="73"/>
      <c r="AF361" s="73"/>
      <c r="AG361" s="73"/>
      <c r="AH361" s="73"/>
      <c r="AI361" s="73"/>
    </row>
    <row r="362" spans="1:35" ht="45">
      <c r="A362" s="94" t="s">
        <v>1025</v>
      </c>
      <c r="B362" s="94">
        <v>3</v>
      </c>
      <c r="C362" s="94" t="s">
        <v>1052</v>
      </c>
      <c r="D362" s="96">
        <v>0.2</v>
      </c>
      <c r="E362" s="94" t="s">
        <v>287</v>
      </c>
      <c r="F362" s="94" t="s">
        <v>1052</v>
      </c>
      <c r="G362" s="98">
        <v>0.05</v>
      </c>
      <c r="H362" s="94" t="s">
        <v>1052</v>
      </c>
      <c r="I362" s="94" t="s">
        <v>1039</v>
      </c>
      <c r="J362" s="94" t="s">
        <v>1030</v>
      </c>
      <c r="K362" s="94" t="s">
        <v>39</v>
      </c>
      <c r="L362" s="94" t="s">
        <v>40</v>
      </c>
      <c r="M362" s="94"/>
      <c r="N362" s="94"/>
      <c r="O362" s="94"/>
      <c r="P362" s="94"/>
      <c r="Q362" s="94"/>
      <c r="R362" s="94"/>
      <c r="S362" s="98"/>
      <c r="T362" s="94"/>
      <c r="U362" s="94"/>
      <c r="V362" s="70"/>
      <c r="W362" s="73" t="str">
        <f t="shared" si="2"/>
        <v/>
      </c>
      <c r="X362" s="73" t="str">
        <f t="shared" si="3"/>
        <v/>
      </c>
      <c r="Y362" s="73" t="str">
        <f t="shared" si="4"/>
        <v/>
      </c>
      <c r="Z362" s="73" t="str">
        <f t="shared" si="5"/>
        <v>X</v>
      </c>
      <c r="AA362" s="73" t="s">
        <v>29</v>
      </c>
      <c r="AB362" s="73" t="str">
        <f t="shared" si="6"/>
        <v>Trim 4</v>
      </c>
      <c r="AC362" s="73">
        <f t="shared" si="7"/>
        <v>0</v>
      </c>
      <c r="AD362" s="73">
        <f t="shared" si="8"/>
        <v>0</v>
      </c>
      <c r="AE362" s="73"/>
      <c r="AF362" s="73"/>
      <c r="AG362" s="73"/>
      <c r="AH362" s="73"/>
      <c r="AI362" s="73"/>
    </row>
    <row r="363" spans="1:35" ht="45">
      <c r="A363" s="94" t="s">
        <v>1025</v>
      </c>
      <c r="B363" s="94">
        <v>4</v>
      </c>
      <c r="C363" s="94" t="s">
        <v>1053</v>
      </c>
      <c r="D363" s="96">
        <v>0.2</v>
      </c>
      <c r="E363" s="94" t="s">
        <v>79</v>
      </c>
      <c r="F363" s="94" t="s">
        <v>1054</v>
      </c>
      <c r="G363" s="98">
        <v>0.1</v>
      </c>
      <c r="H363" s="94" t="s">
        <v>1054</v>
      </c>
      <c r="I363" s="94" t="s">
        <v>1029</v>
      </c>
      <c r="J363" s="94" t="s">
        <v>1030</v>
      </c>
      <c r="K363" s="94" t="s">
        <v>128</v>
      </c>
      <c r="L363" s="94" t="s">
        <v>40</v>
      </c>
      <c r="M363" s="94" t="s">
        <v>40</v>
      </c>
      <c r="N363" s="94" t="s">
        <v>41</v>
      </c>
      <c r="O363" s="94" t="s">
        <v>42</v>
      </c>
      <c r="P363" s="94" t="s">
        <v>495</v>
      </c>
      <c r="Q363" s="94" t="s">
        <v>935</v>
      </c>
      <c r="R363" s="94" t="s">
        <v>40</v>
      </c>
      <c r="S363" s="98"/>
      <c r="T363" s="94"/>
      <c r="U363" s="94"/>
      <c r="V363" s="70"/>
      <c r="W363" s="73" t="str">
        <f t="shared" si="2"/>
        <v/>
      </c>
      <c r="X363" s="73" t="str">
        <f t="shared" si="3"/>
        <v>X</v>
      </c>
      <c r="Y363" s="73" t="str">
        <f t="shared" si="4"/>
        <v/>
      </c>
      <c r="Z363" s="73" t="str">
        <f t="shared" si="5"/>
        <v/>
      </c>
      <c r="AA363" s="73" t="s">
        <v>27</v>
      </c>
      <c r="AB363" s="73" t="str">
        <f t="shared" si="6"/>
        <v>Trim 2</v>
      </c>
      <c r="AC363" s="73">
        <f t="shared" si="7"/>
        <v>0</v>
      </c>
      <c r="AD363" s="73">
        <f t="shared" si="8"/>
        <v>0</v>
      </c>
      <c r="AE363" s="73"/>
      <c r="AF363" s="73"/>
      <c r="AG363" s="73"/>
      <c r="AH363" s="73"/>
      <c r="AI363" s="73"/>
    </row>
    <row r="364" spans="1:35" ht="45">
      <c r="A364" s="94" t="s">
        <v>1025</v>
      </c>
      <c r="B364" s="94">
        <v>4</v>
      </c>
      <c r="C364" s="94" t="s">
        <v>1053</v>
      </c>
      <c r="D364" s="96">
        <v>0.2</v>
      </c>
      <c r="E364" s="94" t="s">
        <v>83</v>
      </c>
      <c r="F364" s="94" t="s">
        <v>1055</v>
      </c>
      <c r="G364" s="98">
        <v>0.1</v>
      </c>
      <c r="H364" s="94" t="s">
        <v>1056</v>
      </c>
      <c r="I364" s="94" t="s">
        <v>1029</v>
      </c>
      <c r="J364" s="94" t="s">
        <v>1030</v>
      </c>
      <c r="K364" s="94" t="s">
        <v>39</v>
      </c>
      <c r="L364" s="94" t="s">
        <v>40</v>
      </c>
      <c r="M364" s="94" t="s">
        <v>40</v>
      </c>
      <c r="N364" s="94" t="s">
        <v>41</v>
      </c>
      <c r="O364" s="94" t="s">
        <v>42</v>
      </c>
      <c r="P364" s="94" t="s">
        <v>495</v>
      </c>
      <c r="Q364" s="94" t="s">
        <v>935</v>
      </c>
      <c r="R364" s="94" t="s">
        <v>40</v>
      </c>
      <c r="S364" s="98"/>
      <c r="T364" s="94"/>
      <c r="U364" s="94"/>
      <c r="V364" s="70"/>
      <c r="W364" s="73" t="str">
        <f t="shared" si="2"/>
        <v/>
      </c>
      <c r="X364" s="73" t="str">
        <f t="shared" si="3"/>
        <v/>
      </c>
      <c r="Y364" s="73" t="str">
        <f t="shared" si="4"/>
        <v/>
      </c>
      <c r="Z364" s="73" t="str">
        <f t="shared" si="5"/>
        <v>X</v>
      </c>
      <c r="AA364" s="73" t="s">
        <v>29</v>
      </c>
      <c r="AB364" s="73" t="str">
        <f t="shared" si="6"/>
        <v>Trim 4</v>
      </c>
      <c r="AC364" s="73">
        <f t="shared" si="7"/>
        <v>0</v>
      </c>
      <c r="AD364" s="73">
        <f t="shared" si="8"/>
        <v>0</v>
      </c>
      <c r="AE364" s="73"/>
      <c r="AF364" s="73"/>
      <c r="AG364" s="73"/>
      <c r="AH364" s="73"/>
      <c r="AI364" s="73"/>
    </row>
    <row r="365" spans="1:35" ht="45">
      <c r="A365" s="94" t="s">
        <v>1025</v>
      </c>
      <c r="B365" s="94">
        <v>5</v>
      </c>
      <c r="C365" s="94" t="s">
        <v>1057</v>
      </c>
      <c r="D365" s="96">
        <v>0.2</v>
      </c>
      <c r="E365" s="94" t="s">
        <v>469</v>
      </c>
      <c r="F365" s="94" t="s">
        <v>1058</v>
      </c>
      <c r="G365" s="98">
        <v>0.1</v>
      </c>
      <c r="H365" s="94" t="s">
        <v>1059</v>
      </c>
      <c r="I365" s="94" t="s">
        <v>1029</v>
      </c>
      <c r="J365" s="94" t="s">
        <v>1060</v>
      </c>
      <c r="K365" s="94" t="s">
        <v>128</v>
      </c>
      <c r="L365" s="94" t="s">
        <v>40</v>
      </c>
      <c r="M365" s="94" t="s">
        <v>40</v>
      </c>
      <c r="N365" s="94" t="s">
        <v>41</v>
      </c>
      <c r="O365" s="94" t="s">
        <v>42</v>
      </c>
      <c r="P365" s="94" t="s">
        <v>495</v>
      </c>
      <c r="Q365" s="94" t="s">
        <v>935</v>
      </c>
      <c r="R365" s="94" t="s">
        <v>40</v>
      </c>
      <c r="S365" s="98"/>
      <c r="T365" s="94"/>
      <c r="U365" s="94"/>
      <c r="V365" s="70"/>
      <c r="W365" s="73" t="str">
        <f t="shared" si="2"/>
        <v/>
      </c>
      <c r="X365" s="73" t="str">
        <f t="shared" si="3"/>
        <v>X</v>
      </c>
      <c r="Y365" s="73" t="str">
        <f t="shared" si="4"/>
        <v/>
      </c>
      <c r="Z365" s="73" t="str">
        <f t="shared" si="5"/>
        <v/>
      </c>
      <c r="AA365" s="73" t="s">
        <v>27</v>
      </c>
      <c r="AB365" s="73" t="str">
        <f t="shared" si="6"/>
        <v>Trim 2</v>
      </c>
      <c r="AC365" s="73">
        <f t="shared" si="7"/>
        <v>0</v>
      </c>
      <c r="AD365" s="73">
        <f t="shared" si="8"/>
        <v>0</v>
      </c>
      <c r="AE365" s="73"/>
      <c r="AF365" s="73"/>
      <c r="AG365" s="73"/>
      <c r="AH365" s="73"/>
      <c r="AI365" s="73"/>
    </row>
    <row r="366" spans="1:35" ht="60">
      <c r="A366" s="94" t="s">
        <v>1025</v>
      </c>
      <c r="B366" s="94">
        <v>5</v>
      </c>
      <c r="C366" s="94" t="s">
        <v>1057</v>
      </c>
      <c r="D366" s="96">
        <v>0.2</v>
      </c>
      <c r="E366" s="94" t="s">
        <v>476</v>
      </c>
      <c r="F366" s="94" t="s">
        <v>1058</v>
      </c>
      <c r="G366" s="98">
        <v>0.1</v>
      </c>
      <c r="H366" s="94" t="s">
        <v>1061</v>
      </c>
      <c r="I366" s="94" t="s">
        <v>1029</v>
      </c>
      <c r="J366" s="94" t="s">
        <v>1060</v>
      </c>
      <c r="K366" s="94" t="s">
        <v>133</v>
      </c>
      <c r="L366" s="94" t="s">
        <v>40</v>
      </c>
      <c r="M366" s="94" t="s">
        <v>40</v>
      </c>
      <c r="N366" s="94" t="s">
        <v>41</v>
      </c>
      <c r="O366" s="94" t="s">
        <v>42</v>
      </c>
      <c r="P366" s="94" t="s">
        <v>495</v>
      </c>
      <c r="Q366" s="94" t="s">
        <v>935</v>
      </c>
      <c r="R366" s="94" t="s">
        <v>40</v>
      </c>
      <c r="S366" s="98"/>
      <c r="T366" s="94"/>
      <c r="U366" s="94"/>
      <c r="V366" s="70"/>
      <c r="W366" s="73" t="str">
        <f t="shared" si="2"/>
        <v/>
      </c>
      <c r="X366" s="73" t="str">
        <f t="shared" si="3"/>
        <v/>
      </c>
      <c r="Y366" s="73" t="str">
        <f t="shared" si="4"/>
        <v>X</v>
      </c>
      <c r="Z366" s="73" t="str">
        <f t="shared" si="5"/>
        <v/>
      </c>
      <c r="AA366" s="73" t="s">
        <v>28</v>
      </c>
      <c r="AB366" s="73" t="str">
        <f t="shared" si="6"/>
        <v>Trim 3</v>
      </c>
      <c r="AC366" s="73">
        <f t="shared" si="7"/>
        <v>0</v>
      </c>
      <c r="AD366" s="73">
        <f t="shared" si="8"/>
        <v>0</v>
      </c>
      <c r="AE366" s="73"/>
      <c r="AF366" s="73"/>
      <c r="AG366" s="73"/>
      <c r="AH366" s="73"/>
      <c r="AI366" s="73"/>
    </row>
    <row r="367" spans="1:35" ht="45">
      <c r="A367" s="94" t="s">
        <v>1062</v>
      </c>
      <c r="B367" s="94">
        <v>1</v>
      </c>
      <c r="C367" s="94" t="s">
        <v>1063</v>
      </c>
      <c r="D367" s="96">
        <v>0.6</v>
      </c>
      <c r="E367" s="94" t="s">
        <v>34</v>
      </c>
      <c r="F367" s="94" t="s">
        <v>1064</v>
      </c>
      <c r="G367" s="98">
        <v>0.06</v>
      </c>
      <c r="H367" s="94" t="s">
        <v>1065</v>
      </c>
      <c r="I367" s="94" t="s">
        <v>1066</v>
      </c>
      <c r="J367" s="94" t="s">
        <v>1067</v>
      </c>
      <c r="K367" s="94" t="s">
        <v>45</v>
      </c>
      <c r="L367" s="94" t="s">
        <v>939</v>
      </c>
      <c r="M367" s="94" t="s">
        <v>40</v>
      </c>
      <c r="N367" s="94" t="s">
        <v>41</v>
      </c>
      <c r="O367" s="94" t="s">
        <v>42</v>
      </c>
      <c r="P367" s="94" t="s">
        <v>495</v>
      </c>
      <c r="Q367" s="94" t="s">
        <v>935</v>
      </c>
      <c r="R367" s="94" t="s">
        <v>40</v>
      </c>
      <c r="S367" s="98"/>
      <c r="T367" s="94" t="s">
        <v>45</v>
      </c>
      <c r="U367" s="94"/>
      <c r="V367" s="70"/>
      <c r="W367" s="73" t="str">
        <f t="shared" si="2"/>
        <v>X</v>
      </c>
      <c r="X367" s="73" t="str">
        <f t="shared" si="3"/>
        <v/>
      </c>
      <c r="Y367" s="73" t="str">
        <f t="shared" si="4"/>
        <v/>
      </c>
      <c r="Z367" s="73" t="str">
        <f t="shared" si="5"/>
        <v/>
      </c>
      <c r="AA367" s="73" t="s">
        <v>26</v>
      </c>
      <c r="AB367" s="73" t="str">
        <f t="shared" si="6"/>
        <v>Trim 1</v>
      </c>
      <c r="AC367" s="73">
        <f t="shared" si="7"/>
        <v>0</v>
      </c>
      <c r="AD367" s="73">
        <f t="shared" si="8"/>
        <v>1</v>
      </c>
      <c r="AE367" s="73"/>
      <c r="AF367" s="73"/>
      <c r="AG367" s="73"/>
      <c r="AH367" s="73"/>
      <c r="AI367" s="73"/>
    </row>
    <row r="368" spans="1:35" ht="45">
      <c r="A368" s="94" t="s">
        <v>1062</v>
      </c>
      <c r="B368" s="94">
        <v>1</v>
      </c>
      <c r="C368" s="94" t="s">
        <v>1063</v>
      </c>
      <c r="D368" s="96">
        <v>0.6</v>
      </c>
      <c r="E368" s="94" t="s">
        <v>47</v>
      </c>
      <c r="F368" s="94" t="s">
        <v>1068</v>
      </c>
      <c r="G368" s="98">
        <v>0.15</v>
      </c>
      <c r="H368" s="94" t="s">
        <v>1069</v>
      </c>
      <c r="I368" s="94" t="s">
        <v>1066</v>
      </c>
      <c r="J368" s="94" t="s">
        <v>1067</v>
      </c>
      <c r="K368" s="94" t="s">
        <v>111</v>
      </c>
      <c r="L368" s="94" t="s">
        <v>939</v>
      </c>
      <c r="M368" s="94" t="s">
        <v>40</v>
      </c>
      <c r="N368" s="94" t="s">
        <v>41</v>
      </c>
      <c r="O368" s="94" t="s">
        <v>42</v>
      </c>
      <c r="P368" s="94" t="s">
        <v>495</v>
      </c>
      <c r="Q368" s="94" t="s">
        <v>935</v>
      </c>
      <c r="R368" s="94" t="s">
        <v>40</v>
      </c>
      <c r="S368" s="98"/>
      <c r="T368" s="94"/>
      <c r="U368" s="94"/>
      <c r="V368" s="70"/>
      <c r="W368" s="73" t="str">
        <f t="shared" si="2"/>
        <v/>
      </c>
      <c r="X368" s="73" t="str">
        <f t="shared" si="3"/>
        <v>X</v>
      </c>
      <c r="Y368" s="73" t="str">
        <f t="shared" si="4"/>
        <v/>
      </c>
      <c r="Z368" s="73" t="str">
        <f t="shared" si="5"/>
        <v/>
      </c>
      <c r="AA368" s="73" t="s">
        <v>27</v>
      </c>
      <c r="AB368" s="73" t="str">
        <f t="shared" si="6"/>
        <v>Trim 2</v>
      </c>
      <c r="AC368" s="73">
        <f t="shared" si="7"/>
        <v>0</v>
      </c>
      <c r="AD368" s="73">
        <f t="shared" si="8"/>
        <v>0</v>
      </c>
      <c r="AE368" s="73"/>
      <c r="AF368" s="73"/>
      <c r="AG368" s="73"/>
      <c r="AH368" s="73"/>
      <c r="AI368" s="73"/>
    </row>
    <row r="369" spans="1:35" ht="45">
      <c r="A369" s="94" t="s">
        <v>1062</v>
      </c>
      <c r="B369" s="94">
        <v>1</v>
      </c>
      <c r="C369" s="94" t="s">
        <v>1063</v>
      </c>
      <c r="D369" s="96">
        <v>0.6</v>
      </c>
      <c r="E369" s="94" t="s">
        <v>49</v>
      </c>
      <c r="F369" s="94" t="s">
        <v>1070</v>
      </c>
      <c r="G369" s="98">
        <v>0.16200000000000001</v>
      </c>
      <c r="H369" s="94" t="s">
        <v>1071</v>
      </c>
      <c r="I369" s="94" t="s">
        <v>1066</v>
      </c>
      <c r="J369" s="94" t="s">
        <v>1067</v>
      </c>
      <c r="K369" s="94" t="s">
        <v>133</v>
      </c>
      <c r="L369" s="94" t="s">
        <v>939</v>
      </c>
      <c r="M369" s="94" t="s">
        <v>40</v>
      </c>
      <c r="N369" s="94" t="s">
        <v>41</v>
      </c>
      <c r="O369" s="94" t="s">
        <v>42</v>
      </c>
      <c r="P369" s="94" t="s">
        <v>495</v>
      </c>
      <c r="Q369" s="94" t="s">
        <v>935</v>
      </c>
      <c r="R369" s="94" t="s">
        <v>40</v>
      </c>
      <c r="S369" s="98"/>
      <c r="T369" s="94"/>
      <c r="U369" s="94"/>
      <c r="V369" s="70"/>
      <c r="W369" s="73" t="str">
        <f t="shared" si="2"/>
        <v/>
      </c>
      <c r="X369" s="73" t="str">
        <f t="shared" si="3"/>
        <v/>
      </c>
      <c r="Y369" s="73" t="str">
        <f t="shared" si="4"/>
        <v>X</v>
      </c>
      <c r="Z369" s="73" t="str">
        <f t="shared" si="5"/>
        <v/>
      </c>
      <c r="AA369" s="73" t="s">
        <v>28</v>
      </c>
      <c r="AB369" s="73" t="str">
        <f t="shared" si="6"/>
        <v>Trim 3</v>
      </c>
      <c r="AC369" s="73">
        <f t="shared" si="7"/>
        <v>0</v>
      </c>
      <c r="AD369" s="73">
        <f t="shared" si="8"/>
        <v>0</v>
      </c>
      <c r="AE369" s="73"/>
      <c r="AF369" s="73"/>
      <c r="AG369" s="73"/>
      <c r="AH369" s="73"/>
      <c r="AI369" s="73"/>
    </row>
    <row r="370" spans="1:35" ht="45">
      <c r="A370" s="94" t="s">
        <v>1062</v>
      </c>
      <c r="B370" s="94">
        <v>1</v>
      </c>
      <c r="C370" s="94" t="s">
        <v>1063</v>
      </c>
      <c r="D370" s="96">
        <v>0.6</v>
      </c>
      <c r="E370" s="94" t="s">
        <v>49</v>
      </c>
      <c r="F370" s="94" t="s">
        <v>1070</v>
      </c>
      <c r="G370" s="98">
        <v>1.7999999999999999E-2</v>
      </c>
      <c r="H370" s="94" t="s">
        <v>1072</v>
      </c>
      <c r="I370" s="94" t="s">
        <v>1066</v>
      </c>
      <c r="J370" s="94" t="s">
        <v>1067</v>
      </c>
      <c r="K370" s="94" t="s">
        <v>115</v>
      </c>
      <c r="L370" s="94" t="s">
        <v>939</v>
      </c>
      <c r="M370" s="94" t="s">
        <v>40</v>
      </c>
      <c r="N370" s="94" t="s">
        <v>41</v>
      </c>
      <c r="O370" s="94" t="s">
        <v>42</v>
      </c>
      <c r="P370" s="94" t="s">
        <v>495</v>
      </c>
      <c r="Q370" s="94" t="s">
        <v>935</v>
      </c>
      <c r="R370" s="94" t="s">
        <v>40</v>
      </c>
      <c r="S370" s="98"/>
      <c r="T370" s="94"/>
      <c r="U370" s="94"/>
      <c r="V370" s="70"/>
      <c r="W370" s="73" t="str">
        <f t="shared" si="2"/>
        <v/>
      </c>
      <c r="X370" s="73" t="str">
        <f t="shared" si="3"/>
        <v/>
      </c>
      <c r="Y370" s="73" t="str">
        <f t="shared" si="4"/>
        <v>X</v>
      </c>
      <c r="Z370" s="73" t="str">
        <f t="shared" si="5"/>
        <v/>
      </c>
      <c r="AA370" s="73" t="s">
        <v>28</v>
      </c>
      <c r="AB370" s="73" t="str">
        <f t="shared" si="6"/>
        <v>Trim 3</v>
      </c>
      <c r="AC370" s="73">
        <f t="shared" si="7"/>
        <v>0</v>
      </c>
      <c r="AD370" s="73">
        <f t="shared" si="8"/>
        <v>0</v>
      </c>
      <c r="AE370" s="73"/>
      <c r="AF370" s="73"/>
      <c r="AG370" s="73"/>
      <c r="AH370" s="73"/>
      <c r="AI370" s="73"/>
    </row>
    <row r="371" spans="1:35" ht="75">
      <c r="A371" s="94" t="s">
        <v>1062</v>
      </c>
      <c r="B371" s="94">
        <v>1</v>
      </c>
      <c r="C371" s="94" t="s">
        <v>1063</v>
      </c>
      <c r="D371" s="96">
        <v>0.6</v>
      </c>
      <c r="E371" s="94" t="s">
        <v>52</v>
      </c>
      <c r="F371" s="94" t="s">
        <v>1073</v>
      </c>
      <c r="G371" s="98">
        <v>2.1000000000000001E-2</v>
      </c>
      <c r="H371" s="94" t="s">
        <v>1074</v>
      </c>
      <c r="I371" s="94" t="s">
        <v>1066</v>
      </c>
      <c r="J371" s="94" t="s">
        <v>1067</v>
      </c>
      <c r="K371" s="94" t="s">
        <v>138</v>
      </c>
      <c r="L371" s="94" t="s">
        <v>939</v>
      </c>
      <c r="M371" s="94" t="s">
        <v>40</v>
      </c>
      <c r="N371" s="94" t="s">
        <v>41</v>
      </c>
      <c r="O371" s="94" t="s">
        <v>42</v>
      </c>
      <c r="P371" s="94" t="s">
        <v>495</v>
      </c>
      <c r="Q371" s="94" t="s">
        <v>935</v>
      </c>
      <c r="R371" s="94" t="s">
        <v>40</v>
      </c>
      <c r="S371" s="98"/>
      <c r="T371" s="94"/>
      <c r="U371" s="94"/>
      <c r="V371" s="70"/>
      <c r="W371" s="73" t="str">
        <f t="shared" si="2"/>
        <v/>
      </c>
      <c r="X371" s="73" t="str">
        <f t="shared" si="3"/>
        <v/>
      </c>
      <c r="Y371" s="73" t="str">
        <f t="shared" si="4"/>
        <v/>
      </c>
      <c r="Z371" s="73" t="str">
        <f t="shared" si="5"/>
        <v>X</v>
      </c>
      <c r="AA371" s="73" t="s">
        <v>29</v>
      </c>
      <c r="AB371" s="73" t="str">
        <f t="shared" si="6"/>
        <v>Trim 4</v>
      </c>
      <c r="AC371" s="73">
        <f t="shared" si="7"/>
        <v>0</v>
      </c>
      <c r="AD371" s="73">
        <f t="shared" si="8"/>
        <v>0</v>
      </c>
      <c r="AE371" s="73"/>
      <c r="AF371" s="73"/>
      <c r="AG371" s="73"/>
      <c r="AH371" s="73"/>
      <c r="AI371" s="73"/>
    </row>
    <row r="372" spans="1:35" ht="75">
      <c r="A372" s="94" t="s">
        <v>1062</v>
      </c>
      <c r="B372" s="94">
        <v>1</v>
      </c>
      <c r="C372" s="94" t="s">
        <v>1063</v>
      </c>
      <c r="D372" s="96">
        <v>0.6</v>
      </c>
      <c r="E372" s="94" t="s">
        <v>52</v>
      </c>
      <c r="F372" s="94" t="s">
        <v>1073</v>
      </c>
      <c r="G372" s="98">
        <v>0.16800000000000001</v>
      </c>
      <c r="H372" s="94" t="s">
        <v>1075</v>
      </c>
      <c r="I372" s="94" t="s">
        <v>1066</v>
      </c>
      <c r="J372" s="94" t="s">
        <v>1067</v>
      </c>
      <c r="K372" s="94" t="s">
        <v>39</v>
      </c>
      <c r="L372" s="94" t="s">
        <v>939</v>
      </c>
      <c r="M372" s="94" t="s">
        <v>40</v>
      </c>
      <c r="N372" s="94" t="s">
        <v>41</v>
      </c>
      <c r="O372" s="94" t="s">
        <v>42</v>
      </c>
      <c r="P372" s="94" t="s">
        <v>495</v>
      </c>
      <c r="Q372" s="94" t="s">
        <v>935</v>
      </c>
      <c r="R372" s="94" t="s">
        <v>40</v>
      </c>
      <c r="S372" s="98"/>
      <c r="T372" s="94"/>
      <c r="U372" s="94"/>
      <c r="V372" s="70"/>
      <c r="W372" s="73" t="str">
        <f t="shared" si="2"/>
        <v/>
      </c>
      <c r="X372" s="73" t="str">
        <f t="shared" si="3"/>
        <v/>
      </c>
      <c r="Y372" s="73" t="str">
        <f t="shared" si="4"/>
        <v/>
      </c>
      <c r="Z372" s="73" t="str">
        <f t="shared" si="5"/>
        <v>X</v>
      </c>
      <c r="AA372" s="73" t="s">
        <v>29</v>
      </c>
      <c r="AB372" s="73" t="str">
        <f t="shared" si="6"/>
        <v>Trim 4</v>
      </c>
      <c r="AC372" s="73">
        <f t="shared" si="7"/>
        <v>0</v>
      </c>
      <c r="AD372" s="73">
        <f t="shared" si="8"/>
        <v>0</v>
      </c>
      <c r="AE372" s="73"/>
      <c r="AF372" s="73"/>
      <c r="AG372" s="73"/>
      <c r="AH372" s="73"/>
      <c r="AI372" s="73"/>
    </row>
    <row r="373" spans="1:35" ht="75">
      <c r="A373" s="94" t="s">
        <v>1062</v>
      </c>
      <c r="B373" s="94">
        <v>1</v>
      </c>
      <c r="C373" s="94" t="s">
        <v>1063</v>
      </c>
      <c r="D373" s="96">
        <v>0.6</v>
      </c>
      <c r="E373" s="94" t="s">
        <v>52</v>
      </c>
      <c r="F373" s="94" t="s">
        <v>1073</v>
      </c>
      <c r="G373" s="98">
        <v>2.1000000000000001E-2</v>
      </c>
      <c r="H373" s="94" t="s">
        <v>1076</v>
      </c>
      <c r="I373" s="94" t="s">
        <v>1066</v>
      </c>
      <c r="J373" s="94" t="s">
        <v>1067</v>
      </c>
      <c r="K373" s="94" t="s">
        <v>39</v>
      </c>
      <c r="L373" s="94" t="s">
        <v>939</v>
      </c>
      <c r="M373" s="94" t="s">
        <v>40</v>
      </c>
      <c r="N373" s="94" t="s">
        <v>41</v>
      </c>
      <c r="O373" s="94" t="s">
        <v>42</v>
      </c>
      <c r="P373" s="94" t="s">
        <v>495</v>
      </c>
      <c r="Q373" s="94" t="s">
        <v>935</v>
      </c>
      <c r="R373" s="94" t="s">
        <v>40</v>
      </c>
      <c r="S373" s="98"/>
      <c r="T373" s="94"/>
      <c r="U373" s="94"/>
      <c r="V373" s="70"/>
      <c r="W373" s="73" t="str">
        <f t="shared" si="2"/>
        <v/>
      </c>
      <c r="X373" s="73" t="str">
        <f t="shared" si="3"/>
        <v/>
      </c>
      <c r="Y373" s="73" t="str">
        <f t="shared" si="4"/>
        <v/>
      </c>
      <c r="Z373" s="73" t="str">
        <f t="shared" si="5"/>
        <v>X</v>
      </c>
      <c r="AA373" s="73" t="s">
        <v>29</v>
      </c>
      <c r="AB373" s="73" t="str">
        <f t="shared" si="6"/>
        <v>Trim 4</v>
      </c>
      <c r="AC373" s="73">
        <f t="shared" si="7"/>
        <v>0</v>
      </c>
      <c r="AD373" s="73">
        <f t="shared" si="8"/>
        <v>0</v>
      </c>
      <c r="AE373" s="73"/>
      <c r="AF373" s="73"/>
      <c r="AG373" s="73"/>
      <c r="AH373" s="73"/>
      <c r="AI373" s="73"/>
    </row>
    <row r="374" spans="1:35" ht="45">
      <c r="A374" s="94" t="s">
        <v>1062</v>
      </c>
      <c r="B374" s="94">
        <v>2</v>
      </c>
      <c r="C374" s="94" t="s">
        <v>1077</v>
      </c>
      <c r="D374" s="96">
        <v>0.1</v>
      </c>
      <c r="E374" s="94" t="s">
        <v>56</v>
      </c>
      <c r="F374" s="94" t="s">
        <v>1078</v>
      </c>
      <c r="G374" s="98">
        <v>1.2500000000000001E-2</v>
      </c>
      <c r="H374" s="94" t="s">
        <v>1079</v>
      </c>
      <c r="I374" s="94" t="s">
        <v>1080</v>
      </c>
      <c r="J374" s="94" t="s">
        <v>1067</v>
      </c>
      <c r="K374" s="94" t="s">
        <v>45</v>
      </c>
      <c r="L374" s="94" t="s">
        <v>40</v>
      </c>
      <c r="M374" s="94" t="s">
        <v>40</v>
      </c>
      <c r="N374" s="94" t="s">
        <v>41</v>
      </c>
      <c r="O374" s="94" t="s">
        <v>252</v>
      </c>
      <c r="P374" s="94" t="s">
        <v>429</v>
      </c>
      <c r="Q374" s="94" t="s">
        <v>935</v>
      </c>
      <c r="R374" s="94" t="s">
        <v>40</v>
      </c>
      <c r="S374" s="98"/>
      <c r="T374" s="94"/>
      <c r="U374" s="94"/>
      <c r="V374" s="70"/>
      <c r="W374" s="73" t="str">
        <f t="shared" si="2"/>
        <v>X</v>
      </c>
      <c r="X374" s="73" t="str">
        <f t="shared" si="3"/>
        <v/>
      </c>
      <c r="Y374" s="73" t="str">
        <f t="shared" si="4"/>
        <v/>
      </c>
      <c r="Z374" s="73" t="str">
        <f t="shared" si="5"/>
        <v/>
      </c>
      <c r="AA374" s="73" t="s">
        <v>26</v>
      </c>
      <c r="AB374" s="73" t="str">
        <f t="shared" si="6"/>
        <v>Trim 1</v>
      </c>
      <c r="AC374" s="73">
        <f t="shared" si="7"/>
        <v>0</v>
      </c>
      <c r="AD374" s="73">
        <f t="shared" si="8"/>
        <v>1</v>
      </c>
      <c r="AE374" s="73"/>
      <c r="AF374" s="73"/>
      <c r="AG374" s="73"/>
      <c r="AH374" s="73"/>
      <c r="AI374" s="73"/>
    </row>
    <row r="375" spans="1:35" ht="45">
      <c r="A375" s="94" t="s">
        <v>1062</v>
      </c>
      <c r="B375" s="94">
        <v>2</v>
      </c>
      <c r="C375" s="94" t="s">
        <v>1077</v>
      </c>
      <c r="D375" s="96">
        <v>0.1</v>
      </c>
      <c r="E375" s="94" t="s">
        <v>60</v>
      </c>
      <c r="F375" s="94" t="s">
        <v>1081</v>
      </c>
      <c r="G375" s="98">
        <v>1.2500000000000001E-2</v>
      </c>
      <c r="H375" s="94" t="s">
        <v>1082</v>
      </c>
      <c r="I375" s="94" t="s">
        <v>1083</v>
      </c>
      <c r="J375" s="94" t="s">
        <v>1067</v>
      </c>
      <c r="K375" s="94" t="s">
        <v>45</v>
      </c>
      <c r="L375" s="94" t="s">
        <v>40</v>
      </c>
      <c r="M375" s="94" t="s">
        <v>40</v>
      </c>
      <c r="N375" s="94" t="s">
        <v>41</v>
      </c>
      <c r="O375" s="94" t="s">
        <v>252</v>
      </c>
      <c r="P375" s="94" t="s">
        <v>429</v>
      </c>
      <c r="Q375" s="94" t="s">
        <v>935</v>
      </c>
      <c r="R375" s="94" t="s">
        <v>40</v>
      </c>
      <c r="S375" s="98"/>
      <c r="T375" s="94"/>
      <c r="U375" s="94"/>
      <c r="V375" s="70"/>
      <c r="W375" s="73" t="str">
        <f t="shared" si="2"/>
        <v>X</v>
      </c>
      <c r="X375" s="73" t="str">
        <f t="shared" si="3"/>
        <v/>
      </c>
      <c r="Y375" s="73" t="str">
        <f t="shared" si="4"/>
        <v/>
      </c>
      <c r="Z375" s="73" t="str">
        <f t="shared" si="5"/>
        <v/>
      </c>
      <c r="AA375" s="73" t="s">
        <v>26</v>
      </c>
      <c r="AB375" s="73" t="str">
        <f t="shared" si="6"/>
        <v>Trim 1</v>
      </c>
      <c r="AC375" s="73">
        <f t="shared" si="7"/>
        <v>0</v>
      </c>
      <c r="AD375" s="73">
        <f t="shared" si="8"/>
        <v>1</v>
      </c>
      <c r="AE375" s="73"/>
      <c r="AF375" s="73"/>
      <c r="AG375" s="73"/>
      <c r="AH375" s="73"/>
      <c r="AI375" s="73"/>
    </row>
    <row r="376" spans="1:35" ht="45">
      <c r="A376" s="94" t="s">
        <v>1062</v>
      </c>
      <c r="B376" s="94">
        <v>2</v>
      </c>
      <c r="C376" s="94" t="s">
        <v>1077</v>
      </c>
      <c r="D376" s="96">
        <v>0.1</v>
      </c>
      <c r="E376" s="94" t="s">
        <v>63</v>
      </c>
      <c r="F376" s="94" t="s">
        <v>1084</v>
      </c>
      <c r="G376" s="98">
        <v>1.2500000000000001E-2</v>
      </c>
      <c r="H376" s="94" t="s">
        <v>1079</v>
      </c>
      <c r="I376" s="94" t="s">
        <v>1080</v>
      </c>
      <c r="J376" s="94" t="s">
        <v>1067</v>
      </c>
      <c r="K376" s="94" t="s">
        <v>111</v>
      </c>
      <c r="L376" s="94" t="s">
        <v>40</v>
      </c>
      <c r="M376" s="94" t="s">
        <v>40</v>
      </c>
      <c r="N376" s="94" t="s">
        <v>41</v>
      </c>
      <c r="O376" s="94" t="s">
        <v>252</v>
      </c>
      <c r="P376" s="94" t="s">
        <v>429</v>
      </c>
      <c r="Q376" s="94" t="s">
        <v>935</v>
      </c>
      <c r="R376" s="94" t="s">
        <v>40</v>
      </c>
      <c r="S376" s="98"/>
      <c r="T376" s="94"/>
      <c r="U376" s="94"/>
      <c r="V376" s="70"/>
      <c r="W376" s="73" t="str">
        <f t="shared" si="2"/>
        <v/>
      </c>
      <c r="X376" s="73" t="str">
        <f t="shared" si="3"/>
        <v>X</v>
      </c>
      <c r="Y376" s="73" t="str">
        <f t="shared" si="4"/>
        <v/>
      </c>
      <c r="Z376" s="73" t="str">
        <f t="shared" si="5"/>
        <v/>
      </c>
      <c r="AA376" s="73" t="s">
        <v>27</v>
      </c>
      <c r="AB376" s="73" t="str">
        <f t="shared" si="6"/>
        <v>Trim 2</v>
      </c>
      <c r="AC376" s="73">
        <f t="shared" si="7"/>
        <v>0</v>
      </c>
      <c r="AD376" s="73">
        <f t="shared" si="8"/>
        <v>0</v>
      </c>
      <c r="AE376" s="73"/>
      <c r="AF376" s="73"/>
      <c r="AG376" s="73"/>
      <c r="AH376" s="73"/>
      <c r="AI376" s="73"/>
    </row>
    <row r="377" spans="1:35" ht="45">
      <c r="A377" s="94" t="s">
        <v>1062</v>
      </c>
      <c r="B377" s="94">
        <v>2</v>
      </c>
      <c r="C377" s="94" t="s">
        <v>1077</v>
      </c>
      <c r="D377" s="96">
        <v>0.1</v>
      </c>
      <c r="E377" s="94" t="s">
        <v>110</v>
      </c>
      <c r="F377" s="94" t="s">
        <v>1085</v>
      </c>
      <c r="G377" s="98">
        <v>1.2500000000000001E-2</v>
      </c>
      <c r="H377" s="94" t="s">
        <v>1082</v>
      </c>
      <c r="I377" s="94" t="s">
        <v>1083</v>
      </c>
      <c r="J377" s="94" t="s">
        <v>1067</v>
      </c>
      <c r="K377" s="94" t="s">
        <v>111</v>
      </c>
      <c r="L377" s="94" t="s">
        <v>40</v>
      </c>
      <c r="M377" s="94" t="s">
        <v>40</v>
      </c>
      <c r="N377" s="94" t="s">
        <v>41</v>
      </c>
      <c r="O377" s="94" t="s">
        <v>252</v>
      </c>
      <c r="P377" s="94" t="s">
        <v>429</v>
      </c>
      <c r="Q377" s="94" t="s">
        <v>935</v>
      </c>
      <c r="R377" s="94" t="s">
        <v>40</v>
      </c>
      <c r="S377" s="98"/>
      <c r="T377" s="94"/>
      <c r="U377" s="94"/>
      <c r="V377" s="70"/>
      <c r="W377" s="73" t="str">
        <f t="shared" si="2"/>
        <v/>
      </c>
      <c r="X377" s="73" t="str">
        <f t="shared" si="3"/>
        <v>X</v>
      </c>
      <c r="Y377" s="73" t="str">
        <f t="shared" si="4"/>
        <v/>
      </c>
      <c r="Z377" s="73" t="str">
        <f t="shared" si="5"/>
        <v/>
      </c>
      <c r="AA377" s="73" t="s">
        <v>27</v>
      </c>
      <c r="AB377" s="73" t="str">
        <f t="shared" si="6"/>
        <v>Trim 2</v>
      </c>
      <c r="AC377" s="73">
        <f t="shared" si="7"/>
        <v>0</v>
      </c>
      <c r="AD377" s="73">
        <f t="shared" si="8"/>
        <v>0</v>
      </c>
      <c r="AE377" s="73"/>
      <c r="AF377" s="73"/>
      <c r="AG377" s="73"/>
      <c r="AH377" s="73"/>
      <c r="AI377" s="73"/>
    </row>
    <row r="378" spans="1:35" ht="45">
      <c r="A378" s="94" t="s">
        <v>1062</v>
      </c>
      <c r="B378" s="94">
        <v>2</v>
      </c>
      <c r="C378" s="94" t="s">
        <v>1077</v>
      </c>
      <c r="D378" s="96">
        <v>0.1</v>
      </c>
      <c r="E378" s="94" t="s">
        <v>112</v>
      </c>
      <c r="F378" s="94" t="s">
        <v>1086</v>
      </c>
      <c r="G378" s="98">
        <v>1.2500000000000001E-2</v>
      </c>
      <c r="H378" s="94" t="s">
        <v>1079</v>
      </c>
      <c r="I378" s="94" t="s">
        <v>1080</v>
      </c>
      <c r="J378" s="94" t="s">
        <v>1067</v>
      </c>
      <c r="K378" s="94" t="s">
        <v>115</v>
      </c>
      <c r="L378" s="94" t="s">
        <v>40</v>
      </c>
      <c r="M378" s="94" t="s">
        <v>40</v>
      </c>
      <c r="N378" s="94" t="s">
        <v>41</v>
      </c>
      <c r="O378" s="94" t="s">
        <v>252</v>
      </c>
      <c r="P378" s="94" t="s">
        <v>429</v>
      </c>
      <c r="Q378" s="94" t="s">
        <v>935</v>
      </c>
      <c r="R378" s="94" t="s">
        <v>40</v>
      </c>
      <c r="S378" s="98"/>
      <c r="T378" s="94"/>
      <c r="U378" s="94"/>
      <c r="V378" s="70"/>
      <c r="W378" s="73" t="str">
        <f t="shared" si="2"/>
        <v/>
      </c>
      <c r="X378" s="73" t="str">
        <f t="shared" si="3"/>
        <v/>
      </c>
      <c r="Y378" s="73" t="str">
        <f t="shared" si="4"/>
        <v>X</v>
      </c>
      <c r="Z378" s="73" t="str">
        <f t="shared" si="5"/>
        <v/>
      </c>
      <c r="AA378" s="73" t="s">
        <v>28</v>
      </c>
      <c r="AB378" s="73" t="str">
        <f t="shared" si="6"/>
        <v>Trim 3</v>
      </c>
      <c r="AC378" s="73">
        <f t="shared" si="7"/>
        <v>0</v>
      </c>
      <c r="AD378" s="73">
        <f t="shared" si="8"/>
        <v>0</v>
      </c>
      <c r="AE378" s="73"/>
      <c r="AF378" s="73"/>
      <c r="AG378" s="73"/>
      <c r="AH378" s="73"/>
      <c r="AI378" s="73"/>
    </row>
    <row r="379" spans="1:35" ht="45">
      <c r="A379" s="94" t="s">
        <v>1062</v>
      </c>
      <c r="B379" s="94">
        <v>2</v>
      </c>
      <c r="C379" s="94" t="s">
        <v>1077</v>
      </c>
      <c r="D379" s="96">
        <v>0.1</v>
      </c>
      <c r="E379" s="94" t="s">
        <v>114</v>
      </c>
      <c r="F379" s="94" t="s">
        <v>1087</v>
      </c>
      <c r="G379" s="98">
        <v>1.2500000000000001E-2</v>
      </c>
      <c r="H379" s="94" t="s">
        <v>1082</v>
      </c>
      <c r="I379" s="94" t="s">
        <v>1083</v>
      </c>
      <c r="J379" s="94" t="s">
        <v>1067</v>
      </c>
      <c r="K379" s="94" t="s">
        <v>115</v>
      </c>
      <c r="L379" s="94" t="s">
        <v>40</v>
      </c>
      <c r="M379" s="94" t="s">
        <v>40</v>
      </c>
      <c r="N379" s="94" t="s">
        <v>41</v>
      </c>
      <c r="O379" s="94" t="s">
        <v>252</v>
      </c>
      <c r="P379" s="94" t="s">
        <v>429</v>
      </c>
      <c r="Q379" s="94" t="s">
        <v>935</v>
      </c>
      <c r="R379" s="94" t="s">
        <v>40</v>
      </c>
      <c r="S379" s="98"/>
      <c r="T379" s="94"/>
      <c r="U379" s="94"/>
      <c r="V379" s="70"/>
      <c r="W379" s="73" t="str">
        <f t="shared" si="2"/>
        <v/>
      </c>
      <c r="X379" s="73" t="str">
        <f t="shared" si="3"/>
        <v/>
      </c>
      <c r="Y379" s="73" t="str">
        <f t="shared" si="4"/>
        <v>X</v>
      </c>
      <c r="Z379" s="73" t="str">
        <f t="shared" si="5"/>
        <v/>
      </c>
      <c r="AA379" s="73" t="s">
        <v>28</v>
      </c>
      <c r="AB379" s="73" t="str">
        <f t="shared" si="6"/>
        <v>Trim 3</v>
      </c>
      <c r="AC379" s="73">
        <f t="shared" si="7"/>
        <v>0</v>
      </c>
      <c r="AD379" s="73">
        <f t="shared" si="8"/>
        <v>0</v>
      </c>
      <c r="AE379" s="73"/>
      <c r="AF379" s="73"/>
      <c r="AG379" s="73"/>
      <c r="AH379" s="73"/>
      <c r="AI379" s="73"/>
    </row>
    <row r="380" spans="1:35" ht="45">
      <c r="A380" s="94" t="s">
        <v>1062</v>
      </c>
      <c r="B380" s="94">
        <v>2</v>
      </c>
      <c r="C380" s="94" t="s">
        <v>1077</v>
      </c>
      <c r="D380" s="96">
        <v>0.1</v>
      </c>
      <c r="E380" s="94" t="s">
        <v>116</v>
      </c>
      <c r="F380" s="94" t="s">
        <v>1088</v>
      </c>
      <c r="G380" s="98">
        <v>1.2500000000000001E-2</v>
      </c>
      <c r="H380" s="94" t="s">
        <v>1079</v>
      </c>
      <c r="I380" s="94" t="s">
        <v>1080</v>
      </c>
      <c r="J380" s="94" t="s">
        <v>1067</v>
      </c>
      <c r="K380" s="94" t="s">
        <v>39</v>
      </c>
      <c r="L380" s="94" t="s">
        <v>40</v>
      </c>
      <c r="M380" s="94" t="s">
        <v>40</v>
      </c>
      <c r="N380" s="94" t="s">
        <v>41</v>
      </c>
      <c r="O380" s="94" t="s">
        <v>252</v>
      </c>
      <c r="P380" s="94" t="s">
        <v>429</v>
      </c>
      <c r="Q380" s="94" t="s">
        <v>935</v>
      </c>
      <c r="R380" s="94" t="s">
        <v>40</v>
      </c>
      <c r="S380" s="98"/>
      <c r="T380" s="94"/>
      <c r="U380" s="94"/>
      <c r="V380" s="70"/>
      <c r="W380" s="73" t="str">
        <f t="shared" si="2"/>
        <v/>
      </c>
      <c r="X380" s="73" t="str">
        <f t="shared" si="3"/>
        <v/>
      </c>
      <c r="Y380" s="73" t="str">
        <f t="shared" si="4"/>
        <v/>
      </c>
      <c r="Z380" s="73" t="str">
        <f t="shared" si="5"/>
        <v>X</v>
      </c>
      <c r="AA380" s="73" t="s">
        <v>29</v>
      </c>
      <c r="AB380" s="73" t="str">
        <f t="shared" si="6"/>
        <v>Trim 4</v>
      </c>
      <c r="AC380" s="73">
        <f t="shared" si="7"/>
        <v>0</v>
      </c>
      <c r="AD380" s="73">
        <f t="shared" si="8"/>
        <v>0</v>
      </c>
      <c r="AE380" s="73"/>
      <c r="AF380" s="73"/>
      <c r="AG380" s="73"/>
      <c r="AH380" s="73"/>
      <c r="AI380" s="73"/>
    </row>
    <row r="381" spans="1:35" ht="45">
      <c r="A381" s="94" t="s">
        <v>1062</v>
      </c>
      <c r="B381" s="94">
        <v>2</v>
      </c>
      <c r="C381" s="94" t="s">
        <v>1077</v>
      </c>
      <c r="D381" s="96">
        <v>0.1</v>
      </c>
      <c r="E381" s="94" t="s">
        <v>118</v>
      </c>
      <c r="F381" s="94" t="s">
        <v>1089</v>
      </c>
      <c r="G381" s="98">
        <v>1.2500000000000001E-2</v>
      </c>
      <c r="H381" s="94" t="s">
        <v>1082</v>
      </c>
      <c r="I381" s="94" t="s">
        <v>1083</v>
      </c>
      <c r="J381" s="94" t="s">
        <v>1067</v>
      </c>
      <c r="K381" s="94" t="s">
        <v>39</v>
      </c>
      <c r="L381" s="94" t="s">
        <v>40</v>
      </c>
      <c r="M381" s="94" t="s">
        <v>40</v>
      </c>
      <c r="N381" s="94" t="s">
        <v>41</v>
      </c>
      <c r="O381" s="94" t="s">
        <v>252</v>
      </c>
      <c r="P381" s="94" t="s">
        <v>429</v>
      </c>
      <c r="Q381" s="94" t="s">
        <v>935</v>
      </c>
      <c r="R381" s="94" t="s">
        <v>40</v>
      </c>
      <c r="S381" s="98"/>
      <c r="T381" s="94"/>
      <c r="U381" s="94"/>
      <c r="V381" s="70"/>
      <c r="W381" s="73" t="str">
        <f t="shared" si="2"/>
        <v/>
      </c>
      <c r="X381" s="73" t="str">
        <f t="shared" si="3"/>
        <v/>
      </c>
      <c r="Y381" s="73" t="str">
        <f t="shared" si="4"/>
        <v/>
      </c>
      <c r="Z381" s="73" t="str">
        <f t="shared" si="5"/>
        <v>X</v>
      </c>
      <c r="AA381" s="73" t="s">
        <v>29</v>
      </c>
      <c r="AB381" s="73" t="str">
        <f t="shared" si="6"/>
        <v>Trim 4</v>
      </c>
      <c r="AC381" s="73">
        <f t="shared" si="7"/>
        <v>0</v>
      </c>
      <c r="AD381" s="73">
        <f t="shared" si="8"/>
        <v>0</v>
      </c>
      <c r="AE381" s="73"/>
      <c r="AF381" s="73"/>
      <c r="AG381" s="73"/>
      <c r="AH381" s="73"/>
      <c r="AI381" s="73"/>
    </row>
    <row r="382" spans="1:35" ht="60">
      <c r="A382" s="94" t="s">
        <v>1062</v>
      </c>
      <c r="B382" s="94">
        <v>3</v>
      </c>
      <c r="C382" s="94" t="s">
        <v>1090</v>
      </c>
      <c r="D382" s="96">
        <v>0.1</v>
      </c>
      <c r="E382" s="94" t="s">
        <v>68</v>
      </c>
      <c r="F382" s="94" t="s">
        <v>1091</v>
      </c>
      <c r="G382" s="98">
        <v>1.2500000000000001E-2</v>
      </c>
      <c r="H382" s="94" t="s">
        <v>1092</v>
      </c>
      <c r="I382" s="94" t="s">
        <v>1080</v>
      </c>
      <c r="J382" s="94" t="s">
        <v>1067</v>
      </c>
      <c r="K382" s="94" t="s">
        <v>45</v>
      </c>
      <c r="L382" s="94" t="s">
        <v>40</v>
      </c>
      <c r="M382" s="94" t="s">
        <v>40</v>
      </c>
      <c r="N382" s="94" t="s">
        <v>41</v>
      </c>
      <c r="O382" s="94" t="s">
        <v>252</v>
      </c>
      <c r="P382" s="94" t="s">
        <v>429</v>
      </c>
      <c r="Q382" s="94" t="s">
        <v>935</v>
      </c>
      <c r="R382" s="94" t="s">
        <v>40</v>
      </c>
      <c r="S382" s="98"/>
      <c r="T382" s="94"/>
      <c r="U382" s="94"/>
      <c r="V382" s="70"/>
      <c r="W382" s="73" t="str">
        <f t="shared" si="2"/>
        <v>X</v>
      </c>
      <c r="X382" s="73" t="str">
        <f t="shared" si="3"/>
        <v/>
      </c>
      <c r="Y382" s="73" t="str">
        <f t="shared" si="4"/>
        <v/>
      </c>
      <c r="Z382" s="73" t="str">
        <f t="shared" si="5"/>
        <v/>
      </c>
      <c r="AA382" s="73" t="s">
        <v>26</v>
      </c>
      <c r="AB382" s="73" t="str">
        <f t="shared" si="6"/>
        <v>Trim 1</v>
      </c>
      <c r="AC382" s="73">
        <f t="shared" si="7"/>
        <v>0</v>
      </c>
      <c r="AD382" s="73">
        <f t="shared" si="8"/>
        <v>1</v>
      </c>
      <c r="AE382" s="73"/>
      <c r="AF382" s="73"/>
      <c r="AG382" s="73"/>
      <c r="AH382" s="73"/>
      <c r="AI382" s="73"/>
    </row>
    <row r="383" spans="1:35" ht="45">
      <c r="A383" s="94" t="s">
        <v>1062</v>
      </c>
      <c r="B383" s="94">
        <v>3</v>
      </c>
      <c r="C383" s="94" t="s">
        <v>1090</v>
      </c>
      <c r="D383" s="96">
        <v>0.1</v>
      </c>
      <c r="E383" s="94" t="s">
        <v>73</v>
      </c>
      <c r="F383" s="94" t="s">
        <v>1093</v>
      </c>
      <c r="G383" s="98">
        <v>1.2500000000000001E-2</v>
      </c>
      <c r="H383" s="94" t="s">
        <v>1094</v>
      </c>
      <c r="I383" s="94" t="s">
        <v>1083</v>
      </c>
      <c r="J383" s="94" t="s">
        <v>1067</v>
      </c>
      <c r="K383" s="94" t="s">
        <v>45</v>
      </c>
      <c r="L383" s="94" t="s">
        <v>40</v>
      </c>
      <c r="M383" s="94" t="s">
        <v>40</v>
      </c>
      <c r="N383" s="94" t="s">
        <v>41</v>
      </c>
      <c r="O383" s="94" t="s">
        <v>252</v>
      </c>
      <c r="P383" s="94" t="s">
        <v>429</v>
      </c>
      <c r="Q383" s="94" t="s">
        <v>935</v>
      </c>
      <c r="R383" s="94" t="s">
        <v>40</v>
      </c>
      <c r="S383" s="98"/>
      <c r="T383" s="94"/>
      <c r="U383" s="94"/>
      <c r="V383" s="70"/>
      <c r="W383" s="73" t="str">
        <f t="shared" si="2"/>
        <v>X</v>
      </c>
      <c r="X383" s="73" t="str">
        <f t="shared" si="3"/>
        <v/>
      </c>
      <c r="Y383" s="73" t="str">
        <f t="shared" si="4"/>
        <v/>
      </c>
      <c r="Z383" s="73" t="str">
        <f t="shared" si="5"/>
        <v/>
      </c>
      <c r="AA383" s="73" t="s">
        <v>26</v>
      </c>
      <c r="AB383" s="73" t="str">
        <f t="shared" si="6"/>
        <v>Trim 1</v>
      </c>
      <c r="AC383" s="73">
        <f t="shared" si="7"/>
        <v>0</v>
      </c>
      <c r="AD383" s="73">
        <f t="shared" si="8"/>
        <v>1</v>
      </c>
      <c r="AE383" s="73"/>
      <c r="AF383" s="73"/>
      <c r="AG383" s="73"/>
      <c r="AH383" s="73"/>
      <c r="AI383" s="73"/>
    </row>
    <row r="384" spans="1:35" ht="60">
      <c r="A384" s="94" t="s">
        <v>1062</v>
      </c>
      <c r="B384" s="94">
        <v>3</v>
      </c>
      <c r="C384" s="94" t="s">
        <v>1090</v>
      </c>
      <c r="D384" s="96">
        <v>0.1</v>
      </c>
      <c r="E384" s="94" t="s">
        <v>75</v>
      </c>
      <c r="F384" s="94" t="s">
        <v>1095</v>
      </c>
      <c r="G384" s="98">
        <v>1.2500000000000001E-2</v>
      </c>
      <c r="H384" s="94" t="s">
        <v>1092</v>
      </c>
      <c r="I384" s="94" t="s">
        <v>1080</v>
      </c>
      <c r="J384" s="94" t="s">
        <v>1067</v>
      </c>
      <c r="K384" s="94" t="s">
        <v>111</v>
      </c>
      <c r="L384" s="94" t="s">
        <v>40</v>
      </c>
      <c r="M384" s="94" t="s">
        <v>40</v>
      </c>
      <c r="N384" s="94" t="s">
        <v>41</v>
      </c>
      <c r="O384" s="94" t="s">
        <v>252</v>
      </c>
      <c r="P384" s="94" t="s">
        <v>429</v>
      </c>
      <c r="Q384" s="94" t="s">
        <v>935</v>
      </c>
      <c r="R384" s="94" t="s">
        <v>40</v>
      </c>
      <c r="S384" s="98"/>
      <c r="T384" s="94"/>
      <c r="U384" s="94"/>
      <c r="V384" s="70"/>
      <c r="W384" s="73" t="str">
        <f t="shared" si="2"/>
        <v/>
      </c>
      <c r="X384" s="73" t="str">
        <f t="shared" si="3"/>
        <v>X</v>
      </c>
      <c r="Y384" s="73" t="str">
        <f t="shared" si="4"/>
        <v/>
      </c>
      <c r="Z384" s="73" t="str">
        <f t="shared" si="5"/>
        <v/>
      </c>
      <c r="AA384" s="73" t="s">
        <v>27</v>
      </c>
      <c r="AB384" s="73" t="str">
        <f t="shared" si="6"/>
        <v>Trim 2</v>
      </c>
      <c r="AC384" s="73">
        <f t="shared" si="7"/>
        <v>0</v>
      </c>
      <c r="AD384" s="73">
        <f t="shared" si="8"/>
        <v>0</v>
      </c>
      <c r="AE384" s="73"/>
      <c r="AF384" s="73"/>
      <c r="AG384" s="73"/>
      <c r="AH384" s="73"/>
      <c r="AI384" s="73"/>
    </row>
    <row r="385" spans="1:35" ht="45">
      <c r="A385" s="94" t="s">
        <v>1062</v>
      </c>
      <c r="B385" s="94">
        <v>3</v>
      </c>
      <c r="C385" s="94" t="s">
        <v>1090</v>
      </c>
      <c r="D385" s="96">
        <v>0.1</v>
      </c>
      <c r="E385" s="94" t="s">
        <v>287</v>
      </c>
      <c r="F385" s="94" t="s">
        <v>1096</v>
      </c>
      <c r="G385" s="98">
        <v>1.2500000000000001E-2</v>
      </c>
      <c r="H385" s="94" t="s">
        <v>1094</v>
      </c>
      <c r="I385" s="94" t="s">
        <v>1083</v>
      </c>
      <c r="J385" s="94" t="s">
        <v>1067</v>
      </c>
      <c r="K385" s="94" t="s">
        <v>111</v>
      </c>
      <c r="L385" s="94" t="s">
        <v>40</v>
      </c>
      <c r="M385" s="94" t="s">
        <v>40</v>
      </c>
      <c r="N385" s="94" t="s">
        <v>41</v>
      </c>
      <c r="O385" s="94" t="s">
        <v>252</v>
      </c>
      <c r="P385" s="94" t="s">
        <v>429</v>
      </c>
      <c r="Q385" s="94" t="s">
        <v>935</v>
      </c>
      <c r="R385" s="94" t="s">
        <v>40</v>
      </c>
      <c r="S385" s="98"/>
      <c r="T385" s="94"/>
      <c r="U385" s="94"/>
      <c r="V385" s="70"/>
      <c r="W385" s="73" t="str">
        <f t="shared" si="2"/>
        <v/>
      </c>
      <c r="X385" s="73" t="str">
        <f t="shared" si="3"/>
        <v>X</v>
      </c>
      <c r="Y385" s="73" t="str">
        <f t="shared" si="4"/>
        <v/>
      </c>
      <c r="Z385" s="73" t="str">
        <f t="shared" si="5"/>
        <v/>
      </c>
      <c r="AA385" s="73" t="s">
        <v>27</v>
      </c>
      <c r="AB385" s="73" t="str">
        <f t="shared" si="6"/>
        <v>Trim 2</v>
      </c>
      <c r="AC385" s="73">
        <f t="shared" si="7"/>
        <v>0</v>
      </c>
      <c r="AD385" s="73">
        <f t="shared" si="8"/>
        <v>0</v>
      </c>
      <c r="AE385" s="73"/>
      <c r="AF385" s="73"/>
      <c r="AG385" s="73"/>
      <c r="AH385" s="73"/>
      <c r="AI385" s="73"/>
    </row>
    <row r="386" spans="1:35" ht="60">
      <c r="A386" s="94" t="s">
        <v>1062</v>
      </c>
      <c r="B386" s="94">
        <v>3</v>
      </c>
      <c r="C386" s="94" t="s">
        <v>1090</v>
      </c>
      <c r="D386" s="96">
        <v>0.1</v>
      </c>
      <c r="E386" s="94" t="s">
        <v>290</v>
      </c>
      <c r="F386" s="94" t="s">
        <v>1097</v>
      </c>
      <c r="G386" s="98">
        <v>1.2500000000000001E-2</v>
      </c>
      <c r="H386" s="94" t="s">
        <v>1092</v>
      </c>
      <c r="I386" s="94" t="s">
        <v>1080</v>
      </c>
      <c r="J386" s="94" t="s">
        <v>1067</v>
      </c>
      <c r="K386" s="94" t="s">
        <v>115</v>
      </c>
      <c r="L386" s="94" t="s">
        <v>40</v>
      </c>
      <c r="M386" s="94" t="s">
        <v>40</v>
      </c>
      <c r="N386" s="94" t="s">
        <v>41</v>
      </c>
      <c r="O386" s="94" t="s">
        <v>252</v>
      </c>
      <c r="P386" s="94" t="s">
        <v>429</v>
      </c>
      <c r="Q386" s="94" t="s">
        <v>935</v>
      </c>
      <c r="R386" s="94" t="s">
        <v>40</v>
      </c>
      <c r="S386" s="98"/>
      <c r="T386" s="94"/>
      <c r="U386" s="94"/>
      <c r="V386" s="70"/>
      <c r="W386" s="73" t="str">
        <f t="shared" si="2"/>
        <v/>
      </c>
      <c r="X386" s="73" t="str">
        <f t="shared" si="3"/>
        <v/>
      </c>
      <c r="Y386" s="73" t="str">
        <f t="shared" si="4"/>
        <v>X</v>
      </c>
      <c r="Z386" s="73" t="str">
        <f t="shared" si="5"/>
        <v/>
      </c>
      <c r="AA386" s="73" t="s">
        <v>28</v>
      </c>
      <c r="AB386" s="73" t="str">
        <f t="shared" si="6"/>
        <v>Trim 3</v>
      </c>
      <c r="AC386" s="73">
        <f t="shared" si="7"/>
        <v>0</v>
      </c>
      <c r="AD386" s="73">
        <f t="shared" si="8"/>
        <v>0</v>
      </c>
      <c r="AE386" s="73"/>
      <c r="AF386" s="73"/>
      <c r="AG386" s="73"/>
      <c r="AH386" s="73"/>
      <c r="AI386" s="73"/>
    </row>
    <row r="387" spans="1:35" ht="45">
      <c r="A387" s="94" t="s">
        <v>1062</v>
      </c>
      <c r="B387" s="94">
        <v>3</v>
      </c>
      <c r="C387" s="94" t="s">
        <v>1090</v>
      </c>
      <c r="D387" s="96">
        <v>0.1</v>
      </c>
      <c r="E387" s="94" t="s">
        <v>293</v>
      </c>
      <c r="F387" s="94" t="s">
        <v>1098</v>
      </c>
      <c r="G387" s="98">
        <v>1.2500000000000001E-2</v>
      </c>
      <c r="H387" s="94" t="s">
        <v>1094</v>
      </c>
      <c r="I387" s="94" t="s">
        <v>1083</v>
      </c>
      <c r="J387" s="94" t="s">
        <v>1067</v>
      </c>
      <c r="K387" s="94" t="s">
        <v>115</v>
      </c>
      <c r="L387" s="94" t="s">
        <v>40</v>
      </c>
      <c r="M387" s="94" t="s">
        <v>40</v>
      </c>
      <c r="N387" s="94" t="s">
        <v>41</v>
      </c>
      <c r="O387" s="94" t="s">
        <v>252</v>
      </c>
      <c r="P387" s="94" t="s">
        <v>429</v>
      </c>
      <c r="Q387" s="94" t="s">
        <v>935</v>
      </c>
      <c r="R387" s="94" t="s">
        <v>40</v>
      </c>
      <c r="S387" s="98"/>
      <c r="T387" s="94"/>
      <c r="U387" s="94"/>
      <c r="V387" s="70"/>
      <c r="W387" s="73" t="str">
        <f t="shared" si="2"/>
        <v/>
      </c>
      <c r="X387" s="73" t="str">
        <f t="shared" si="3"/>
        <v/>
      </c>
      <c r="Y387" s="73" t="str">
        <f t="shared" si="4"/>
        <v>X</v>
      </c>
      <c r="Z387" s="73" t="str">
        <f t="shared" si="5"/>
        <v/>
      </c>
      <c r="AA387" s="73" t="s">
        <v>28</v>
      </c>
      <c r="AB387" s="73" t="str">
        <f t="shared" si="6"/>
        <v>Trim 3</v>
      </c>
      <c r="AC387" s="73">
        <f t="shared" si="7"/>
        <v>0</v>
      </c>
      <c r="AD387" s="73">
        <f t="shared" si="8"/>
        <v>0</v>
      </c>
      <c r="AE387" s="73"/>
      <c r="AF387" s="73"/>
      <c r="AG387" s="73"/>
      <c r="AH387" s="73"/>
      <c r="AI387" s="73"/>
    </row>
    <row r="388" spans="1:35" ht="60">
      <c r="A388" s="94" t="s">
        <v>1062</v>
      </c>
      <c r="B388" s="94">
        <v>3</v>
      </c>
      <c r="C388" s="94" t="s">
        <v>1090</v>
      </c>
      <c r="D388" s="96">
        <v>0.1</v>
      </c>
      <c r="E388" s="94" t="s">
        <v>296</v>
      </c>
      <c r="F388" s="94" t="s">
        <v>1099</v>
      </c>
      <c r="G388" s="98">
        <v>1.2500000000000001E-2</v>
      </c>
      <c r="H388" s="94" t="s">
        <v>1092</v>
      </c>
      <c r="I388" s="94" t="s">
        <v>1080</v>
      </c>
      <c r="J388" s="94" t="s">
        <v>1067</v>
      </c>
      <c r="K388" s="94" t="s">
        <v>39</v>
      </c>
      <c r="L388" s="94" t="s">
        <v>40</v>
      </c>
      <c r="M388" s="94" t="s">
        <v>40</v>
      </c>
      <c r="N388" s="94" t="s">
        <v>41</v>
      </c>
      <c r="O388" s="94" t="s">
        <v>252</v>
      </c>
      <c r="P388" s="94" t="s">
        <v>429</v>
      </c>
      <c r="Q388" s="94" t="s">
        <v>935</v>
      </c>
      <c r="R388" s="94" t="s">
        <v>40</v>
      </c>
      <c r="S388" s="98"/>
      <c r="T388" s="94"/>
      <c r="U388" s="94"/>
      <c r="V388" s="70"/>
      <c r="W388" s="73" t="str">
        <f t="shared" si="2"/>
        <v/>
      </c>
      <c r="X388" s="73" t="str">
        <f t="shared" si="3"/>
        <v/>
      </c>
      <c r="Y388" s="73" t="str">
        <f t="shared" si="4"/>
        <v/>
      </c>
      <c r="Z388" s="73" t="str">
        <f t="shared" si="5"/>
        <v>X</v>
      </c>
      <c r="AA388" s="73" t="s">
        <v>29</v>
      </c>
      <c r="AB388" s="73" t="str">
        <f t="shared" si="6"/>
        <v>Trim 4</v>
      </c>
      <c r="AC388" s="73">
        <f t="shared" si="7"/>
        <v>0</v>
      </c>
      <c r="AD388" s="73">
        <f t="shared" si="8"/>
        <v>0</v>
      </c>
      <c r="AE388" s="73"/>
      <c r="AF388" s="73"/>
      <c r="AG388" s="73"/>
      <c r="AH388" s="73"/>
      <c r="AI388" s="73"/>
    </row>
    <row r="389" spans="1:35" ht="45">
      <c r="A389" s="94" t="s">
        <v>1062</v>
      </c>
      <c r="B389" s="94">
        <v>3</v>
      </c>
      <c r="C389" s="94" t="s">
        <v>1090</v>
      </c>
      <c r="D389" s="96">
        <v>0.1</v>
      </c>
      <c r="E389" s="94" t="s">
        <v>299</v>
      </c>
      <c r="F389" s="94" t="s">
        <v>1100</v>
      </c>
      <c r="G389" s="98">
        <v>1.2500000000000001E-2</v>
      </c>
      <c r="H389" s="94" t="s">
        <v>1094</v>
      </c>
      <c r="I389" s="94" t="s">
        <v>1083</v>
      </c>
      <c r="J389" s="94" t="s">
        <v>1067</v>
      </c>
      <c r="K389" s="94" t="s">
        <v>39</v>
      </c>
      <c r="L389" s="94" t="s">
        <v>40</v>
      </c>
      <c r="M389" s="94" t="s">
        <v>40</v>
      </c>
      <c r="N389" s="94" t="s">
        <v>41</v>
      </c>
      <c r="O389" s="94" t="s">
        <v>252</v>
      </c>
      <c r="P389" s="94" t="s">
        <v>429</v>
      </c>
      <c r="Q389" s="94" t="s">
        <v>935</v>
      </c>
      <c r="R389" s="94" t="s">
        <v>40</v>
      </c>
      <c r="S389" s="98"/>
      <c r="T389" s="94"/>
      <c r="U389" s="94"/>
      <c r="V389" s="70"/>
      <c r="W389" s="73" t="str">
        <f t="shared" si="2"/>
        <v/>
      </c>
      <c r="X389" s="73" t="str">
        <f t="shared" si="3"/>
        <v/>
      </c>
      <c r="Y389" s="73" t="str">
        <f t="shared" si="4"/>
        <v/>
      </c>
      <c r="Z389" s="73" t="str">
        <f t="shared" si="5"/>
        <v>X</v>
      </c>
      <c r="AA389" s="73" t="s">
        <v>29</v>
      </c>
      <c r="AB389" s="73" t="str">
        <f t="shared" si="6"/>
        <v>Trim 4</v>
      </c>
      <c r="AC389" s="73">
        <f t="shared" si="7"/>
        <v>0</v>
      </c>
      <c r="AD389" s="73">
        <f t="shared" si="8"/>
        <v>0</v>
      </c>
      <c r="AE389" s="73"/>
      <c r="AF389" s="73"/>
      <c r="AG389" s="73"/>
      <c r="AH389" s="73"/>
      <c r="AI389" s="73"/>
    </row>
    <row r="390" spans="1:35" ht="45">
      <c r="A390" s="94" t="s">
        <v>1062</v>
      </c>
      <c r="B390" s="94">
        <v>4</v>
      </c>
      <c r="C390" s="94" t="s">
        <v>1101</v>
      </c>
      <c r="D390" s="96">
        <v>0.05</v>
      </c>
      <c r="E390" s="94" t="s">
        <v>79</v>
      </c>
      <c r="F390" s="94" t="s">
        <v>1102</v>
      </c>
      <c r="G390" s="98">
        <v>0.05</v>
      </c>
      <c r="H390" s="94" t="s">
        <v>1103</v>
      </c>
      <c r="I390" s="94" t="s">
        <v>1104</v>
      </c>
      <c r="J390" s="94" t="s">
        <v>1067</v>
      </c>
      <c r="K390" s="94" t="s">
        <v>45</v>
      </c>
      <c r="L390" s="94" t="s">
        <v>40</v>
      </c>
      <c r="M390" s="94" t="s">
        <v>40</v>
      </c>
      <c r="N390" s="94" t="s">
        <v>41</v>
      </c>
      <c r="O390" s="94" t="s">
        <v>252</v>
      </c>
      <c r="P390" s="94" t="s">
        <v>429</v>
      </c>
      <c r="Q390" s="94" t="s">
        <v>935</v>
      </c>
      <c r="R390" s="94" t="s">
        <v>40</v>
      </c>
      <c r="S390" s="98"/>
      <c r="T390" s="94"/>
      <c r="U390" s="94"/>
      <c r="V390" s="70"/>
      <c r="W390" s="73" t="str">
        <f t="shared" si="2"/>
        <v>X</v>
      </c>
      <c r="X390" s="73" t="str">
        <f t="shared" si="3"/>
        <v/>
      </c>
      <c r="Y390" s="73" t="str">
        <f t="shared" si="4"/>
        <v/>
      </c>
      <c r="Z390" s="73" t="str">
        <f t="shared" si="5"/>
        <v/>
      </c>
      <c r="AA390" s="73" t="s">
        <v>26</v>
      </c>
      <c r="AB390" s="73" t="str">
        <f t="shared" si="6"/>
        <v>Trim 1</v>
      </c>
      <c r="AC390" s="73">
        <f t="shared" si="7"/>
        <v>0</v>
      </c>
      <c r="AD390" s="73">
        <f t="shared" si="8"/>
        <v>1</v>
      </c>
      <c r="AE390" s="73"/>
      <c r="AF390" s="73"/>
      <c r="AG390" s="73"/>
      <c r="AH390" s="73"/>
      <c r="AI390" s="73"/>
    </row>
    <row r="391" spans="1:35" ht="45">
      <c r="A391" s="94" t="s">
        <v>1062</v>
      </c>
      <c r="B391" s="94">
        <v>5</v>
      </c>
      <c r="C391" s="94" t="s">
        <v>1105</v>
      </c>
      <c r="D391" s="96">
        <v>0.1</v>
      </c>
      <c r="E391" s="94" t="s">
        <v>469</v>
      </c>
      <c r="F391" s="94" t="s">
        <v>1106</v>
      </c>
      <c r="G391" s="98">
        <v>1.4999999999999999E-2</v>
      </c>
      <c r="H391" s="94" t="s">
        <v>1107</v>
      </c>
      <c r="I391" s="94" t="s">
        <v>960</v>
      </c>
      <c r="J391" s="94" t="s">
        <v>1067</v>
      </c>
      <c r="K391" s="94" t="s">
        <v>45</v>
      </c>
      <c r="L391" s="94" t="s">
        <v>40</v>
      </c>
      <c r="M391" s="94" t="s">
        <v>40</v>
      </c>
      <c r="N391" s="94" t="s">
        <v>41</v>
      </c>
      <c r="O391" s="94" t="s">
        <v>252</v>
      </c>
      <c r="P391" s="94" t="s">
        <v>429</v>
      </c>
      <c r="Q391" s="94" t="s">
        <v>935</v>
      </c>
      <c r="R391" s="94" t="s">
        <v>40</v>
      </c>
      <c r="S391" s="98"/>
      <c r="T391" s="94"/>
      <c r="U391" s="94"/>
      <c r="V391" s="70"/>
      <c r="W391" s="73" t="str">
        <f t="shared" si="2"/>
        <v>X</v>
      </c>
      <c r="X391" s="73" t="str">
        <f t="shared" si="3"/>
        <v/>
      </c>
      <c r="Y391" s="73" t="str">
        <f t="shared" si="4"/>
        <v/>
      </c>
      <c r="Z391" s="73" t="str">
        <f t="shared" si="5"/>
        <v/>
      </c>
      <c r="AA391" s="73" t="s">
        <v>26</v>
      </c>
      <c r="AB391" s="73" t="str">
        <f t="shared" si="6"/>
        <v>Trim 1</v>
      </c>
      <c r="AC391" s="73">
        <f t="shared" si="7"/>
        <v>0</v>
      </c>
      <c r="AD391" s="73">
        <f t="shared" si="8"/>
        <v>1</v>
      </c>
      <c r="AE391" s="73"/>
      <c r="AF391" s="73"/>
      <c r="AG391" s="73"/>
      <c r="AH391" s="73"/>
      <c r="AI391" s="73"/>
    </row>
    <row r="392" spans="1:35" ht="45">
      <c r="A392" s="94" t="s">
        <v>1062</v>
      </c>
      <c r="B392" s="94">
        <v>5</v>
      </c>
      <c r="C392" s="94" t="s">
        <v>1105</v>
      </c>
      <c r="D392" s="96">
        <v>0.1</v>
      </c>
      <c r="E392" s="94" t="s">
        <v>476</v>
      </c>
      <c r="F392" s="94" t="s">
        <v>1106</v>
      </c>
      <c r="G392" s="98">
        <v>5.5E-2</v>
      </c>
      <c r="H392" s="94" t="s">
        <v>1107</v>
      </c>
      <c r="I392" s="94" t="s">
        <v>960</v>
      </c>
      <c r="J392" s="94" t="s">
        <v>1067</v>
      </c>
      <c r="K392" s="94" t="s">
        <v>111</v>
      </c>
      <c r="L392" s="94" t="s">
        <v>40</v>
      </c>
      <c r="M392" s="94" t="s">
        <v>40</v>
      </c>
      <c r="N392" s="94" t="s">
        <v>41</v>
      </c>
      <c r="O392" s="94" t="s">
        <v>252</v>
      </c>
      <c r="P392" s="94" t="s">
        <v>429</v>
      </c>
      <c r="Q392" s="94" t="s">
        <v>935</v>
      </c>
      <c r="R392" s="94" t="s">
        <v>40</v>
      </c>
      <c r="S392" s="98"/>
      <c r="T392" s="94"/>
      <c r="U392" s="94"/>
      <c r="V392" s="70"/>
      <c r="W392" s="73" t="str">
        <f t="shared" si="2"/>
        <v/>
      </c>
      <c r="X392" s="73" t="str">
        <f t="shared" si="3"/>
        <v>X</v>
      </c>
      <c r="Y392" s="73" t="str">
        <f t="shared" si="4"/>
        <v/>
      </c>
      <c r="Z392" s="73" t="str">
        <f t="shared" si="5"/>
        <v/>
      </c>
      <c r="AA392" s="73" t="s">
        <v>27</v>
      </c>
      <c r="AB392" s="73" t="str">
        <f t="shared" si="6"/>
        <v>Trim 2</v>
      </c>
      <c r="AC392" s="73">
        <f t="shared" si="7"/>
        <v>0</v>
      </c>
      <c r="AD392" s="73">
        <f t="shared" si="8"/>
        <v>0</v>
      </c>
      <c r="AE392" s="73"/>
      <c r="AF392" s="73"/>
      <c r="AG392" s="73"/>
      <c r="AH392" s="73"/>
      <c r="AI392" s="73"/>
    </row>
    <row r="393" spans="1:35" ht="45">
      <c r="A393" s="94" t="s">
        <v>1062</v>
      </c>
      <c r="B393" s="94">
        <v>5</v>
      </c>
      <c r="C393" s="94" t="s">
        <v>1105</v>
      </c>
      <c r="D393" s="96">
        <v>0.1</v>
      </c>
      <c r="E393" s="94" t="s">
        <v>482</v>
      </c>
      <c r="F393" s="94" t="s">
        <v>1108</v>
      </c>
      <c r="G393" s="98">
        <v>0.03</v>
      </c>
      <c r="H393" s="94" t="s">
        <v>1109</v>
      </c>
      <c r="I393" s="94" t="s">
        <v>960</v>
      </c>
      <c r="J393" s="94" t="s">
        <v>1067</v>
      </c>
      <c r="K393" s="94" t="s">
        <v>111</v>
      </c>
      <c r="L393" s="94" t="s">
        <v>40</v>
      </c>
      <c r="M393" s="94" t="s">
        <v>40</v>
      </c>
      <c r="N393" s="94" t="s">
        <v>41</v>
      </c>
      <c r="O393" s="94" t="s">
        <v>252</v>
      </c>
      <c r="P393" s="94" t="s">
        <v>429</v>
      </c>
      <c r="Q393" s="94" t="s">
        <v>935</v>
      </c>
      <c r="R393" s="94" t="s">
        <v>40</v>
      </c>
      <c r="S393" s="98"/>
      <c r="T393" s="94"/>
      <c r="U393" s="94"/>
      <c r="V393" s="70"/>
      <c r="W393" s="73" t="str">
        <f t="shared" si="2"/>
        <v/>
      </c>
      <c r="X393" s="73" t="str">
        <f t="shared" si="3"/>
        <v>X</v>
      </c>
      <c r="Y393" s="73" t="str">
        <f t="shared" si="4"/>
        <v/>
      </c>
      <c r="Z393" s="73" t="str">
        <f t="shared" si="5"/>
        <v/>
      </c>
      <c r="AA393" s="73" t="s">
        <v>27</v>
      </c>
      <c r="AB393" s="73" t="str">
        <f t="shared" si="6"/>
        <v>Trim 2</v>
      </c>
      <c r="AC393" s="73">
        <f t="shared" si="7"/>
        <v>0</v>
      </c>
      <c r="AD393" s="73">
        <f t="shared" si="8"/>
        <v>0</v>
      </c>
      <c r="AE393" s="73"/>
      <c r="AF393" s="73"/>
      <c r="AG393" s="73"/>
      <c r="AH393" s="73"/>
      <c r="AI393" s="73"/>
    </row>
    <row r="394" spans="1:35" ht="45">
      <c r="A394" s="94" t="s">
        <v>1062</v>
      </c>
      <c r="B394" s="94">
        <v>6</v>
      </c>
      <c r="C394" s="94" t="s">
        <v>1110</v>
      </c>
      <c r="D394" s="96">
        <v>0.05</v>
      </c>
      <c r="E394" s="94" t="s">
        <v>648</v>
      </c>
      <c r="F394" s="94" t="s">
        <v>1111</v>
      </c>
      <c r="G394" s="98">
        <v>1.2500000000000001E-2</v>
      </c>
      <c r="H394" s="94" t="s">
        <v>1112</v>
      </c>
      <c r="I394" s="94" t="s">
        <v>960</v>
      </c>
      <c r="J394" s="94" t="s">
        <v>1067</v>
      </c>
      <c r="K394" s="94" t="s">
        <v>45</v>
      </c>
      <c r="L394" s="94" t="s">
        <v>40</v>
      </c>
      <c r="M394" s="94" t="s">
        <v>40</v>
      </c>
      <c r="N394" s="94" t="s">
        <v>41</v>
      </c>
      <c r="O394" s="94" t="s">
        <v>252</v>
      </c>
      <c r="P394" s="94" t="s">
        <v>429</v>
      </c>
      <c r="Q394" s="94" t="s">
        <v>935</v>
      </c>
      <c r="R394" s="94" t="s">
        <v>40</v>
      </c>
      <c r="S394" s="98"/>
      <c r="T394" s="94"/>
      <c r="U394" s="94"/>
      <c r="V394" s="70"/>
      <c r="W394" s="73" t="str">
        <f t="shared" si="2"/>
        <v>X</v>
      </c>
      <c r="X394" s="73" t="str">
        <f t="shared" si="3"/>
        <v/>
      </c>
      <c r="Y394" s="73" t="str">
        <f t="shared" si="4"/>
        <v/>
      </c>
      <c r="Z394" s="73" t="str">
        <f t="shared" si="5"/>
        <v/>
      </c>
      <c r="AA394" s="73" t="s">
        <v>26</v>
      </c>
      <c r="AB394" s="73" t="str">
        <f t="shared" si="6"/>
        <v>Trim 1</v>
      </c>
      <c r="AC394" s="73">
        <f t="shared" si="7"/>
        <v>0</v>
      </c>
      <c r="AD394" s="73">
        <f t="shared" si="8"/>
        <v>1</v>
      </c>
      <c r="AE394" s="73"/>
      <c r="AF394" s="73"/>
      <c r="AG394" s="73"/>
      <c r="AH394" s="73"/>
      <c r="AI394" s="73"/>
    </row>
    <row r="395" spans="1:35" ht="45">
      <c r="A395" s="94" t="s">
        <v>1062</v>
      </c>
      <c r="B395" s="94">
        <v>6</v>
      </c>
      <c r="C395" s="94" t="s">
        <v>1110</v>
      </c>
      <c r="D395" s="96">
        <v>0.05</v>
      </c>
      <c r="E395" s="94" t="s">
        <v>651</v>
      </c>
      <c r="F395" s="94" t="s">
        <v>1113</v>
      </c>
      <c r="G395" s="98">
        <v>1.2500000000000001E-2</v>
      </c>
      <c r="H395" s="94" t="s">
        <v>1112</v>
      </c>
      <c r="I395" s="94" t="s">
        <v>960</v>
      </c>
      <c r="J395" s="94" t="s">
        <v>1067</v>
      </c>
      <c r="K395" s="94" t="s">
        <v>111</v>
      </c>
      <c r="L395" s="94" t="s">
        <v>40</v>
      </c>
      <c r="M395" s="94" t="s">
        <v>40</v>
      </c>
      <c r="N395" s="94" t="s">
        <v>41</v>
      </c>
      <c r="O395" s="94" t="s">
        <v>252</v>
      </c>
      <c r="P395" s="94" t="s">
        <v>429</v>
      </c>
      <c r="Q395" s="94" t="s">
        <v>935</v>
      </c>
      <c r="R395" s="94" t="s">
        <v>40</v>
      </c>
      <c r="S395" s="98"/>
      <c r="T395" s="94"/>
      <c r="U395" s="94"/>
      <c r="V395" s="70"/>
      <c r="W395" s="73" t="str">
        <f t="shared" si="2"/>
        <v/>
      </c>
      <c r="X395" s="73" t="str">
        <f t="shared" si="3"/>
        <v>X</v>
      </c>
      <c r="Y395" s="73" t="str">
        <f t="shared" si="4"/>
        <v/>
      </c>
      <c r="Z395" s="73" t="str">
        <f t="shared" si="5"/>
        <v/>
      </c>
      <c r="AA395" s="73" t="s">
        <v>27</v>
      </c>
      <c r="AB395" s="73" t="str">
        <f t="shared" si="6"/>
        <v>Trim 2</v>
      </c>
      <c r="AC395" s="73">
        <f t="shared" si="7"/>
        <v>0</v>
      </c>
      <c r="AD395" s="73">
        <f t="shared" si="8"/>
        <v>0</v>
      </c>
      <c r="AE395" s="73"/>
      <c r="AF395" s="73"/>
      <c r="AG395" s="73"/>
      <c r="AH395" s="73"/>
      <c r="AI395" s="73"/>
    </row>
    <row r="396" spans="1:35" ht="45">
      <c r="A396" s="94" t="s">
        <v>1062</v>
      </c>
      <c r="B396" s="94">
        <v>6</v>
      </c>
      <c r="C396" s="94" t="s">
        <v>1110</v>
      </c>
      <c r="D396" s="96">
        <v>0.05</v>
      </c>
      <c r="E396" s="94" t="s">
        <v>723</v>
      </c>
      <c r="F396" s="94" t="s">
        <v>1114</v>
      </c>
      <c r="G396" s="98">
        <v>1.2500000000000001E-2</v>
      </c>
      <c r="H396" s="94" t="s">
        <v>1112</v>
      </c>
      <c r="I396" s="94" t="s">
        <v>960</v>
      </c>
      <c r="J396" s="94" t="s">
        <v>1067</v>
      </c>
      <c r="K396" s="94" t="s">
        <v>115</v>
      </c>
      <c r="L396" s="94" t="s">
        <v>40</v>
      </c>
      <c r="M396" s="94" t="s">
        <v>40</v>
      </c>
      <c r="N396" s="94" t="s">
        <v>41</v>
      </c>
      <c r="O396" s="94" t="s">
        <v>252</v>
      </c>
      <c r="P396" s="94" t="s">
        <v>429</v>
      </c>
      <c r="Q396" s="94" t="s">
        <v>935</v>
      </c>
      <c r="R396" s="94" t="s">
        <v>40</v>
      </c>
      <c r="S396" s="98"/>
      <c r="T396" s="94"/>
      <c r="U396" s="94"/>
      <c r="V396" s="70"/>
      <c r="W396" s="73" t="str">
        <f t="shared" si="2"/>
        <v/>
      </c>
      <c r="X396" s="73" t="str">
        <f t="shared" si="3"/>
        <v/>
      </c>
      <c r="Y396" s="73" t="str">
        <f t="shared" si="4"/>
        <v>X</v>
      </c>
      <c r="Z396" s="73" t="str">
        <f t="shared" si="5"/>
        <v/>
      </c>
      <c r="AA396" s="73" t="s">
        <v>28</v>
      </c>
      <c r="AB396" s="73" t="str">
        <f t="shared" si="6"/>
        <v>Trim 3</v>
      </c>
      <c r="AC396" s="73">
        <f t="shared" si="7"/>
        <v>0</v>
      </c>
      <c r="AD396" s="73">
        <f t="shared" si="8"/>
        <v>0</v>
      </c>
      <c r="AE396" s="73"/>
      <c r="AF396" s="73"/>
      <c r="AG396" s="73"/>
      <c r="AH396" s="73"/>
      <c r="AI396" s="73"/>
    </row>
    <row r="397" spans="1:35" ht="45">
      <c r="A397" s="94" t="s">
        <v>1062</v>
      </c>
      <c r="B397" s="94">
        <v>6</v>
      </c>
      <c r="C397" s="94" t="s">
        <v>1110</v>
      </c>
      <c r="D397" s="96">
        <v>0.05</v>
      </c>
      <c r="E397" s="94" t="s">
        <v>895</v>
      </c>
      <c r="F397" s="94" t="s">
        <v>1115</v>
      </c>
      <c r="G397" s="98">
        <v>1.2500000000000001E-2</v>
      </c>
      <c r="H397" s="94" t="s">
        <v>1112</v>
      </c>
      <c r="I397" s="94" t="s">
        <v>960</v>
      </c>
      <c r="J397" s="94" t="s">
        <v>1067</v>
      </c>
      <c r="K397" s="94" t="s">
        <v>39</v>
      </c>
      <c r="L397" s="94" t="s">
        <v>40</v>
      </c>
      <c r="M397" s="94" t="s">
        <v>40</v>
      </c>
      <c r="N397" s="94" t="s">
        <v>41</v>
      </c>
      <c r="O397" s="94" t="s">
        <v>252</v>
      </c>
      <c r="P397" s="94" t="s">
        <v>429</v>
      </c>
      <c r="Q397" s="94" t="s">
        <v>935</v>
      </c>
      <c r="R397" s="94" t="s">
        <v>40</v>
      </c>
      <c r="S397" s="98"/>
      <c r="T397" s="94"/>
      <c r="U397" s="94"/>
      <c r="V397" s="70"/>
      <c r="W397" s="73" t="str">
        <f t="shared" si="2"/>
        <v/>
      </c>
      <c r="X397" s="73" t="str">
        <f t="shared" si="3"/>
        <v/>
      </c>
      <c r="Y397" s="73" t="str">
        <f t="shared" si="4"/>
        <v/>
      </c>
      <c r="Z397" s="73" t="str">
        <f t="shared" si="5"/>
        <v>X</v>
      </c>
      <c r="AA397" s="73" t="s">
        <v>29</v>
      </c>
      <c r="AB397" s="73" t="str">
        <f t="shared" si="6"/>
        <v>Trim 4</v>
      </c>
      <c r="AC397" s="73">
        <f t="shared" si="7"/>
        <v>0</v>
      </c>
      <c r="AD397" s="73">
        <f t="shared" si="8"/>
        <v>0</v>
      </c>
      <c r="AE397" s="73"/>
      <c r="AF397" s="73"/>
      <c r="AG397" s="73"/>
      <c r="AH397" s="73"/>
      <c r="AI397" s="73"/>
    </row>
    <row r="398" spans="1:35" ht="90">
      <c r="A398" s="94" t="s">
        <v>1116</v>
      </c>
      <c r="B398" s="94">
        <v>1</v>
      </c>
      <c r="C398" s="94" t="s">
        <v>1117</v>
      </c>
      <c r="D398" s="96">
        <v>0.25</v>
      </c>
      <c r="E398" s="94" t="s">
        <v>34</v>
      </c>
      <c r="F398" s="94" t="s">
        <v>1118</v>
      </c>
      <c r="G398" s="98">
        <v>0.1</v>
      </c>
      <c r="H398" s="94" t="s">
        <v>1119</v>
      </c>
      <c r="I398" s="94" t="s">
        <v>1120</v>
      </c>
      <c r="J398" s="94" t="s">
        <v>1121</v>
      </c>
      <c r="K398" s="94" t="s">
        <v>1031</v>
      </c>
      <c r="L398" s="94" t="s">
        <v>1122</v>
      </c>
      <c r="M398" s="94" t="s">
        <v>957</v>
      </c>
      <c r="N398" s="94" t="s">
        <v>41</v>
      </c>
      <c r="O398" s="94" t="s">
        <v>42</v>
      </c>
      <c r="P398" s="94" t="s">
        <v>495</v>
      </c>
      <c r="Q398" s="94" t="s">
        <v>935</v>
      </c>
      <c r="R398" s="94" t="s">
        <v>40</v>
      </c>
      <c r="S398" s="98"/>
      <c r="T398" s="94"/>
      <c r="U398" s="94"/>
      <c r="V398" s="70"/>
      <c r="W398" s="73" t="str">
        <f t="shared" si="2"/>
        <v>X</v>
      </c>
      <c r="X398" s="73" t="str">
        <f t="shared" si="3"/>
        <v/>
      </c>
      <c r="Y398" s="73" t="str">
        <f t="shared" si="4"/>
        <v/>
      </c>
      <c r="Z398" s="73" t="str">
        <f t="shared" si="5"/>
        <v/>
      </c>
      <c r="AA398" s="73" t="s">
        <v>26</v>
      </c>
      <c r="AB398" s="73" t="str">
        <f t="shared" si="6"/>
        <v>Trim 1</v>
      </c>
      <c r="AC398" s="73">
        <f t="shared" si="7"/>
        <v>0</v>
      </c>
      <c r="AD398" s="73">
        <f t="shared" si="8"/>
        <v>1</v>
      </c>
      <c r="AE398" s="73"/>
      <c r="AF398" s="73"/>
      <c r="AG398" s="73"/>
      <c r="AH398" s="73"/>
      <c r="AI398" s="73"/>
    </row>
    <row r="399" spans="1:35" ht="90">
      <c r="A399" s="94" t="s">
        <v>1116</v>
      </c>
      <c r="B399" s="94">
        <v>1</v>
      </c>
      <c r="C399" s="94" t="s">
        <v>1117</v>
      </c>
      <c r="D399" s="96">
        <v>0.25</v>
      </c>
      <c r="E399" s="94" t="s">
        <v>47</v>
      </c>
      <c r="F399" s="94" t="s">
        <v>1123</v>
      </c>
      <c r="G399" s="98">
        <v>0.1</v>
      </c>
      <c r="H399" s="94" t="s">
        <v>1124</v>
      </c>
      <c r="I399" s="94" t="s">
        <v>1125</v>
      </c>
      <c r="J399" s="94" t="s">
        <v>1121</v>
      </c>
      <c r="K399" s="94" t="s">
        <v>1126</v>
      </c>
      <c r="L399" s="94" t="s">
        <v>1122</v>
      </c>
      <c r="M399" s="94" t="s">
        <v>957</v>
      </c>
      <c r="N399" s="94" t="s">
        <v>41</v>
      </c>
      <c r="O399" s="94" t="s">
        <v>42</v>
      </c>
      <c r="P399" s="94" t="s">
        <v>495</v>
      </c>
      <c r="Q399" s="94" t="s">
        <v>935</v>
      </c>
      <c r="R399" s="94"/>
      <c r="S399" s="98"/>
      <c r="T399" s="94"/>
      <c r="U399" s="94"/>
      <c r="V399" s="70"/>
      <c r="W399" s="73" t="str">
        <f t="shared" si="2"/>
        <v/>
      </c>
      <c r="X399" s="73" t="str">
        <f t="shared" si="3"/>
        <v>X</v>
      </c>
      <c r="Y399" s="73" t="str">
        <f t="shared" si="4"/>
        <v/>
      </c>
      <c r="Z399" s="73" t="str">
        <f t="shared" si="5"/>
        <v/>
      </c>
      <c r="AA399" s="73" t="s">
        <v>27</v>
      </c>
      <c r="AB399" s="73" t="str">
        <f t="shared" si="6"/>
        <v>Trim 2</v>
      </c>
      <c r="AC399" s="73">
        <f t="shared" si="7"/>
        <v>0</v>
      </c>
      <c r="AD399" s="73">
        <f t="shared" si="8"/>
        <v>0</v>
      </c>
      <c r="AE399" s="73"/>
      <c r="AF399" s="73"/>
      <c r="AG399" s="73"/>
      <c r="AH399" s="73"/>
      <c r="AI399" s="73"/>
    </row>
    <row r="400" spans="1:35" ht="90">
      <c r="A400" s="94" t="s">
        <v>1116</v>
      </c>
      <c r="B400" s="94">
        <v>1</v>
      </c>
      <c r="C400" s="94" t="s">
        <v>1117</v>
      </c>
      <c r="D400" s="96">
        <v>0.25</v>
      </c>
      <c r="E400" s="94" t="s">
        <v>49</v>
      </c>
      <c r="F400" s="94" t="s">
        <v>1127</v>
      </c>
      <c r="G400" s="98">
        <v>0.04</v>
      </c>
      <c r="H400" s="94" t="s">
        <v>1128</v>
      </c>
      <c r="I400" s="94" t="s">
        <v>1129</v>
      </c>
      <c r="J400" s="94" t="s">
        <v>1121</v>
      </c>
      <c r="K400" s="94" t="s">
        <v>1130</v>
      </c>
      <c r="L400" s="94" t="s">
        <v>1122</v>
      </c>
      <c r="M400" s="94" t="s">
        <v>957</v>
      </c>
      <c r="N400" s="94" t="s">
        <v>41</v>
      </c>
      <c r="O400" s="94" t="s">
        <v>42</v>
      </c>
      <c r="P400" s="94" t="s">
        <v>495</v>
      </c>
      <c r="Q400" s="94" t="s">
        <v>935</v>
      </c>
      <c r="R400" s="94"/>
      <c r="S400" s="98"/>
      <c r="T400" s="94"/>
      <c r="U400" s="94"/>
      <c r="V400" s="70"/>
      <c r="W400" s="73" t="str">
        <f t="shared" si="2"/>
        <v/>
      </c>
      <c r="X400" s="73" t="str">
        <f t="shared" si="3"/>
        <v>X</v>
      </c>
      <c r="Y400" s="73" t="str">
        <f t="shared" si="4"/>
        <v/>
      </c>
      <c r="Z400" s="73" t="str">
        <f t="shared" si="5"/>
        <v/>
      </c>
      <c r="AA400" s="73" t="s">
        <v>27</v>
      </c>
      <c r="AB400" s="73" t="str">
        <f t="shared" si="6"/>
        <v>Trim 2</v>
      </c>
      <c r="AC400" s="73">
        <f t="shared" si="7"/>
        <v>0</v>
      </c>
      <c r="AD400" s="73">
        <f t="shared" si="8"/>
        <v>0</v>
      </c>
      <c r="AE400" s="73"/>
      <c r="AF400" s="73"/>
      <c r="AG400" s="73"/>
      <c r="AH400" s="73"/>
      <c r="AI400" s="73"/>
    </row>
    <row r="401" spans="1:35" ht="90">
      <c r="A401" s="94" t="s">
        <v>1116</v>
      </c>
      <c r="B401" s="94">
        <v>1</v>
      </c>
      <c r="C401" s="94" t="s">
        <v>1117</v>
      </c>
      <c r="D401" s="96">
        <v>0.25</v>
      </c>
      <c r="E401" s="94" t="s">
        <v>52</v>
      </c>
      <c r="F401" s="94" t="s">
        <v>1131</v>
      </c>
      <c r="G401" s="98">
        <v>0.01</v>
      </c>
      <c r="H401" s="94" t="s">
        <v>1132</v>
      </c>
      <c r="I401" s="94" t="s">
        <v>1125</v>
      </c>
      <c r="J401" s="94" t="s">
        <v>1121</v>
      </c>
      <c r="K401" s="94" t="s">
        <v>1130</v>
      </c>
      <c r="L401" s="94" t="s">
        <v>1122</v>
      </c>
      <c r="M401" s="94" t="s">
        <v>957</v>
      </c>
      <c r="N401" s="94" t="s">
        <v>41</v>
      </c>
      <c r="O401" s="94" t="s">
        <v>42</v>
      </c>
      <c r="P401" s="94" t="s">
        <v>495</v>
      </c>
      <c r="Q401" s="94" t="s">
        <v>935</v>
      </c>
      <c r="R401" s="94"/>
      <c r="S401" s="98"/>
      <c r="T401" s="94"/>
      <c r="U401" s="94"/>
      <c r="V401" s="70"/>
      <c r="W401" s="73" t="str">
        <f t="shared" si="2"/>
        <v/>
      </c>
      <c r="X401" s="73" t="str">
        <f t="shared" si="3"/>
        <v>X</v>
      </c>
      <c r="Y401" s="73" t="str">
        <f t="shared" si="4"/>
        <v/>
      </c>
      <c r="Z401" s="73" t="str">
        <f t="shared" si="5"/>
        <v/>
      </c>
      <c r="AA401" s="73" t="s">
        <v>27</v>
      </c>
      <c r="AB401" s="73" t="str">
        <f t="shared" si="6"/>
        <v>Trim 2</v>
      </c>
      <c r="AC401" s="73">
        <f t="shared" si="7"/>
        <v>0</v>
      </c>
      <c r="AD401" s="73">
        <f t="shared" si="8"/>
        <v>0</v>
      </c>
      <c r="AE401" s="73"/>
      <c r="AF401" s="73"/>
      <c r="AG401" s="73"/>
      <c r="AH401" s="73"/>
      <c r="AI401" s="73"/>
    </row>
    <row r="402" spans="1:35" ht="90">
      <c r="A402" s="94" t="s">
        <v>1116</v>
      </c>
      <c r="B402" s="94">
        <v>2</v>
      </c>
      <c r="C402" s="94" t="s">
        <v>1133</v>
      </c>
      <c r="D402" s="96">
        <v>0.6</v>
      </c>
      <c r="E402" s="94" t="s">
        <v>56</v>
      </c>
      <c r="F402" s="94" t="s">
        <v>1134</v>
      </c>
      <c r="G402" s="98">
        <v>0.15</v>
      </c>
      <c r="H402" s="94" t="s">
        <v>1135</v>
      </c>
      <c r="I402" s="94" t="s">
        <v>1125</v>
      </c>
      <c r="J402" s="94" t="s">
        <v>1121</v>
      </c>
      <c r="K402" s="94" t="s">
        <v>108</v>
      </c>
      <c r="L402" s="94" t="s">
        <v>1122</v>
      </c>
      <c r="M402" s="94" t="s">
        <v>957</v>
      </c>
      <c r="N402" s="94" t="s">
        <v>41</v>
      </c>
      <c r="O402" s="94" t="s">
        <v>42</v>
      </c>
      <c r="P402" s="94" t="s">
        <v>495</v>
      </c>
      <c r="Q402" s="94" t="s">
        <v>935</v>
      </c>
      <c r="R402" s="94"/>
      <c r="S402" s="98"/>
      <c r="T402" s="94"/>
      <c r="U402" s="94"/>
      <c r="V402" s="70"/>
      <c r="W402" s="73" t="str">
        <f t="shared" si="2"/>
        <v>X</v>
      </c>
      <c r="X402" s="73" t="str">
        <f t="shared" si="3"/>
        <v/>
      </c>
      <c r="Y402" s="73" t="str">
        <f t="shared" si="4"/>
        <v/>
      </c>
      <c r="Z402" s="73" t="str">
        <f t="shared" si="5"/>
        <v/>
      </c>
      <c r="AA402" s="73" t="s">
        <v>26</v>
      </c>
      <c r="AB402" s="73" t="str">
        <f t="shared" si="6"/>
        <v>Trim 1</v>
      </c>
      <c r="AC402" s="73">
        <f t="shared" si="7"/>
        <v>0</v>
      </c>
      <c r="AD402" s="73">
        <f t="shared" si="8"/>
        <v>1</v>
      </c>
      <c r="AE402" s="73"/>
      <c r="AF402" s="73"/>
      <c r="AG402" s="73"/>
      <c r="AH402" s="73"/>
      <c r="AI402" s="73"/>
    </row>
    <row r="403" spans="1:35" ht="45">
      <c r="A403" s="94" t="s">
        <v>1116</v>
      </c>
      <c r="B403" s="94">
        <v>2</v>
      </c>
      <c r="C403" s="94" t="s">
        <v>1133</v>
      </c>
      <c r="D403" s="96">
        <v>0.6</v>
      </c>
      <c r="E403" s="94" t="s">
        <v>60</v>
      </c>
      <c r="F403" s="94" t="s">
        <v>1136</v>
      </c>
      <c r="G403" s="98">
        <v>0.15</v>
      </c>
      <c r="H403" s="94" t="s">
        <v>1137</v>
      </c>
      <c r="I403" s="94" t="s">
        <v>1125</v>
      </c>
      <c r="J403" s="94" t="s">
        <v>1121</v>
      </c>
      <c r="K403" s="94" t="s">
        <v>108</v>
      </c>
      <c r="L403" s="94" t="s">
        <v>1138</v>
      </c>
      <c r="M403" s="94" t="s">
        <v>40</v>
      </c>
      <c r="N403" s="94" t="s">
        <v>41</v>
      </c>
      <c r="O403" s="94" t="s">
        <v>42</v>
      </c>
      <c r="P403" s="94" t="s">
        <v>495</v>
      </c>
      <c r="Q403" s="94" t="s">
        <v>935</v>
      </c>
      <c r="R403" s="94"/>
      <c r="S403" s="98"/>
      <c r="T403" s="94"/>
      <c r="U403" s="94"/>
      <c r="V403" s="70"/>
      <c r="W403" s="73" t="str">
        <f t="shared" si="2"/>
        <v>X</v>
      </c>
      <c r="X403" s="73" t="str">
        <f t="shared" si="3"/>
        <v/>
      </c>
      <c r="Y403" s="73" t="str">
        <f t="shared" si="4"/>
        <v/>
      </c>
      <c r="Z403" s="73" t="str">
        <f t="shared" si="5"/>
        <v/>
      </c>
      <c r="AA403" s="73" t="s">
        <v>26</v>
      </c>
      <c r="AB403" s="73" t="str">
        <f t="shared" si="6"/>
        <v>Trim 1</v>
      </c>
      <c r="AC403" s="73">
        <f t="shared" si="7"/>
        <v>0</v>
      </c>
      <c r="AD403" s="73">
        <f t="shared" si="8"/>
        <v>1</v>
      </c>
      <c r="AE403" s="73"/>
      <c r="AF403" s="73"/>
      <c r="AG403" s="73"/>
      <c r="AH403" s="73"/>
      <c r="AI403" s="73"/>
    </row>
    <row r="404" spans="1:35" ht="45">
      <c r="A404" s="94" t="s">
        <v>1116</v>
      </c>
      <c r="B404" s="94">
        <v>2</v>
      </c>
      <c r="C404" s="94" t="s">
        <v>1133</v>
      </c>
      <c r="D404" s="96">
        <v>0.6</v>
      </c>
      <c r="E404" s="94" t="s">
        <v>63</v>
      </c>
      <c r="F404" s="94" t="s">
        <v>1139</v>
      </c>
      <c r="G404" s="98">
        <v>0.1</v>
      </c>
      <c r="H404" s="94" t="s">
        <v>1140</v>
      </c>
      <c r="I404" s="94" t="s">
        <v>1125</v>
      </c>
      <c r="J404" s="94" t="s">
        <v>1121</v>
      </c>
      <c r="K404" s="94" t="s">
        <v>108</v>
      </c>
      <c r="L404" s="94" t="s">
        <v>1138</v>
      </c>
      <c r="M404" s="94" t="s">
        <v>40</v>
      </c>
      <c r="N404" s="94" t="s">
        <v>41</v>
      </c>
      <c r="O404" s="94" t="s">
        <v>42</v>
      </c>
      <c r="P404" s="94" t="s">
        <v>495</v>
      </c>
      <c r="Q404" s="94" t="s">
        <v>935</v>
      </c>
      <c r="R404" s="94"/>
      <c r="S404" s="98"/>
      <c r="T404" s="94"/>
      <c r="U404" s="94"/>
      <c r="V404" s="70"/>
      <c r="W404" s="73" t="str">
        <f t="shared" si="2"/>
        <v>X</v>
      </c>
      <c r="X404" s="73" t="str">
        <f t="shared" si="3"/>
        <v/>
      </c>
      <c r="Y404" s="73" t="str">
        <f t="shared" si="4"/>
        <v/>
      </c>
      <c r="Z404" s="73" t="str">
        <f t="shared" si="5"/>
        <v/>
      </c>
      <c r="AA404" s="73" t="s">
        <v>26</v>
      </c>
      <c r="AB404" s="73" t="str">
        <f t="shared" si="6"/>
        <v>Trim 1</v>
      </c>
      <c r="AC404" s="73">
        <f t="shared" si="7"/>
        <v>0</v>
      </c>
      <c r="AD404" s="73">
        <f t="shared" si="8"/>
        <v>1</v>
      </c>
      <c r="AE404" s="73"/>
      <c r="AF404" s="73"/>
      <c r="AG404" s="73"/>
      <c r="AH404" s="73"/>
      <c r="AI404" s="73"/>
    </row>
    <row r="405" spans="1:35" ht="45">
      <c r="A405" s="94" t="s">
        <v>1116</v>
      </c>
      <c r="B405" s="94">
        <v>2</v>
      </c>
      <c r="C405" s="94" t="s">
        <v>1133</v>
      </c>
      <c r="D405" s="96">
        <v>0.6</v>
      </c>
      <c r="E405" s="94" t="s">
        <v>110</v>
      </c>
      <c r="F405" s="94" t="s">
        <v>1141</v>
      </c>
      <c r="G405" s="98">
        <v>0.05</v>
      </c>
      <c r="H405" s="94" t="s">
        <v>1140</v>
      </c>
      <c r="I405" s="94" t="s">
        <v>1125</v>
      </c>
      <c r="J405" s="94" t="s">
        <v>1121</v>
      </c>
      <c r="K405" s="94" t="s">
        <v>111</v>
      </c>
      <c r="L405" s="94" t="s">
        <v>1138</v>
      </c>
      <c r="M405" s="94" t="s">
        <v>40</v>
      </c>
      <c r="N405" s="94" t="s">
        <v>41</v>
      </c>
      <c r="O405" s="94" t="s">
        <v>42</v>
      </c>
      <c r="P405" s="94" t="s">
        <v>495</v>
      </c>
      <c r="Q405" s="94" t="s">
        <v>935</v>
      </c>
      <c r="R405" s="94"/>
      <c r="S405" s="98"/>
      <c r="T405" s="94"/>
      <c r="U405" s="94"/>
      <c r="V405" s="70"/>
      <c r="W405" s="73" t="str">
        <f t="shared" si="2"/>
        <v/>
      </c>
      <c r="X405" s="73" t="str">
        <f t="shared" si="3"/>
        <v>X</v>
      </c>
      <c r="Y405" s="73" t="str">
        <f t="shared" si="4"/>
        <v/>
      </c>
      <c r="Z405" s="73" t="str">
        <f t="shared" si="5"/>
        <v/>
      </c>
      <c r="AA405" s="73" t="s">
        <v>27</v>
      </c>
      <c r="AB405" s="73" t="str">
        <f t="shared" si="6"/>
        <v>Trim 2</v>
      </c>
      <c r="AC405" s="73">
        <f t="shared" si="7"/>
        <v>0</v>
      </c>
      <c r="AD405" s="73">
        <f t="shared" si="8"/>
        <v>0</v>
      </c>
      <c r="AE405" s="73"/>
      <c r="AF405" s="73"/>
      <c r="AG405" s="73"/>
      <c r="AH405" s="73"/>
      <c r="AI405" s="73"/>
    </row>
    <row r="406" spans="1:35" ht="45">
      <c r="A406" s="94" t="s">
        <v>1116</v>
      </c>
      <c r="B406" s="94">
        <v>2</v>
      </c>
      <c r="C406" s="94" t="s">
        <v>1133</v>
      </c>
      <c r="D406" s="96">
        <v>0.6</v>
      </c>
      <c r="E406" s="94" t="s">
        <v>112</v>
      </c>
      <c r="F406" s="94" t="s">
        <v>1142</v>
      </c>
      <c r="G406" s="98">
        <v>0.05</v>
      </c>
      <c r="H406" s="94" t="s">
        <v>1143</v>
      </c>
      <c r="I406" s="94" t="s">
        <v>1125</v>
      </c>
      <c r="J406" s="94" t="s">
        <v>1121</v>
      </c>
      <c r="K406" s="94" t="s">
        <v>108</v>
      </c>
      <c r="L406" s="94" t="s">
        <v>1138</v>
      </c>
      <c r="M406" s="94" t="s">
        <v>40</v>
      </c>
      <c r="N406" s="94" t="s">
        <v>41</v>
      </c>
      <c r="O406" s="94" t="s">
        <v>42</v>
      </c>
      <c r="P406" s="94" t="s">
        <v>495</v>
      </c>
      <c r="Q406" s="94" t="s">
        <v>935</v>
      </c>
      <c r="R406" s="94"/>
      <c r="S406" s="98"/>
      <c r="T406" s="94"/>
      <c r="U406" s="94"/>
      <c r="V406" s="70"/>
      <c r="W406" s="73" t="str">
        <f t="shared" si="2"/>
        <v>X</v>
      </c>
      <c r="X406" s="73" t="str">
        <f t="shared" si="3"/>
        <v/>
      </c>
      <c r="Y406" s="73" t="str">
        <f t="shared" si="4"/>
        <v/>
      </c>
      <c r="Z406" s="73" t="str">
        <f t="shared" si="5"/>
        <v/>
      </c>
      <c r="AA406" s="73" t="s">
        <v>26</v>
      </c>
      <c r="AB406" s="73" t="str">
        <f t="shared" si="6"/>
        <v>Trim 1</v>
      </c>
      <c r="AC406" s="73">
        <f t="shared" si="7"/>
        <v>0</v>
      </c>
      <c r="AD406" s="73">
        <f t="shared" si="8"/>
        <v>1</v>
      </c>
      <c r="AE406" s="73"/>
      <c r="AF406" s="73"/>
      <c r="AG406" s="73"/>
      <c r="AH406" s="73"/>
      <c r="AI406" s="73"/>
    </row>
    <row r="407" spans="1:35" ht="45">
      <c r="A407" s="94" t="s">
        <v>1116</v>
      </c>
      <c r="B407" s="94">
        <v>2</v>
      </c>
      <c r="C407" s="94" t="s">
        <v>1133</v>
      </c>
      <c r="D407" s="96">
        <v>0.6</v>
      </c>
      <c r="E407" s="94" t="s">
        <v>114</v>
      </c>
      <c r="F407" s="94" t="s">
        <v>1144</v>
      </c>
      <c r="G407" s="98">
        <v>0.05</v>
      </c>
      <c r="H407" s="94" t="s">
        <v>1145</v>
      </c>
      <c r="I407" s="94" t="s">
        <v>1125</v>
      </c>
      <c r="J407" s="94" t="s">
        <v>1121</v>
      </c>
      <c r="K407" s="94" t="s">
        <v>128</v>
      </c>
      <c r="L407" s="94" t="s">
        <v>1138</v>
      </c>
      <c r="M407" s="94" t="s">
        <v>40</v>
      </c>
      <c r="N407" s="94" t="s">
        <v>41</v>
      </c>
      <c r="O407" s="94" t="s">
        <v>42</v>
      </c>
      <c r="P407" s="94" t="s">
        <v>495</v>
      </c>
      <c r="Q407" s="94" t="s">
        <v>935</v>
      </c>
      <c r="R407" s="94"/>
      <c r="S407" s="98"/>
      <c r="T407" s="94"/>
      <c r="U407" s="94"/>
      <c r="V407" s="70"/>
      <c r="W407" s="73" t="str">
        <f t="shared" si="2"/>
        <v/>
      </c>
      <c r="X407" s="73" t="str">
        <f t="shared" si="3"/>
        <v>X</v>
      </c>
      <c r="Y407" s="73" t="str">
        <f t="shared" si="4"/>
        <v/>
      </c>
      <c r="Z407" s="73" t="str">
        <f t="shared" si="5"/>
        <v/>
      </c>
      <c r="AA407" s="73" t="s">
        <v>27</v>
      </c>
      <c r="AB407" s="73" t="str">
        <f t="shared" si="6"/>
        <v>Trim 2</v>
      </c>
      <c r="AC407" s="73">
        <f t="shared" si="7"/>
        <v>0</v>
      </c>
      <c r="AD407" s="73">
        <f t="shared" si="8"/>
        <v>0</v>
      </c>
      <c r="AE407" s="73"/>
      <c r="AF407" s="73"/>
      <c r="AG407" s="73"/>
      <c r="AH407" s="73"/>
      <c r="AI407" s="73"/>
    </row>
    <row r="408" spans="1:35" ht="45">
      <c r="A408" s="94" t="s">
        <v>1116</v>
      </c>
      <c r="B408" s="94">
        <v>2</v>
      </c>
      <c r="C408" s="94" t="s">
        <v>1133</v>
      </c>
      <c r="D408" s="96">
        <v>0.6</v>
      </c>
      <c r="E408" s="94" t="s">
        <v>116</v>
      </c>
      <c r="F408" s="94" t="s">
        <v>1146</v>
      </c>
      <c r="G408" s="98">
        <v>0.05</v>
      </c>
      <c r="H408" s="94" t="s">
        <v>1145</v>
      </c>
      <c r="I408" s="94" t="s">
        <v>1125</v>
      </c>
      <c r="J408" s="94" t="s">
        <v>1121</v>
      </c>
      <c r="K408" s="94" t="s">
        <v>111</v>
      </c>
      <c r="L408" s="94" t="s">
        <v>1138</v>
      </c>
      <c r="M408" s="94" t="s">
        <v>40</v>
      </c>
      <c r="N408" s="94" t="s">
        <v>41</v>
      </c>
      <c r="O408" s="94" t="s">
        <v>42</v>
      </c>
      <c r="P408" s="94" t="s">
        <v>495</v>
      </c>
      <c r="Q408" s="94" t="s">
        <v>935</v>
      </c>
      <c r="R408" s="94"/>
      <c r="S408" s="98"/>
      <c r="T408" s="94"/>
      <c r="U408" s="94"/>
      <c r="V408" s="70"/>
      <c r="W408" s="73" t="str">
        <f t="shared" si="2"/>
        <v/>
      </c>
      <c r="X408" s="73" t="str">
        <f t="shared" si="3"/>
        <v>X</v>
      </c>
      <c r="Y408" s="73" t="str">
        <f t="shared" si="4"/>
        <v/>
      </c>
      <c r="Z408" s="73" t="str">
        <f t="shared" si="5"/>
        <v/>
      </c>
      <c r="AA408" s="73" t="s">
        <v>27</v>
      </c>
      <c r="AB408" s="73" t="str">
        <f t="shared" si="6"/>
        <v>Trim 2</v>
      </c>
      <c r="AC408" s="73">
        <f t="shared" si="7"/>
        <v>0</v>
      </c>
      <c r="AD408" s="73">
        <f t="shared" si="8"/>
        <v>0</v>
      </c>
      <c r="AE408" s="73"/>
      <c r="AF408" s="73"/>
      <c r="AG408" s="73"/>
      <c r="AH408" s="73"/>
      <c r="AI408" s="73"/>
    </row>
    <row r="409" spans="1:35" ht="45">
      <c r="A409" s="94" t="s">
        <v>1116</v>
      </c>
      <c r="B409" s="94">
        <v>3</v>
      </c>
      <c r="C409" s="94" t="s">
        <v>1147</v>
      </c>
      <c r="D409" s="96">
        <v>0.15</v>
      </c>
      <c r="E409" s="94" t="s">
        <v>68</v>
      </c>
      <c r="F409" s="94" t="s">
        <v>1148</v>
      </c>
      <c r="G409" s="98">
        <v>2.5000000000000001E-2</v>
      </c>
      <c r="H409" s="94" t="s">
        <v>1149</v>
      </c>
      <c r="I409" s="94" t="s">
        <v>1125</v>
      </c>
      <c r="J409" s="94" t="s">
        <v>1121</v>
      </c>
      <c r="K409" s="94" t="s">
        <v>128</v>
      </c>
      <c r="L409" s="94" t="s">
        <v>1150</v>
      </c>
      <c r="M409" s="94" t="s">
        <v>40</v>
      </c>
      <c r="N409" s="94" t="s">
        <v>41</v>
      </c>
      <c r="O409" s="94" t="s">
        <v>42</v>
      </c>
      <c r="P409" s="94" t="s">
        <v>495</v>
      </c>
      <c r="Q409" s="94" t="s">
        <v>935</v>
      </c>
      <c r="R409" s="94"/>
      <c r="S409" s="98"/>
      <c r="T409" s="94"/>
      <c r="U409" s="94"/>
      <c r="V409" s="70"/>
      <c r="W409" s="73" t="str">
        <f t="shared" si="2"/>
        <v/>
      </c>
      <c r="X409" s="73" t="str">
        <f t="shared" si="3"/>
        <v>X</v>
      </c>
      <c r="Y409" s="73" t="str">
        <f t="shared" si="4"/>
        <v/>
      </c>
      <c r="Z409" s="73" t="str">
        <f t="shared" si="5"/>
        <v/>
      </c>
      <c r="AA409" s="73" t="s">
        <v>27</v>
      </c>
      <c r="AB409" s="73" t="str">
        <f t="shared" si="6"/>
        <v>Trim 2</v>
      </c>
      <c r="AC409" s="73">
        <f t="shared" si="7"/>
        <v>0</v>
      </c>
      <c r="AD409" s="73">
        <f t="shared" si="8"/>
        <v>0</v>
      </c>
      <c r="AE409" s="73"/>
      <c r="AF409" s="73"/>
      <c r="AG409" s="73"/>
      <c r="AH409" s="73"/>
      <c r="AI409" s="73"/>
    </row>
    <row r="410" spans="1:35" ht="45">
      <c r="A410" s="94" t="s">
        <v>1116</v>
      </c>
      <c r="B410" s="94">
        <v>3</v>
      </c>
      <c r="C410" s="94" t="s">
        <v>1147</v>
      </c>
      <c r="D410" s="96">
        <v>0.15</v>
      </c>
      <c r="E410" s="94" t="s">
        <v>73</v>
      </c>
      <c r="F410" s="94" t="s">
        <v>1151</v>
      </c>
      <c r="G410" s="98">
        <v>2.5000000000000001E-2</v>
      </c>
      <c r="H410" s="94" t="s">
        <v>1152</v>
      </c>
      <c r="I410" s="94" t="s">
        <v>1125</v>
      </c>
      <c r="J410" s="94" t="s">
        <v>1121</v>
      </c>
      <c r="K410" s="94" t="s">
        <v>111</v>
      </c>
      <c r="L410" s="94" t="s">
        <v>1150</v>
      </c>
      <c r="M410" s="94" t="s">
        <v>40</v>
      </c>
      <c r="N410" s="94" t="s">
        <v>41</v>
      </c>
      <c r="O410" s="94" t="s">
        <v>42</v>
      </c>
      <c r="P410" s="94" t="s">
        <v>495</v>
      </c>
      <c r="Q410" s="94" t="s">
        <v>935</v>
      </c>
      <c r="R410" s="94"/>
      <c r="S410" s="98"/>
      <c r="T410" s="94"/>
      <c r="U410" s="94"/>
      <c r="V410" s="70"/>
      <c r="W410" s="73" t="str">
        <f t="shared" si="2"/>
        <v/>
      </c>
      <c r="X410" s="73" t="str">
        <f t="shared" si="3"/>
        <v>X</v>
      </c>
      <c r="Y410" s="73" t="str">
        <f t="shared" si="4"/>
        <v/>
      </c>
      <c r="Z410" s="73" t="str">
        <f t="shared" si="5"/>
        <v/>
      </c>
      <c r="AA410" s="73" t="s">
        <v>27</v>
      </c>
      <c r="AB410" s="73" t="str">
        <f t="shared" si="6"/>
        <v>Trim 2</v>
      </c>
      <c r="AC410" s="73">
        <f t="shared" si="7"/>
        <v>0</v>
      </c>
      <c r="AD410" s="73">
        <f t="shared" si="8"/>
        <v>0</v>
      </c>
      <c r="AE410" s="73"/>
      <c r="AF410" s="73"/>
      <c r="AG410" s="73"/>
      <c r="AH410" s="73"/>
      <c r="AI410" s="73"/>
    </row>
    <row r="411" spans="1:35" ht="45">
      <c r="A411" s="94" t="s">
        <v>1116</v>
      </c>
      <c r="B411" s="94">
        <v>3</v>
      </c>
      <c r="C411" s="94" t="s">
        <v>1147</v>
      </c>
      <c r="D411" s="96">
        <v>0.15</v>
      </c>
      <c r="E411" s="94" t="s">
        <v>75</v>
      </c>
      <c r="F411" s="94" t="s">
        <v>1153</v>
      </c>
      <c r="G411" s="98">
        <v>0.03</v>
      </c>
      <c r="H411" s="94" t="s">
        <v>1154</v>
      </c>
      <c r="I411" s="94" t="s">
        <v>1155</v>
      </c>
      <c r="J411" s="94" t="s">
        <v>1121</v>
      </c>
      <c r="K411" s="94" t="s">
        <v>111</v>
      </c>
      <c r="L411" s="94" t="s">
        <v>1150</v>
      </c>
      <c r="M411" s="94" t="s">
        <v>40</v>
      </c>
      <c r="N411" s="94" t="s">
        <v>41</v>
      </c>
      <c r="O411" s="94" t="s">
        <v>42</v>
      </c>
      <c r="P411" s="94" t="s">
        <v>495</v>
      </c>
      <c r="Q411" s="94" t="s">
        <v>935</v>
      </c>
      <c r="R411" s="94"/>
      <c r="S411" s="98"/>
      <c r="T411" s="94"/>
      <c r="U411" s="94"/>
      <c r="V411" s="70"/>
      <c r="W411" s="73" t="str">
        <f t="shared" si="2"/>
        <v/>
      </c>
      <c r="X411" s="73" t="str">
        <f t="shared" si="3"/>
        <v>X</v>
      </c>
      <c r="Y411" s="73" t="str">
        <f t="shared" si="4"/>
        <v/>
      </c>
      <c r="Z411" s="73" t="str">
        <f t="shared" si="5"/>
        <v/>
      </c>
      <c r="AA411" s="73" t="s">
        <v>27</v>
      </c>
      <c r="AB411" s="73" t="str">
        <f t="shared" si="6"/>
        <v>Trim 2</v>
      </c>
      <c r="AC411" s="73">
        <f t="shared" si="7"/>
        <v>0</v>
      </c>
      <c r="AD411" s="73">
        <f t="shared" si="8"/>
        <v>0</v>
      </c>
      <c r="AE411" s="73"/>
      <c r="AF411" s="73"/>
      <c r="AG411" s="73"/>
      <c r="AH411" s="73"/>
      <c r="AI411" s="73"/>
    </row>
    <row r="412" spans="1:35" ht="45">
      <c r="A412" s="94" t="s">
        <v>1116</v>
      </c>
      <c r="B412" s="94">
        <v>3</v>
      </c>
      <c r="C412" s="94" t="s">
        <v>1147</v>
      </c>
      <c r="D412" s="96">
        <v>0.15</v>
      </c>
      <c r="E412" s="94" t="s">
        <v>287</v>
      </c>
      <c r="F412" s="94" t="s">
        <v>1156</v>
      </c>
      <c r="G412" s="98">
        <v>0.03</v>
      </c>
      <c r="H412" s="94" t="s">
        <v>1154</v>
      </c>
      <c r="I412" s="94" t="s">
        <v>1155</v>
      </c>
      <c r="J412" s="94" t="s">
        <v>1121</v>
      </c>
      <c r="K412" s="94" t="s">
        <v>115</v>
      </c>
      <c r="L412" s="94" t="s">
        <v>1150</v>
      </c>
      <c r="M412" s="94" t="s">
        <v>40</v>
      </c>
      <c r="N412" s="94" t="s">
        <v>41</v>
      </c>
      <c r="O412" s="94" t="s">
        <v>42</v>
      </c>
      <c r="P412" s="94" t="s">
        <v>495</v>
      </c>
      <c r="Q412" s="94" t="s">
        <v>935</v>
      </c>
      <c r="R412" s="94"/>
      <c r="S412" s="98"/>
      <c r="T412" s="94"/>
      <c r="U412" s="94"/>
      <c r="V412" s="70"/>
      <c r="W412" s="73" t="str">
        <f t="shared" si="2"/>
        <v/>
      </c>
      <c r="X412" s="73" t="str">
        <f t="shared" si="3"/>
        <v/>
      </c>
      <c r="Y412" s="73" t="str">
        <f t="shared" si="4"/>
        <v>X</v>
      </c>
      <c r="Z412" s="73" t="str">
        <f t="shared" si="5"/>
        <v/>
      </c>
      <c r="AA412" s="73" t="s">
        <v>28</v>
      </c>
      <c r="AB412" s="73" t="str">
        <f t="shared" si="6"/>
        <v>Trim 3</v>
      </c>
      <c r="AC412" s="73">
        <f t="shared" si="7"/>
        <v>0</v>
      </c>
      <c r="AD412" s="73">
        <f t="shared" si="8"/>
        <v>0</v>
      </c>
      <c r="AE412" s="73"/>
      <c r="AF412" s="73"/>
      <c r="AG412" s="73"/>
      <c r="AH412" s="73"/>
      <c r="AI412" s="73"/>
    </row>
    <row r="413" spans="1:35" ht="45">
      <c r="A413" s="94" t="s">
        <v>1116</v>
      </c>
      <c r="B413" s="94">
        <v>3</v>
      </c>
      <c r="C413" s="94" t="s">
        <v>1147</v>
      </c>
      <c r="D413" s="96">
        <v>0.15</v>
      </c>
      <c r="E413" s="94" t="s">
        <v>290</v>
      </c>
      <c r="F413" s="94" t="s">
        <v>1157</v>
      </c>
      <c r="G413" s="98">
        <v>0.03</v>
      </c>
      <c r="H413" s="94" t="s">
        <v>1154</v>
      </c>
      <c r="I413" s="94" t="s">
        <v>1155</v>
      </c>
      <c r="J413" s="94" t="s">
        <v>1121</v>
      </c>
      <c r="K413" s="94" t="s">
        <v>39</v>
      </c>
      <c r="L413" s="94" t="s">
        <v>1150</v>
      </c>
      <c r="M413" s="94" t="s">
        <v>40</v>
      </c>
      <c r="N413" s="94" t="s">
        <v>41</v>
      </c>
      <c r="O413" s="94" t="s">
        <v>42</v>
      </c>
      <c r="P413" s="94" t="s">
        <v>495</v>
      </c>
      <c r="Q413" s="94" t="s">
        <v>935</v>
      </c>
      <c r="R413" s="94"/>
      <c r="S413" s="98"/>
      <c r="T413" s="94"/>
      <c r="U413" s="94"/>
      <c r="V413" s="70"/>
      <c r="W413" s="73" t="str">
        <f t="shared" si="2"/>
        <v/>
      </c>
      <c r="X413" s="73" t="str">
        <f t="shared" si="3"/>
        <v/>
      </c>
      <c r="Y413" s="73" t="str">
        <f t="shared" si="4"/>
        <v/>
      </c>
      <c r="Z413" s="73" t="str">
        <f t="shared" si="5"/>
        <v>X</v>
      </c>
      <c r="AA413" s="73" t="s">
        <v>29</v>
      </c>
      <c r="AB413" s="73" t="str">
        <f t="shared" si="6"/>
        <v>Trim 4</v>
      </c>
      <c r="AC413" s="73">
        <f t="shared" si="7"/>
        <v>0</v>
      </c>
      <c r="AD413" s="73">
        <f t="shared" si="8"/>
        <v>0</v>
      </c>
      <c r="AE413" s="73"/>
      <c r="AF413" s="73"/>
      <c r="AG413" s="73"/>
      <c r="AH413" s="73"/>
      <c r="AI413" s="73"/>
    </row>
    <row r="414" spans="1:35" ht="45">
      <c r="A414" s="94" t="s">
        <v>1116</v>
      </c>
      <c r="B414" s="94">
        <v>3</v>
      </c>
      <c r="C414" s="94" t="s">
        <v>1147</v>
      </c>
      <c r="D414" s="96">
        <v>0.15</v>
      </c>
      <c r="E414" s="94" t="s">
        <v>290</v>
      </c>
      <c r="F414" s="94" t="s">
        <v>1158</v>
      </c>
      <c r="G414" s="98">
        <v>0.01</v>
      </c>
      <c r="H414" s="94" t="s">
        <v>1159</v>
      </c>
      <c r="I414" s="94" t="s">
        <v>1125</v>
      </c>
      <c r="J414" s="94" t="s">
        <v>1121</v>
      </c>
      <c r="K414" s="94" t="s">
        <v>39</v>
      </c>
      <c r="L414" s="94" t="s">
        <v>1150</v>
      </c>
      <c r="M414" s="94" t="s">
        <v>40</v>
      </c>
      <c r="N414" s="94" t="s">
        <v>41</v>
      </c>
      <c r="O414" s="94" t="s">
        <v>42</v>
      </c>
      <c r="P414" s="94" t="s">
        <v>495</v>
      </c>
      <c r="Q414" s="94" t="s">
        <v>935</v>
      </c>
      <c r="R414" s="94"/>
      <c r="S414" s="98"/>
      <c r="T414" s="94"/>
      <c r="U414" s="94"/>
      <c r="V414" s="70"/>
      <c r="W414" s="73" t="str">
        <f t="shared" si="2"/>
        <v/>
      </c>
      <c r="X414" s="73" t="str">
        <f t="shared" si="3"/>
        <v/>
      </c>
      <c r="Y414" s="73" t="str">
        <f t="shared" si="4"/>
        <v/>
      </c>
      <c r="Z414" s="73" t="str">
        <f t="shared" si="5"/>
        <v>X</v>
      </c>
      <c r="AA414" s="73" t="s">
        <v>29</v>
      </c>
      <c r="AB414" s="73" t="str">
        <f t="shared" si="6"/>
        <v>Trim 4</v>
      </c>
      <c r="AC414" s="73">
        <f t="shared" si="7"/>
        <v>0</v>
      </c>
      <c r="AD414" s="73">
        <f t="shared" si="8"/>
        <v>0</v>
      </c>
      <c r="AE414" s="73"/>
      <c r="AF414" s="73"/>
      <c r="AG414" s="73"/>
      <c r="AH414" s="73"/>
      <c r="AI414" s="73"/>
    </row>
    <row r="415" spans="1:35" ht="75">
      <c r="A415" s="94" t="s">
        <v>1160</v>
      </c>
      <c r="B415" s="94">
        <v>1</v>
      </c>
      <c r="C415" s="94" t="s">
        <v>1161</v>
      </c>
      <c r="D415" s="96">
        <v>0.35</v>
      </c>
      <c r="E415" s="94">
        <v>1.1000000000000001</v>
      </c>
      <c r="F415" s="94" t="s">
        <v>1162</v>
      </c>
      <c r="G415" s="98">
        <v>1.2500000000000001E-2</v>
      </c>
      <c r="H415" s="94" t="s">
        <v>1163</v>
      </c>
      <c r="I415" s="94" t="s">
        <v>1164</v>
      </c>
      <c r="J415" s="94" t="s">
        <v>1165</v>
      </c>
      <c r="K415" s="94" t="s">
        <v>45</v>
      </c>
      <c r="L415" s="94" t="s">
        <v>507</v>
      </c>
      <c r="M415" s="94" t="s">
        <v>1166</v>
      </c>
      <c r="N415" s="94" t="s">
        <v>41</v>
      </c>
      <c r="O415" s="94" t="s">
        <v>42</v>
      </c>
      <c r="P415" s="94" t="s">
        <v>495</v>
      </c>
      <c r="Q415" s="94" t="s">
        <v>475</v>
      </c>
      <c r="R415" s="94" t="s">
        <v>40</v>
      </c>
      <c r="S415" s="98">
        <v>1.2500000000000001E-2</v>
      </c>
      <c r="T415" s="94" t="s">
        <v>45</v>
      </c>
      <c r="U415" s="94"/>
      <c r="V415" s="83"/>
      <c r="W415" s="73" t="str">
        <f t="shared" si="2"/>
        <v>X</v>
      </c>
      <c r="X415" s="73" t="str">
        <f t="shared" si="3"/>
        <v/>
      </c>
      <c r="Y415" s="73" t="str">
        <f t="shared" si="4"/>
        <v/>
      </c>
      <c r="Z415" s="73" t="str">
        <f t="shared" si="5"/>
        <v/>
      </c>
      <c r="AA415" s="73" t="s">
        <v>26</v>
      </c>
      <c r="AB415" s="73" t="str">
        <f t="shared" ref="AB415:AB478" si="19">IF(W415="X","Trim 1",IF(X415="X","Trim 2",IF(Y415="X","Trim 3",IF(Z415="X","Trim 4",""))))</f>
        <v>Trim 1</v>
      </c>
      <c r="AC415" s="73">
        <f t="shared" si="7"/>
        <v>1</v>
      </c>
      <c r="AD415" s="73">
        <f t="shared" si="8"/>
        <v>1</v>
      </c>
      <c r="AE415" s="73"/>
      <c r="AF415" s="73"/>
      <c r="AG415" s="73"/>
      <c r="AH415" s="73"/>
      <c r="AI415" s="73"/>
    </row>
    <row r="416" spans="1:35" ht="75">
      <c r="A416" s="94" t="s">
        <v>1160</v>
      </c>
      <c r="B416" s="94">
        <v>1</v>
      </c>
      <c r="C416" s="94" t="s">
        <v>1161</v>
      </c>
      <c r="D416" s="96">
        <v>0.35</v>
      </c>
      <c r="E416" s="94">
        <v>1.1000000000000001</v>
      </c>
      <c r="F416" s="94" t="s">
        <v>1162</v>
      </c>
      <c r="G416" s="98">
        <v>1.2500000000000001E-2</v>
      </c>
      <c r="H416" s="94" t="s">
        <v>1163</v>
      </c>
      <c r="I416" s="94" t="s">
        <v>1164</v>
      </c>
      <c r="J416" s="94" t="s">
        <v>1165</v>
      </c>
      <c r="K416" s="94" t="s">
        <v>111</v>
      </c>
      <c r="L416" s="94" t="s">
        <v>507</v>
      </c>
      <c r="M416" s="94" t="s">
        <v>1166</v>
      </c>
      <c r="N416" s="94" t="s">
        <v>41</v>
      </c>
      <c r="O416" s="94" t="s">
        <v>42</v>
      </c>
      <c r="P416" s="94" t="s">
        <v>495</v>
      </c>
      <c r="Q416" s="94" t="s">
        <v>475</v>
      </c>
      <c r="R416" s="94" t="s">
        <v>40</v>
      </c>
      <c r="S416" s="94"/>
      <c r="T416" s="94"/>
      <c r="U416" s="94"/>
      <c r="V416" s="83"/>
      <c r="W416" s="73" t="str">
        <f t="shared" si="2"/>
        <v/>
      </c>
      <c r="X416" s="73" t="str">
        <f t="shared" si="3"/>
        <v>X</v>
      </c>
      <c r="Y416" s="73" t="str">
        <f t="shared" si="4"/>
        <v/>
      </c>
      <c r="Z416" s="73" t="str">
        <f t="shared" si="5"/>
        <v/>
      </c>
      <c r="AA416" s="73" t="s">
        <v>27</v>
      </c>
      <c r="AB416" s="73" t="str">
        <f t="shared" si="19"/>
        <v>Trim 2</v>
      </c>
      <c r="AC416" s="73">
        <f t="shared" si="7"/>
        <v>0</v>
      </c>
      <c r="AD416" s="73">
        <f t="shared" si="8"/>
        <v>0</v>
      </c>
      <c r="AE416" s="73"/>
      <c r="AF416" s="73"/>
      <c r="AG416" s="73"/>
      <c r="AH416" s="73"/>
      <c r="AI416" s="73"/>
    </row>
    <row r="417" spans="1:35" ht="75">
      <c r="A417" s="94" t="s">
        <v>1160</v>
      </c>
      <c r="B417" s="94">
        <v>1</v>
      </c>
      <c r="C417" s="94" t="s">
        <v>1161</v>
      </c>
      <c r="D417" s="96">
        <v>0.35</v>
      </c>
      <c r="E417" s="94">
        <v>1.1000000000000001</v>
      </c>
      <c r="F417" s="94" t="s">
        <v>1162</v>
      </c>
      <c r="G417" s="98">
        <v>1.2500000000000001E-2</v>
      </c>
      <c r="H417" s="94" t="s">
        <v>1163</v>
      </c>
      <c r="I417" s="94" t="s">
        <v>1164</v>
      </c>
      <c r="J417" s="94" t="s">
        <v>1165</v>
      </c>
      <c r="K417" s="94" t="s">
        <v>115</v>
      </c>
      <c r="L417" s="94" t="s">
        <v>507</v>
      </c>
      <c r="M417" s="94" t="s">
        <v>1166</v>
      </c>
      <c r="N417" s="94" t="s">
        <v>41</v>
      </c>
      <c r="O417" s="94" t="s">
        <v>42</v>
      </c>
      <c r="P417" s="94" t="s">
        <v>495</v>
      </c>
      <c r="Q417" s="94" t="s">
        <v>475</v>
      </c>
      <c r="R417" s="94" t="s">
        <v>40</v>
      </c>
      <c r="S417" s="94"/>
      <c r="T417" s="94"/>
      <c r="U417" s="94"/>
      <c r="V417" s="83"/>
      <c r="W417" s="73" t="str">
        <f t="shared" si="2"/>
        <v/>
      </c>
      <c r="X417" s="73" t="str">
        <f t="shared" si="3"/>
        <v/>
      </c>
      <c r="Y417" s="73" t="str">
        <f t="shared" si="4"/>
        <v>X</v>
      </c>
      <c r="Z417" s="73" t="str">
        <f t="shared" si="5"/>
        <v/>
      </c>
      <c r="AA417" s="73" t="s">
        <v>28</v>
      </c>
      <c r="AB417" s="73" t="str">
        <f t="shared" si="19"/>
        <v>Trim 3</v>
      </c>
      <c r="AC417" s="73">
        <f t="shared" si="7"/>
        <v>0</v>
      </c>
      <c r="AD417" s="73">
        <f t="shared" si="8"/>
        <v>0</v>
      </c>
      <c r="AE417" s="73"/>
      <c r="AF417" s="73"/>
      <c r="AG417" s="73"/>
      <c r="AH417" s="73"/>
      <c r="AI417" s="73"/>
    </row>
    <row r="418" spans="1:35" ht="75">
      <c r="A418" s="94" t="s">
        <v>1160</v>
      </c>
      <c r="B418" s="94">
        <v>1</v>
      </c>
      <c r="C418" s="94" t="s">
        <v>1161</v>
      </c>
      <c r="D418" s="96">
        <v>0.35</v>
      </c>
      <c r="E418" s="94">
        <v>1.1000000000000001</v>
      </c>
      <c r="F418" s="94" t="s">
        <v>1162</v>
      </c>
      <c r="G418" s="98">
        <v>1.2500000000000001E-2</v>
      </c>
      <c r="H418" s="94" t="s">
        <v>1163</v>
      </c>
      <c r="I418" s="94" t="s">
        <v>1164</v>
      </c>
      <c r="J418" s="94" t="s">
        <v>1165</v>
      </c>
      <c r="K418" s="94" t="s">
        <v>39</v>
      </c>
      <c r="L418" s="94" t="s">
        <v>507</v>
      </c>
      <c r="M418" s="94" t="s">
        <v>1166</v>
      </c>
      <c r="N418" s="94" t="s">
        <v>41</v>
      </c>
      <c r="O418" s="94" t="s">
        <v>42</v>
      </c>
      <c r="P418" s="94" t="s">
        <v>495</v>
      </c>
      <c r="Q418" s="94" t="s">
        <v>475</v>
      </c>
      <c r="R418" s="94" t="s">
        <v>40</v>
      </c>
      <c r="S418" s="94"/>
      <c r="T418" s="94"/>
      <c r="U418" s="94"/>
      <c r="V418" s="83"/>
      <c r="W418" s="73" t="str">
        <f t="shared" si="2"/>
        <v/>
      </c>
      <c r="X418" s="73" t="str">
        <f t="shared" si="3"/>
        <v/>
      </c>
      <c r="Y418" s="73" t="str">
        <f t="shared" si="4"/>
        <v/>
      </c>
      <c r="Z418" s="73" t="str">
        <f t="shared" si="5"/>
        <v>X</v>
      </c>
      <c r="AA418" s="73" t="s">
        <v>29</v>
      </c>
      <c r="AB418" s="73" t="str">
        <f t="shared" si="19"/>
        <v>Trim 4</v>
      </c>
      <c r="AC418" s="73">
        <f t="shared" si="7"/>
        <v>0</v>
      </c>
      <c r="AD418" s="73">
        <f t="shared" si="8"/>
        <v>0</v>
      </c>
      <c r="AE418" s="73"/>
      <c r="AF418" s="73"/>
      <c r="AG418" s="73"/>
      <c r="AH418" s="73"/>
      <c r="AI418" s="73"/>
    </row>
    <row r="419" spans="1:35" ht="75">
      <c r="A419" s="94" t="s">
        <v>1160</v>
      </c>
      <c r="B419" s="94">
        <v>1</v>
      </c>
      <c r="C419" s="94" t="s">
        <v>1161</v>
      </c>
      <c r="D419" s="96">
        <v>0.35</v>
      </c>
      <c r="E419" s="109">
        <v>44228</v>
      </c>
      <c r="F419" s="94" t="s">
        <v>1167</v>
      </c>
      <c r="G419" s="98">
        <v>1.2500000000000001E-2</v>
      </c>
      <c r="H419" s="94" t="s">
        <v>1163</v>
      </c>
      <c r="I419" s="94" t="s">
        <v>1164</v>
      </c>
      <c r="J419" s="94" t="s">
        <v>1168</v>
      </c>
      <c r="K419" s="94" t="s">
        <v>45</v>
      </c>
      <c r="L419" s="94" t="s">
        <v>507</v>
      </c>
      <c r="M419" s="94" t="s">
        <v>1166</v>
      </c>
      <c r="N419" s="94" t="s">
        <v>41</v>
      </c>
      <c r="O419" s="94" t="s">
        <v>42</v>
      </c>
      <c r="P419" s="94" t="s">
        <v>495</v>
      </c>
      <c r="Q419" s="94" t="s">
        <v>475</v>
      </c>
      <c r="R419" s="94" t="s">
        <v>40</v>
      </c>
      <c r="S419" s="98">
        <v>1.2500000000000001E-2</v>
      </c>
      <c r="T419" s="94" t="s">
        <v>45</v>
      </c>
      <c r="U419" s="94"/>
      <c r="V419" s="83"/>
      <c r="W419" s="73" t="str">
        <f t="shared" si="2"/>
        <v>X</v>
      </c>
      <c r="X419" s="73" t="str">
        <f t="shared" si="3"/>
        <v/>
      </c>
      <c r="Y419" s="73" t="str">
        <f t="shared" si="4"/>
        <v/>
      </c>
      <c r="Z419" s="73" t="str">
        <f t="shared" si="5"/>
        <v/>
      </c>
      <c r="AA419" s="73" t="s">
        <v>26</v>
      </c>
      <c r="AB419" s="73" t="str">
        <f t="shared" si="19"/>
        <v>Trim 1</v>
      </c>
      <c r="AC419" s="73">
        <f t="shared" si="7"/>
        <v>1</v>
      </c>
      <c r="AD419" s="73">
        <f t="shared" si="8"/>
        <v>1</v>
      </c>
      <c r="AE419" s="73"/>
      <c r="AF419" s="73"/>
      <c r="AG419" s="73"/>
      <c r="AH419" s="73"/>
      <c r="AI419" s="73"/>
    </row>
    <row r="420" spans="1:35" ht="75">
      <c r="A420" s="94" t="s">
        <v>1160</v>
      </c>
      <c r="B420" s="94">
        <v>1</v>
      </c>
      <c r="C420" s="94" t="s">
        <v>1161</v>
      </c>
      <c r="D420" s="96">
        <v>0.35</v>
      </c>
      <c r="E420" s="109">
        <v>44228</v>
      </c>
      <c r="F420" s="94" t="s">
        <v>1167</v>
      </c>
      <c r="G420" s="98">
        <v>1.2500000000000001E-2</v>
      </c>
      <c r="H420" s="94" t="s">
        <v>1163</v>
      </c>
      <c r="I420" s="94" t="s">
        <v>1164</v>
      </c>
      <c r="J420" s="94" t="s">
        <v>1168</v>
      </c>
      <c r="K420" s="94" t="s">
        <v>111</v>
      </c>
      <c r="L420" s="94"/>
      <c r="M420" s="94"/>
      <c r="N420" s="94"/>
      <c r="O420" s="94"/>
      <c r="P420" s="94"/>
      <c r="Q420" s="94"/>
      <c r="R420" s="94"/>
      <c r="S420" s="98"/>
      <c r="T420" s="94"/>
      <c r="U420" s="94"/>
      <c r="V420" s="83"/>
      <c r="W420" s="73" t="str">
        <f t="shared" si="2"/>
        <v/>
      </c>
      <c r="X420" s="73" t="str">
        <f t="shared" si="3"/>
        <v>X</v>
      </c>
      <c r="Y420" s="73" t="str">
        <f t="shared" si="4"/>
        <v/>
      </c>
      <c r="Z420" s="73" t="str">
        <f t="shared" si="5"/>
        <v/>
      </c>
      <c r="AA420" s="73" t="s">
        <v>27</v>
      </c>
      <c r="AB420" s="73" t="str">
        <f t="shared" si="19"/>
        <v>Trim 2</v>
      </c>
      <c r="AC420" s="73">
        <f t="shared" si="7"/>
        <v>0</v>
      </c>
      <c r="AD420" s="73">
        <f t="shared" si="8"/>
        <v>0</v>
      </c>
      <c r="AE420" s="73"/>
      <c r="AF420" s="73"/>
      <c r="AG420" s="73"/>
      <c r="AH420" s="73"/>
      <c r="AI420" s="73"/>
    </row>
    <row r="421" spans="1:35" ht="75">
      <c r="A421" s="94" t="s">
        <v>1160</v>
      </c>
      <c r="B421" s="94">
        <v>1</v>
      </c>
      <c r="C421" s="94" t="s">
        <v>1161</v>
      </c>
      <c r="D421" s="96">
        <v>0.35</v>
      </c>
      <c r="E421" s="109">
        <v>44228</v>
      </c>
      <c r="F421" s="94" t="s">
        <v>1167</v>
      </c>
      <c r="G421" s="98">
        <v>1.2500000000000001E-2</v>
      </c>
      <c r="H421" s="94" t="s">
        <v>1163</v>
      </c>
      <c r="I421" s="94" t="s">
        <v>1164</v>
      </c>
      <c r="J421" s="94" t="s">
        <v>1168</v>
      </c>
      <c r="K421" s="94" t="s">
        <v>115</v>
      </c>
      <c r="L421" s="94"/>
      <c r="M421" s="94"/>
      <c r="N421" s="94"/>
      <c r="O421" s="94"/>
      <c r="P421" s="94"/>
      <c r="Q421" s="94"/>
      <c r="R421" s="94"/>
      <c r="S421" s="98"/>
      <c r="T421" s="94"/>
      <c r="U421" s="94"/>
      <c r="V421" s="83"/>
      <c r="W421" s="73" t="str">
        <f t="shared" si="2"/>
        <v/>
      </c>
      <c r="X421" s="73" t="str">
        <f t="shared" si="3"/>
        <v/>
      </c>
      <c r="Y421" s="73" t="str">
        <f t="shared" si="4"/>
        <v>X</v>
      </c>
      <c r="Z421" s="73" t="str">
        <f t="shared" si="5"/>
        <v/>
      </c>
      <c r="AA421" s="73" t="s">
        <v>28</v>
      </c>
      <c r="AB421" s="73" t="str">
        <f t="shared" si="19"/>
        <v>Trim 3</v>
      </c>
      <c r="AC421" s="73">
        <f t="shared" si="7"/>
        <v>0</v>
      </c>
      <c r="AD421" s="73">
        <f t="shared" si="8"/>
        <v>0</v>
      </c>
      <c r="AE421" s="73"/>
      <c r="AF421" s="73"/>
      <c r="AG421" s="73"/>
      <c r="AH421" s="73"/>
      <c r="AI421" s="73"/>
    </row>
    <row r="422" spans="1:35" ht="75">
      <c r="A422" s="94" t="s">
        <v>1160</v>
      </c>
      <c r="B422" s="94">
        <v>1</v>
      </c>
      <c r="C422" s="94" t="s">
        <v>1161</v>
      </c>
      <c r="D422" s="96">
        <v>0.35</v>
      </c>
      <c r="E422" s="109">
        <v>44228</v>
      </c>
      <c r="F422" s="94" t="s">
        <v>1167</v>
      </c>
      <c r="G422" s="98">
        <v>1.2500000000000001E-2</v>
      </c>
      <c r="H422" s="94" t="s">
        <v>1163</v>
      </c>
      <c r="I422" s="94" t="s">
        <v>1164</v>
      </c>
      <c r="J422" s="94" t="s">
        <v>1168</v>
      </c>
      <c r="K422" s="94" t="s">
        <v>39</v>
      </c>
      <c r="L422" s="94"/>
      <c r="M422" s="94"/>
      <c r="N422" s="94"/>
      <c r="O422" s="94"/>
      <c r="P422" s="94"/>
      <c r="Q422" s="94"/>
      <c r="R422" s="94"/>
      <c r="S422" s="98"/>
      <c r="T422" s="94"/>
      <c r="U422" s="94"/>
      <c r="V422" s="83"/>
      <c r="W422" s="73" t="str">
        <f t="shared" si="2"/>
        <v/>
      </c>
      <c r="X422" s="73" t="str">
        <f t="shared" si="3"/>
        <v/>
      </c>
      <c r="Y422" s="73" t="str">
        <f t="shared" si="4"/>
        <v/>
      </c>
      <c r="Z422" s="73" t="str">
        <f t="shared" si="5"/>
        <v>X</v>
      </c>
      <c r="AA422" s="73" t="s">
        <v>29</v>
      </c>
      <c r="AB422" s="73" t="str">
        <f t="shared" si="19"/>
        <v>Trim 4</v>
      </c>
      <c r="AC422" s="73">
        <f t="shared" si="7"/>
        <v>0</v>
      </c>
      <c r="AD422" s="73">
        <f t="shared" si="8"/>
        <v>0</v>
      </c>
      <c r="AE422" s="73"/>
      <c r="AF422" s="73"/>
      <c r="AG422" s="73"/>
      <c r="AH422" s="73"/>
      <c r="AI422" s="73"/>
    </row>
    <row r="423" spans="1:35" ht="75">
      <c r="A423" s="94" t="s">
        <v>1160</v>
      </c>
      <c r="B423" s="94">
        <v>1</v>
      </c>
      <c r="C423" s="94" t="s">
        <v>1161</v>
      </c>
      <c r="D423" s="96">
        <v>0.35</v>
      </c>
      <c r="E423" s="109">
        <v>44256</v>
      </c>
      <c r="F423" s="94" t="s">
        <v>1169</v>
      </c>
      <c r="G423" s="98">
        <v>1.2500000000000001E-2</v>
      </c>
      <c r="H423" s="94" t="s">
        <v>1163</v>
      </c>
      <c r="I423" s="94" t="s">
        <v>1164</v>
      </c>
      <c r="J423" s="94" t="s">
        <v>1170</v>
      </c>
      <c r="K423" s="94" t="s">
        <v>45</v>
      </c>
      <c r="L423" s="94" t="s">
        <v>507</v>
      </c>
      <c r="M423" s="94" t="s">
        <v>1166</v>
      </c>
      <c r="N423" s="94" t="s">
        <v>41</v>
      </c>
      <c r="O423" s="94" t="s">
        <v>42</v>
      </c>
      <c r="P423" s="94" t="s">
        <v>495</v>
      </c>
      <c r="Q423" s="94" t="s">
        <v>475</v>
      </c>
      <c r="R423" s="94" t="s">
        <v>40</v>
      </c>
      <c r="S423" s="98">
        <v>1.2500000000000001E-2</v>
      </c>
      <c r="T423" s="94" t="s">
        <v>45</v>
      </c>
      <c r="U423" s="94"/>
      <c r="V423" s="83"/>
      <c r="W423" s="73" t="str">
        <f t="shared" si="2"/>
        <v>X</v>
      </c>
      <c r="X423" s="73" t="str">
        <f t="shared" si="3"/>
        <v/>
      </c>
      <c r="Y423" s="73" t="str">
        <f t="shared" si="4"/>
        <v/>
      </c>
      <c r="Z423" s="73" t="str">
        <f t="shared" si="5"/>
        <v/>
      </c>
      <c r="AA423" s="73" t="s">
        <v>26</v>
      </c>
      <c r="AB423" s="73" t="str">
        <f t="shared" si="19"/>
        <v>Trim 1</v>
      </c>
      <c r="AC423" s="73">
        <f t="shared" si="7"/>
        <v>1</v>
      </c>
      <c r="AD423" s="73">
        <f t="shared" si="8"/>
        <v>1</v>
      </c>
      <c r="AE423" s="73"/>
      <c r="AF423" s="73"/>
      <c r="AG423" s="73"/>
      <c r="AH423" s="73"/>
      <c r="AI423" s="73"/>
    </row>
    <row r="424" spans="1:35" ht="75">
      <c r="A424" s="94" t="s">
        <v>1160</v>
      </c>
      <c r="B424" s="94">
        <v>1</v>
      </c>
      <c r="C424" s="94" t="s">
        <v>1161</v>
      </c>
      <c r="D424" s="96">
        <v>0.35</v>
      </c>
      <c r="E424" s="109">
        <v>44256</v>
      </c>
      <c r="F424" s="94" t="s">
        <v>1169</v>
      </c>
      <c r="G424" s="98">
        <v>1.2500000000000001E-2</v>
      </c>
      <c r="H424" s="94" t="s">
        <v>1163</v>
      </c>
      <c r="I424" s="94" t="s">
        <v>1164</v>
      </c>
      <c r="J424" s="94" t="s">
        <v>1170</v>
      </c>
      <c r="K424" s="94" t="s">
        <v>111</v>
      </c>
      <c r="L424" s="94" t="s">
        <v>507</v>
      </c>
      <c r="M424" s="94" t="s">
        <v>1166</v>
      </c>
      <c r="N424" s="94" t="s">
        <v>41</v>
      </c>
      <c r="O424" s="94" t="s">
        <v>42</v>
      </c>
      <c r="P424" s="94" t="s">
        <v>495</v>
      </c>
      <c r="Q424" s="94" t="s">
        <v>475</v>
      </c>
      <c r="R424" s="94" t="s">
        <v>40</v>
      </c>
      <c r="S424" s="98"/>
      <c r="T424" s="94"/>
      <c r="U424" s="94"/>
      <c r="V424" s="83"/>
      <c r="W424" s="73" t="str">
        <f t="shared" si="2"/>
        <v/>
      </c>
      <c r="X424" s="73" t="str">
        <f t="shared" si="3"/>
        <v>X</v>
      </c>
      <c r="Y424" s="73" t="str">
        <f t="shared" si="4"/>
        <v/>
      </c>
      <c r="Z424" s="73" t="str">
        <f t="shared" si="5"/>
        <v/>
      </c>
      <c r="AA424" s="73" t="s">
        <v>27</v>
      </c>
      <c r="AB424" s="73" t="str">
        <f t="shared" si="19"/>
        <v>Trim 2</v>
      </c>
      <c r="AC424" s="73">
        <f t="shared" si="7"/>
        <v>0</v>
      </c>
      <c r="AD424" s="73">
        <f t="shared" si="8"/>
        <v>0</v>
      </c>
      <c r="AE424" s="73"/>
      <c r="AF424" s="73"/>
      <c r="AG424" s="73"/>
      <c r="AH424" s="73"/>
      <c r="AI424" s="73"/>
    </row>
    <row r="425" spans="1:35" ht="75">
      <c r="A425" s="94" t="s">
        <v>1160</v>
      </c>
      <c r="B425" s="94">
        <v>1</v>
      </c>
      <c r="C425" s="94" t="s">
        <v>1161</v>
      </c>
      <c r="D425" s="96">
        <v>0.35</v>
      </c>
      <c r="E425" s="109">
        <v>44256</v>
      </c>
      <c r="F425" s="94" t="s">
        <v>1169</v>
      </c>
      <c r="G425" s="98">
        <v>1.2500000000000001E-2</v>
      </c>
      <c r="H425" s="94" t="s">
        <v>1163</v>
      </c>
      <c r="I425" s="94" t="s">
        <v>1164</v>
      </c>
      <c r="J425" s="94" t="s">
        <v>1170</v>
      </c>
      <c r="K425" s="94" t="s">
        <v>115</v>
      </c>
      <c r="L425" s="94" t="s">
        <v>507</v>
      </c>
      <c r="M425" s="94" t="s">
        <v>1166</v>
      </c>
      <c r="N425" s="94" t="s">
        <v>41</v>
      </c>
      <c r="O425" s="94" t="s">
        <v>42</v>
      </c>
      <c r="P425" s="94" t="s">
        <v>495</v>
      </c>
      <c r="Q425" s="94" t="s">
        <v>475</v>
      </c>
      <c r="R425" s="94" t="s">
        <v>40</v>
      </c>
      <c r="S425" s="98"/>
      <c r="T425" s="94"/>
      <c r="U425" s="94"/>
      <c r="V425" s="83"/>
      <c r="W425" s="73" t="str">
        <f t="shared" si="2"/>
        <v/>
      </c>
      <c r="X425" s="73" t="str">
        <f t="shared" si="3"/>
        <v/>
      </c>
      <c r="Y425" s="73" t="str">
        <f t="shared" si="4"/>
        <v>X</v>
      </c>
      <c r="Z425" s="73" t="str">
        <f t="shared" si="5"/>
        <v/>
      </c>
      <c r="AA425" s="73" t="s">
        <v>28</v>
      </c>
      <c r="AB425" s="73" t="str">
        <f t="shared" si="19"/>
        <v>Trim 3</v>
      </c>
      <c r="AC425" s="73">
        <f t="shared" si="7"/>
        <v>0</v>
      </c>
      <c r="AD425" s="73">
        <f t="shared" si="8"/>
        <v>0</v>
      </c>
      <c r="AE425" s="73"/>
      <c r="AF425" s="73"/>
      <c r="AG425" s="73"/>
      <c r="AH425" s="73"/>
      <c r="AI425" s="73"/>
    </row>
    <row r="426" spans="1:35" ht="75">
      <c r="A426" s="94" t="s">
        <v>1160</v>
      </c>
      <c r="B426" s="94">
        <v>1</v>
      </c>
      <c r="C426" s="94" t="s">
        <v>1161</v>
      </c>
      <c r="D426" s="96">
        <v>0.35</v>
      </c>
      <c r="E426" s="109">
        <v>44256</v>
      </c>
      <c r="F426" s="94" t="s">
        <v>1169</v>
      </c>
      <c r="G426" s="98">
        <v>1.2500000000000001E-2</v>
      </c>
      <c r="H426" s="94" t="s">
        <v>1163</v>
      </c>
      <c r="I426" s="94" t="s">
        <v>1164</v>
      </c>
      <c r="J426" s="94" t="s">
        <v>1170</v>
      </c>
      <c r="K426" s="94" t="s">
        <v>39</v>
      </c>
      <c r="L426" s="94" t="s">
        <v>507</v>
      </c>
      <c r="M426" s="94" t="s">
        <v>1166</v>
      </c>
      <c r="N426" s="94" t="s">
        <v>41</v>
      </c>
      <c r="O426" s="94" t="s">
        <v>42</v>
      </c>
      <c r="P426" s="94" t="s">
        <v>495</v>
      </c>
      <c r="Q426" s="94" t="s">
        <v>475</v>
      </c>
      <c r="R426" s="94" t="s">
        <v>40</v>
      </c>
      <c r="S426" s="98"/>
      <c r="T426" s="94"/>
      <c r="U426" s="94"/>
      <c r="V426" s="83"/>
      <c r="W426" s="73" t="str">
        <f t="shared" si="2"/>
        <v/>
      </c>
      <c r="X426" s="73" t="str">
        <f t="shared" si="3"/>
        <v/>
      </c>
      <c r="Y426" s="73" t="str">
        <f t="shared" si="4"/>
        <v/>
      </c>
      <c r="Z426" s="73" t="str">
        <f t="shared" si="5"/>
        <v>X</v>
      </c>
      <c r="AA426" s="73" t="s">
        <v>29</v>
      </c>
      <c r="AB426" s="73" t="str">
        <f t="shared" si="19"/>
        <v>Trim 4</v>
      </c>
      <c r="AC426" s="73">
        <f t="shared" si="7"/>
        <v>0</v>
      </c>
      <c r="AD426" s="73">
        <f t="shared" si="8"/>
        <v>0</v>
      </c>
      <c r="AE426" s="73"/>
      <c r="AF426" s="73"/>
      <c r="AG426" s="73"/>
      <c r="AH426" s="73"/>
      <c r="AI426" s="73"/>
    </row>
    <row r="427" spans="1:35" ht="75">
      <c r="A427" s="94" t="s">
        <v>1160</v>
      </c>
      <c r="B427" s="94">
        <v>1</v>
      </c>
      <c r="C427" s="94" t="s">
        <v>1161</v>
      </c>
      <c r="D427" s="96">
        <v>0.35</v>
      </c>
      <c r="E427" s="109">
        <v>44287</v>
      </c>
      <c r="F427" s="94" t="s">
        <v>1171</v>
      </c>
      <c r="G427" s="98">
        <v>1.2500000000000001E-2</v>
      </c>
      <c r="H427" s="94" t="s">
        <v>1163</v>
      </c>
      <c r="I427" s="94" t="s">
        <v>1164</v>
      </c>
      <c r="J427" s="94" t="s">
        <v>1172</v>
      </c>
      <c r="K427" s="94" t="s">
        <v>45</v>
      </c>
      <c r="L427" s="94" t="s">
        <v>507</v>
      </c>
      <c r="M427" s="94" t="s">
        <v>1166</v>
      </c>
      <c r="N427" s="94" t="s">
        <v>41</v>
      </c>
      <c r="O427" s="94" t="s">
        <v>42</v>
      </c>
      <c r="P427" s="94" t="s">
        <v>495</v>
      </c>
      <c r="Q427" s="94" t="s">
        <v>475</v>
      </c>
      <c r="R427" s="94" t="s">
        <v>40</v>
      </c>
      <c r="S427" s="98">
        <v>1.2500000000000001E-2</v>
      </c>
      <c r="T427" s="94" t="s">
        <v>45</v>
      </c>
      <c r="U427" s="94"/>
      <c r="V427" s="83"/>
      <c r="W427" s="73" t="str">
        <f t="shared" si="2"/>
        <v>X</v>
      </c>
      <c r="X427" s="73" t="str">
        <f t="shared" si="3"/>
        <v/>
      </c>
      <c r="Y427" s="73" t="str">
        <f t="shared" si="4"/>
        <v/>
      </c>
      <c r="Z427" s="73" t="str">
        <f t="shared" si="5"/>
        <v/>
      </c>
      <c r="AA427" s="73" t="s">
        <v>26</v>
      </c>
      <c r="AB427" s="73" t="str">
        <f t="shared" si="19"/>
        <v>Trim 1</v>
      </c>
      <c r="AC427" s="73">
        <f t="shared" si="7"/>
        <v>1</v>
      </c>
      <c r="AD427" s="73">
        <f t="shared" si="8"/>
        <v>1</v>
      </c>
      <c r="AE427" s="73"/>
      <c r="AF427" s="73"/>
      <c r="AG427" s="73"/>
      <c r="AH427" s="73"/>
      <c r="AI427" s="73"/>
    </row>
    <row r="428" spans="1:35" ht="75">
      <c r="A428" s="94" t="s">
        <v>1160</v>
      </c>
      <c r="B428" s="94">
        <v>1</v>
      </c>
      <c r="C428" s="94" t="s">
        <v>1161</v>
      </c>
      <c r="D428" s="96">
        <v>0.35</v>
      </c>
      <c r="E428" s="109">
        <v>44287</v>
      </c>
      <c r="F428" s="94" t="s">
        <v>1171</v>
      </c>
      <c r="G428" s="98">
        <v>1.2500000000000001E-2</v>
      </c>
      <c r="H428" s="94" t="s">
        <v>1163</v>
      </c>
      <c r="I428" s="94" t="s">
        <v>1164</v>
      </c>
      <c r="J428" s="94" t="s">
        <v>1172</v>
      </c>
      <c r="K428" s="94" t="s">
        <v>111</v>
      </c>
      <c r="L428" s="94"/>
      <c r="M428" s="94"/>
      <c r="N428" s="94"/>
      <c r="O428" s="94"/>
      <c r="P428" s="94"/>
      <c r="Q428" s="94"/>
      <c r="R428" s="94"/>
      <c r="S428" s="98"/>
      <c r="T428" s="94"/>
      <c r="U428" s="94"/>
      <c r="V428" s="83"/>
      <c r="W428" s="73" t="str">
        <f t="shared" si="2"/>
        <v/>
      </c>
      <c r="X428" s="73" t="str">
        <f t="shared" si="3"/>
        <v>X</v>
      </c>
      <c r="Y428" s="73" t="str">
        <f t="shared" si="4"/>
        <v/>
      </c>
      <c r="Z428" s="73" t="str">
        <f t="shared" si="5"/>
        <v/>
      </c>
      <c r="AA428" s="73" t="s">
        <v>27</v>
      </c>
      <c r="AB428" s="73" t="str">
        <f t="shared" si="19"/>
        <v>Trim 2</v>
      </c>
      <c r="AC428" s="73">
        <f t="shared" si="7"/>
        <v>0</v>
      </c>
      <c r="AD428" s="73">
        <f t="shared" si="8"/>
        <v>0</v>
      </c>
      <c r="AE428" s="73"/>
      <c r="AF428" s="73"/>
      <c r="AG428" s="73"/>
      <c r="AH428" s="73"/>
      <c r="AI428" s="73"/>
    </row>
    <row r="429" spans="1:35" ht="75">
      <c r="A429" s="94" t="s">
        <v>1160</v>
      </c>
      <c r="B429" s="94">
        <v>1</v>
      </c>
      <c r="C429" s="94" t="s">
        <v>1161</v>
      </c>
      <c r="D429" s="96">
        <v>0.35</v>
      </c>
      <c r="E429" s="109">
        <v>44287</v>
      </c>
      <c r="F429" s="94" t="s">
        <v>1171</v>
      </c>
      <c r="G429" s="98">
        <v>1.2500000000000001E-2</v>
      </c>
      <c r="H429" s="94" t="s">
        <v>1163</v>
      </c>
      <c r="I429" s="94" t="s">
        <v>1164</v>
      </c>
      <c r="J429" s="94" t="s">
        <v>1172</v>
      </c>
      <c r="K429" s="94" t="s">
        <v>115</v>
      </c>
      <c r="L429" s="94"/>
      <c r="M429" s="94"/>
      <c r="N429" s="94"/>
      <c r="O429" s="94"/>
      <c r="P429" s="94"/>
      <c r="Q429" s="94"/>
      <c r="R429" s="94"/>
      <c r="S429" s="98"/>
      <c r="T429" s="94"/>
      <c r="U429" s="94"/>
      <c r="V429" s="83"/>
      <c r="W429" s="73" t="str">
        <f t="shared" si="2"/>
        <v/>
      </c>
      <c r="X429" s="73" t="str">
        <f t="shared" si="3"/>
        <v/>
      </c>
      <c r="Y429" s="73" t="str">
        <f t="shared" si="4"/>
        <v>X</v>
      </c>
      <c r="Z429" s="73" t="str">
        <f t="shared" si="5"/>
        <v/>
      </c>
      <c r="AA429" s="73" t="s">
        <v>28</v>
      </c>
      <c r="AB429" s="73" t="str">
        <f t="shared" si="19"/>
        <v>Trim 3</v>
      </c>
      <c r="AC429" s="73">
        <f t="shared" si="7"/>
        <v>0</v>
      </c>
      <c r="AD429" s="73">
        <f t="shared" si="8"/>
        <v>0</v>
      </c>
      <c r="AE429" s="73"/>
      <c r="AF429" s="73"/>
      <c r="AG429" s="73"/>
      <c r="AH429" s="73"/>
      <c r="AI429" s="73"/>
    </row>
    <row r="430" spans="1:35" ht="75">
      <c r="A430" s="94" t="s">
        <v>1160</v>
      </c>
      <c r="B430" s="94">
        <v>1</v>
      </c>
      <c r="C430" s="94" t="s">
        <v>1161</v>
      </c>
      <c r="D430" s="96">
        <v>0.35</v>
      </c>
      <c r="E430" s="109">
        <v>44287</v>
      </c>
      <c r="F430" s="94" t="s">
        <v>1171</v>
      </c>
      <c r="G430" s="98">
        <v>1.2500000000000001E-2</v>
      </c>
      <c r="H430" s="94" t="s">
        <v>1163</v>
      </c>
      <c r="I430" s="94" t="s">
        <v>1164</v>
      </c>
      <c r="J430" s="94" t="s">
        <v>1172</v>
      </c>
      <c r="K430" s="94" t="s">
        <v>39</v>
      </c>
      <c r="L430" s="94"/>
      <c r="M430" s="94"/>
      <c r="N430" s="94"/>
      <c r="O430" s="94"/>
      <c r="P430" s="94"/>
      <c r="Q430" s="94"/>
      <c r="R430" s="94"/>
      <c r="S430" s="98"/>
      <c r="T430" s="94"/>
      <c r="U430" s="94"/>
      <c r="V430" s="83"/>
      <c r="W430" s="73" t="str">
        <f t="shared" si="2"/>
        <v/>
      </c>
      <c r="X430" s="73" t="str">
        <f t="shared" si="3"/>
        <v/>
      </c>
      <c r="Y430" s="73" t="str">
        <f t="shared" si="4"/>
        <v/>
      </c>
      <c r="Z430" s="73" t="str">
        <f t="shared" si="5"/>
        <v>X</v>
      </c>
      <c r="AA430" s="73" t="s">
        <v>29</v>
      </c>
      <c r="AB430" s="73" t="str">
        <f t="shared" si="19"/>
        <v>Trim 4</v>
      </c>
      <c r="AC430" s="73">
        <f t="shared" si="7"/>
        <v>0</v>
      </c>
      <c r="AD430" s="73">
        <f t="shared" si="8"/>
        <v>0</v>
      </c>
      <c r="AE430" s="73"/>
      <c r="AF430" s="73"/>
      <c r="AG430" s="73"/>
      <c r="AH430" s="73"/>
      <c r="AI430" s="73"/>
    </row>
    <row r="431" spans="1:35" ht="75">
      <c r="A431" s="94" t="s">
        <v>1160</v>
      </c>
      <c r="B431" s="94">
        <v>1</v>
      </c>
      <c r="C431" s="94" t="s">
        <v>1161</v>
      </c>
      <c r="D431" s="96">
        <v>0.35</v>
      </c>
      <c r="E431" s="109">
        <v>44317</v>
      </c>
      <c r="F431" s="94" t="s">
        <v>1173</v>
      </c>
      <c r="G431" s="98">
        <v>1.2500000000000001E-2</v>
      </c>
      <c r="H431" s="94" t="s">
        <v>1163</v>
      </c>
      <c r="I431" s="94" t="s">
        <v>1164</v>
      </c>
      <c r="J431" s="94" t="s">
        <v>1174</v>
      </c>
      <c r="K431" s="94" t="s">
        <v>45</v>
      </c>
      <c r="L431" s="94" t="s">
        <v>507</v>
      </c>
      <c r="M431" s="94" t="s">
        <v>1166</v>
      </c>
      <c r="N431" s="94" t="s">
        <v>41</v>
      </c>
      <c r="O431" s="94" t="s">
        <v>42</v>
      </c>
      <c r="P431" s="94" t="s">
        <v>495</v>
      </c>
      <c r="Q431" s="94" t="s">
        <v>475</v>
      </c>
      <c r="R431" s="94" t="s">
        <v>40</v>
      </c>
      <c r="S431" s="98">
        <v>1.2500000000000001E-2</v>
      </c>
      <c r="T431" s="94" t="s">
        <v>45</v>
      </c>
      <c r="U431" s="94"/>
      <c r="V431" s="83"/>
      <c r="W431" s="73" t="str">
        <f t="shared" si="2"/>
        <v>X</v>
      </c>
      <c r="X431" s="73" t="str">
        <f t="shared" si="3"/>
        <v/>
      </c>
      <c r="Y431" s="73" t="str">
        <f t="shared" si="4"/>
        <v/>
      </c>
      <c r="Z431" s="73" t="str">
        <f t="shared" si="5"/>
        <v/>
      </c>
      <c r="AA431" s="73" t="s">
        <v>26</v>
      </c>
      <c r="AB431" s="73" t="str">
        <f t="shared" si="19"/>
        <v>Trim 1</v>
      </c>
      <c r="AC431" s="73">
        <f t="shared" si="7"/>
        <v>1</v>
      </c>
      <c r="AD431" s="73">
        <f t="shared" si="8"/>
        <v>1</v>
      </c>
      <c r="AE431" s="73"/>
      <c r="AF431" s="73"/>
      <c r="AG431" s="73"/>
      <c r="AH431" s="73"/>
      <c r="AI431" s="73"/>
    </row>
    <row r="432" spans="1:35" ht="75">
      <c r="A432" s="94" t="s">
        <v>1160</v>
      </c>
      <c r="B432" s="94">
        <v>1</v>
      </c>
      <c r="C432" s="94" t="s">
        <v>1161</v>
      </c>
      <c r="D432" s="96">
        <v>0.35</v>
      </c>
      <c r="E432" s="109">
        <v>44317</v>
      </c>
      <c r="F432" s="94" t="s">
        <v>1173</v>
      </c>
      <c r="G432" s="98">
        <v>1.2500000000000001E-2</v>
      </c>
      <c r="H432" s="94" t="s">
        <v>1163</v>
      </c>
      <c r="I432" s="94" t="s">
        <v>1164</v>
      </c>
      <c r="J432" s="94" t="s">
        <v>1174</v>
      </c>
      <c r="K432" s="94" t="s">
        <v>111</v>
      </c>
      <c r="L432" s="94" t="s">
        <v>507</v>
      </c>
      <c r="M432" s="94" t="s">
        <v>1166</v>
      </c>
      <c r="N432" s="94" t="s">
        <v>41</v>
      </c>
      <c r="O432" s="94" t="s">
        <v>42</v>
      </c>
      <c r="P432" s="94" t="s">
        <v>495</v>
      </c>
      <c r="Q432" s="94" t="s">
        <v>475</v>
      </c>
      <c r="R432" s="94" t="s">
        <v>40</v>
      </c>
      <c r="S432" s="94"/>
      <c r="T432" s="94"/>
      <c r="U432" s="94"/>
      <c r="V432" s="83"/>
      <c r="W432" s="73" t="str">
        <f t="shared" si="2"/>
        <v/>
      </c>
      <c r="X432" s="73" t="str">
        <f t="shared" si="3"/>
        <v>X</v>
      </c>
      <c r="Y432" s="73" t="str">
        <f t="shared" si="4"/>
        <v/>
      </c>
      <c r="Z432" s="73" t="str">
        <f t="shared" si="5"/>
        <v/>
      </c>
      <c r="AA432" s="73" t="s">
        <v>27</v>
      </c>
      <c r="AB432" s="73" t="str">
        <f t="shared" si="19"/>
        <v>Trim 2</v>
      </c>
      <c r="AC432" s="73">
        <f t="shared" si="7"/>
        <v>0</v>
      </c>
      <c r="AD432" s="73">
        <f t="shared" si="8"/>
        <v>0</v>
      </c>
      <c r="AE432" s="73"/>
      <c r="AF432" s="73"/>
      <c r="AG432" s="73"/>
      <c r="AH432" s="73"/>
      <c r="AI432" s="73"/>
    </row>
    <row r="433" spans="1:35" ht="75">
      <c r="A433" s="94" t="s">
        <v>1160</v>
      </c>
      <c r="B433" s="94">
        <v>1</v>
      </c>
      <c r="C433" s="94" t="s">
        <v>1161</v>
      </c>
      <c r="D433" s="96">
        <v>0.35</v>
      </c>
      <c r="E433" s="109">
        <v>44317</v>
      </c>
      <c r="F433" s="94" t="s">
        <v>1173</v>
      </c>
      <c r="G433" s="98">
        <v>1.2500000000000001E-2</v>
      </c>
      <c r="H433" s="94" t="s">
        <v>1163</v>
      </c>
      <c r="I433" s="94" t="s">
        <v>1164</v>
      </c>
      <c r="J433" s="94" t="s">
        <v>1174</v>
      </c>
      <c r="K433" s="94" t="s">
        <v>115</v>
      </c>
      <c r="L433" s="94" t="s">
        <v>507</v>
      </c>
      <c r="M433" s="94" t="s">
        <v>1166</v>
      </c>
      <c r="N433" s="94" t="s">
        <v>41</v>
      </c>
      <c r="O433" s="94" t="s">
        <v>42</v>
      </c>
      <c r="P433" s="94" t="s">
        <v>495</v>
      </c>
      <c r="Q433" s="94" t="s">
        <v>475</v>
      </c>
      <c r="R433" s="94" t="s">
        <v>40</v>
      </c>
      <c r="S433" s="94"/>
      <c r="T433" s="94"/>
      <c r="U433" s="94"/>
      <c r="V433" s="83"/>
      <c r="W433" s="73" t="str">
        <f t="shared" si="2"/>
        <v/>
      </c>
      <c r="X433" s="73" t="str">
        <f t="shared" si="3"/>
        <v/>
      </c>
      <c r="Y433" s="73" t="str">
        <f t="shared" si="4"/>
        <v>X</v>
      </c>
      <c r="Z433" s="73" t="str">
        <f t="shared" si="5"/>
        <v/>
      </c>
      <c r="AA433" s="73" t="s">
        <v>28</v>
      </c>
      <c r="AB433" s="73" t="str">
        <f t="shared" si="19"/>
        <v>Trim 3</v>
      </c>
      <c r="AC433" s="73">
        <f t="shared" si="7"/>
        <v>0</v>
      </c>
      <c r="AD433" s="73">
        <f t="shared" si="8"/>
        <v>0</v>
      </c>
      <c r="AE433" s="73"/>
      <c r="AF433" s="73"/>
      <c r="AG433" s="73"/>
      <c r="AH433" s="73"/>
      <c r="AI433" s="73"/>
    </row>
    <row r="434" spans="1:35" ht="75">
      <c r="A434" s="94" t="s">
        <v>1160</v>
      </c>
      <c r="B434" s="94">
        <v>1</v>
      </c>
      <c r="C434" s="94" t="s">
        <v>1161</v>
      </c>
      <c r="D434" s="96">
        <v>0.35</v>
      </c>
      <c r="E434" s="109">
        <v>44317</v>
      </c>
      <c r="F434" s="94" t="s">
        <v>1173</v>
      </c>
      <c r="G434" s="98">
        <v>1.2500000000000001E-2</v>
      </c>
      <c r="H434" s="94" t="s">
        <v>1163</v>
      </c>
      <c r="I434" s="94" t="s">
        <v>1164</v>
      </c>
      <c r="J434" s="94" t="s">
        <v>1174</v>
      </c>
      <c r="K434" s="94" t="s">
        <v>39</v>
      </c>
      <c r="L434" s="94" t="s">
        <v>507</v>
      </c>
      <c r="M434" s="94" t="s">
        <v>1166</v>
      </c>
      <c r="N434" s="94" t="s">
        <v>41</v>
      </c>
      <c r="O434" s="94" t="s">
        <v>42</v>
      </c>
      <c r="P434" s="94" t="s">
        <v>495</v>
      </c>
      <c r="Q434" s="94" t="s">
        <v>475</v>
      </c>
      <c r="R434" s="94" t="s">
        <v>40</v>
      </c>
      <c r="S434" s="94"/>
      <c r="T434" s="94"/>
      <c r="U434" s="94"/>
      <c r="V434" s="83"/>
      <c r="W434" s="73" t="str">
        <f t="shared" si="2"/>
        <v/>
      </c>
      <c r="X434" s="73" t="str">
        <f t="shared" si="3"/>
        <v/>
      </c>
      <c r="Y434" s="73" t="str">
        <f t="shared" si="4"/>
        <v/>
      </c>
      <c r="Z434" s="73" t="str">
        <f t="shared" si="5"/>
        <v>X</v>
      </c>
      <c r="AA434" s="73" t="s">
        <v>29</v>
      </c>
      <c r="AB434" s="73" t="str">
        <f t="shared" si="19"/>
        <v>Trim 4</v>
      </c>
      <c r="AC434" s="73">
        <f t="shared" si="7"/>
        <v>0</v>
      </c>
      <c r="AD434" s="73">
        <f t="shared" si="8"/>
        <v>0</v>
      </c>
      <c r="AE434" s="73"/>
      <c r="AF434" s="73"/>
      <c r="AG434" s="73"/>
      <c r="AH434" s="73"/>
      <c r="AI434" s="73"/>
    </row>
    <row r="435" spans="1:35" ht="75">
      <c r="A435" s="94" t="s">
        <v>1160</v>
      </c>
      <c r="B435" s="94">
        <v>1</v>
      </c>
      <c r="C435" s="94" t="s">
        <v>1161</v>
      </c>
      <c r="D435" s="96">
        <v>0.35</v>
      </c>
      <c r="E435" s="109">
        <v>44348</v>
      </c>
      <c r="F435" s="94" t="s">
        <v>1175</v>
      </c>
      <c r="G435" s="98">
        <v>1.2500000000000001E-2</v>
      </c>
      <c r="H435" s="94" t="s">
        <v>1163</v>
      </c>
      <c r="I435" s="94" t="s">
        <v>1164</v>
      </c>
      <c r="J435" s="94" t="s">
        <v>1174</v>
      </c>
      <c r="K435" s="94" t="s">
        <v>45</v>
      </c>
      <c r="L435" s="94" t="s">
        <v>507</v>
      </c>
      <c r="M435" s="94" t="s">
        <v>1166</v>
      </c>
      <c r="N435" s="94" t="s">
        <v>41</v>
      </c>
      <c r="O435" s="94" t="s">
        <v>42</v>
      </c>
      <c r="P435" s="94" t="s">
        <v>495</v>
      </c>
      <c r="Q435" s="94" t="s">
        <v>475</v>
      </c>
      <c r="R435" s="94" t="s">
        <v>40</v>
      </c>
      <c r="S435" s="98">
        <v>1.2500000000000001E-2</v>
      </c>
      <c r="T435" s="94" t="s">
        <v>45</v>
      </c>
      <c r="U435" s="94"/>
      <c r="V435" s="83"/>
      <c r="W435" s="73" t="str">
        <f t="shared" si="2"/>
        <v>X</v>
      </c>
      <c r="X435" s="73" t="str">
        <f t="shared" si="3"/>
        <v/>
      </c>
      <c r="Y435" s="73" t="str">
        <f t="shared" si="4"/>
        <v/>
      </c>
      <c r="Z435" s="73" t="str">
        <f t="shared" si="5"/>
        <v/>
      </c>
      <c r="AA435" s="73" t="s">
        <v>26</v>
      </c>
      <c r="AB435" s="73" t="str">
        <f t="shared" si="19"/>
        <v>Trim 1</v>
      </c>
      <c r="AC435" s="73">
        <f t="shared" si="7"/>
        <v>1</v>
      </c>
      <c r="AD435" s="73">
        <f t="shared" si="8"/>
        <v>1</v>
      </c>
      <c r="AE435" s="73"/>
      <c r="AF435" s="73"/>
      <c r="AG435" s="73"/>
      <c r="AH435" s="73"/>
      <c r="AI435" s="73"/>
    </row>
    <row r="436" spans="1:35" ht="75">
      <c r="A436" s="94" t="s">
        <v>1160</v>
      </c>
      <c r="B436" s="94">
        <v>1</v>
      </c>
      <c r="C436" s="94" t="s">
        <v>1161</v>
      </c>
      <c r="D436" s="96">
        <v>0.35</v>
      </c>
      <c r="E436" s="109">
        <v>44348</v>
      </c>
      <c r="F436" s="94" t="s">
        <v>1175</v>
      </c>
      <c r="G436" s="98">
        <v>1.2500000000000001E-2</v>
      </c>
      <c r="H436" s="94" t="s">
        <v>1163</v>
      </c>
      <c r="I436" s="94" t="s">
        <v>1164</v>
      </c>
      <c r="J436" s="94" t="s">
        <v>1174</v>
      </c>
      <c r="K436" s="94" t="s">
        <v>111</v>
      </c>
      <c r="L436" s="94" t="s">
        <v>507</v>
      </c>
      <c r="M436" s="94" t="s">
        <v>1166</v>
      </c>
      <c r="N436" s="94" t="s">
        <v>41</v>
      </c>
      <c r="O436" s="94" t="s">
        <v>42</v>
      </c>
      <c r="P436" s="94" t="s">
        <v>495</v>
      </c>
      <c r="Q436" s="94" t="s">
        <v>475</v>
      </c>
      <c r="R436" s="94" t="s">
        <v>40</v>
      </c>
      <c r="S436" s="94"/>
      <c r="T436" s="94"/>
      <c r="U436" s="94"/>
      <c r="V436" s="83"/>
      <c r="W436" s="73" t="str">
        <f t="shared" si="2"/>
        <v/>
      </c>
      <c r="X436" s="73" t="str">
        <f t="shared" si="3"/>
        <v>X</v>
      </c>
      <c r="Y436" s="73" t="str">
        <f t="shared" si="4"/>
        <v/>
      </c>
      <c r="Z436" s="73" t="str">
        <f t="shared" si="5"/>
        <v/>
      </c>
      <c r="AA436" s="73" t="s">
        <v>27</v>
      </c>
      <c r="AB436" s="73" t="str">
        <f t="shared" si="19"/>
        <v>Trim 2</v>
      </c>
      <c r="AC436" s="73">
        <f t="shared" si="7"/>
        <v>0</v>
      </c>
      <c r="AD436" s="73">
        <f t="shared" si="8"/>
        <v>0</v>
      </c>
      <c r="AE436" s="73"/>
      <c r="AF436" s="73"/>
      <c r="AG436" s="73"/>
      <c r="AH436" s="73"/>
      <c r="AI436" s="73"/>
    </row>
    <row r="437" spans="1:35" ht="75">
      <c r="A437" s="94" t="s">
        <v>1160</v>
      </c>
      <c r="B437" s="94">
        <v>1</v>
      </c>
      <c r="C437" s="94" t="s">
        <v>1161</v>
      </c>
      <c r="D437" s="96">
        <v>0.35</v>
      </c>
      <c r="E437" s="109">
        <v>44348</v>
      </c>
      <c r="F437" s="94" t="s">
        <v>1175</v>
      </c>
      <c r="G437" s="98">
        <v>1.2500000000000001E-2</v>
      </c>
      <c r="H437" s="94" t="s">
        <v>1163</v>
      </c>
      <c r="I437" s="94" t="s">
        <v>1164</v>
      </c>
      <c r="J437" s="94" t="s">
        <v>1174</v>
      </c>
      <c r="K437" s="94" t="s">
        <v>115</v>
      </c>
      <c r="L437" s="94" t="s">
        <v>507</v>
      </c>
      <c r="M437" s="94" t="s">
        <v>1166</v>
      </c>
      <c r="N437" s="94" t="s">
        <v>41</v>
      </c>
      <c r="O437" s="94" t="s">
        <v>42</v>
      </c>
      <c r="P437" s="94" t="s">
        <v>495</v>
      </c>
      <c r="Q437" s="94" t="s">
        <v>475</v>
      </c>
      <c r="R437" s="94" t="s">
        <v>40</v>
      </c>
      <c r="S437" s="94"/>
      <c r="T437" s="94"/>
      <c r="U437" s="94"/>
      <c r="V437" s="83"/>
      <c r="W437" s="73" t="str">
        <f t="shared" si="2"/>
        <v/>
      </c>
      <c r="X437" s="73" t="str">
        <f t="shared" si="3"/>
        <v/>
      </c>
      <c r="Y437" s="73" t="str">
        <f t="shared" si="4"/>
        <v>X</v>
      </c>
      <c r="Z437" s="73" t="str">
        <f t="shared" si="5"/>
        <v/>
      </c>
      <c r="AA437" s="73" t="s">
        <v>28</v>
      </c>
      <c r="AB437" s="73" t="str">
        <f t="shared" si="19"/>
        <v>Trim 3</v>
      </c>
      <c r="AC437" s="73">
        <f t="shared" si="7"/>
        <v>0</v>
      </c>
      <c r="AD437" s="73">
        <f t="shared" si="8"/>
        <v>0</v>
      </c>
      <c r="AE437" s="73"/>
      <c r="AF437" s="73"/>
      <c r="AG437" s="73"/>
      <c r="AH437" s="73"/>
      <c r="AI437" s="73"/>
    </row>
    <row r="438" spans="1:35" ht="75">
      <c r="A438" s="94" t="s">
        <v>1160</v>
      </c>
      <c r="B438" s="94">
        <v>1</v>
      </c>
      <c r="C438" s="94" t="s">
        <v>1161</v>
      </c>
      <c r="D438" s="96">
        <v>0.35</v>
      </c>
      <c r="E438" s="109">
        <v>44348</v>
      </c>
      <c r="F438" s="94" t="s">
        <v>1175</v>
      </c>
      <c r="G438" s="98">
        <v>1.2500000000000001E-2</v>
      </c>
      <c r="H438" s="94" t="s">
        <v>1163</v>
      </c>
      <c r="I438" s="94" t="s">
        <v>1164</v>
      </c>
      <c r="J438" s="94" t="s">
        <v>1174</v>
      </c>
      <c r="K438" s="94" t="s">
        <v>39</v>
      </c>
      <c r="L438" s="94" t="s">
        <v>507</v>
      </c>
      <c r="M438" s="94" t="s">
        <v>1166</v>
      </c>
      <c r="N438" s="94" t="s">
        <v>41</v>
      </c>
      <c r="O438" s="94" t="s">
        <v>42</v>
      </c>
      <c r="P438" s="94" t="s">
        <v>495</v>
      </c>
      <c r="Q438" s="94" t="s">
        <v>475</v>
      </c>
      <c r="R438" s="94" t="s">
        <v>40</v>
      </c>
      <c r="S438" s="94"/>
      <c r="T438" s="94"/>
      <c r="U438" s="94"/>
      <c r="V438" s="83"/>
      <c r="W438" s="73" t="str">
        <f t="shared" si="2"/>
        <v/>
      </c>
      <c r="X438" s="73" t="str">
        <f t="shared" si="3"/>
        <v/>
      </c>
      <c r="Y438" s="73" t="str">
        <f t="shared" si="4"/>
        <v/>
      </c>
      <c r="Z438" s="73" t="str">
        <f t="shared" si="5"/>
        <v>X</v>
      </c>
      <c r="AA438" s="73" t="s">
        <v>29</v>
      </c>
      <c r="AB438" s="73" t="str">
        <f t="shared" si="19"/>
        <v>Trim 4</v>
      </c>
      <c r="AC438" s="73">
        <f t="shared" si="7"/>
        <v>0</v>
      </c>
      <c r="AD438" s="73">
        <f t="shared" si="8"/>
        <v>0</v>
      </c>
      <c r="AE438" s="73"/>
      <c r="AF438" s="73"/>
      <c r="AG438" s="73"/>
      <c r="AH438" s="73"/>
      <c r="AI438" s="73"/>
    </row>
    <row r="439" spans="1:35" ht="75">
      <c r="A439" s="94" t="s">
        <v>1160</v>
      </c>
      <c r="B439" s="94">
        <v>1</v>
      </c>
      <c r="C439" s="94" t="s">
        <v>1161</v>
      </c>
      <c r="D439" s="96">
        <v>0.35</v>
      </c>
      <c r="E439" s="109">
        <v>44378</v>
      </c>
      <c r="F439" s="94" t="s">
        <v>1176</v>
      </c>
      <c r="G439" s="98">
        <v>1.2500000000000001E-2</v>
      </c>
      <c r="H439" s="94" t="s">
        <v>1163</v>
      </c>
      <c r="I439" s="94" t="s">
        <v>1164</v>
      </c>
      <c r="J439" s="94" t="s">
        <v>1177</v>
      </c>
      <c r="K439" s="94" t="s">
        <v>45</v>
      </c>
      <c r="L439" s="94" t="s">
        <v>507</v>
      </c>
      <c r="M439" s="94" t="s">
        <v>1166</v>
      </c>
      <c r="N439" s="94" t="s">
        <v>41</v>
      </c>
      <c r="O439" s="94" t="s">
        <v>42</v>
      </c>
      <c r="P439" s="94" t="s">
        <v>495</v>
      </c>
      <c r="Q439" s="94" t="s">
        <v>475</v>
      </c>
      <c r="R439" s="94" t="s">
        <v>40</v>
      </c>
      <c r="S439" s="98">
        <v>1.2500000000000001E-2</v>
      </c>
      <c r="T439" s="94" t="s">
        <v>45</v>
      </c>
      <c r="U439" s="94"/>
      <c r="V439" s="83"/>
      <c r="W439" s="73" t="str">
        <f t="shared" si="2"/>
        <v>X</v>
      </c>
      <c r="X439" s="73" t="str">
        <f t="shared" si="3"/>
        <v/>
      </c>
      <c r="Y439" s="73" t="str">
        <f t="shared" si="4"/>
        <v/>
      </c>
      <c r="Z439" s="73" t="str">
        <f t="shared" si="5"/>
        <v/>
      </c>
      <c r="AA439" s="73" t="s">
        <v>26</v>
      </c>
      <c r="AB439" s="73" t="str">
        <f t="shared" si="19"/>
        <v>Trim 1</v>
      </c>
      <c r="AC439" s="73">
        <f t="shared" si="7"/>
        <v>1</v>
      </c>
      <c r="AD439" s="73">
        <f t="shared" si="8"/>
        <v>1</v>
      </c>
      <c r="AE439" s="73"/>
      <c r="AF439" s="73"/>
      <c r="AG439" s="73"/>
      <c r="AH439" s="73"/>
      <c r="AI439" s="73"/>
    </row>
    <row r="440" spans="1:35" ht="75">
      <c r="A440" s="94" t="s">
        <v>1160</v>
      </c>
      <c r="B440" s="94">
        <v>1</v>
      </c>
      <c r="C440" s="94" t="s">
        <v>1161</v>
      </c>
      <c r="D440" s="96">
        <v>0.35</v>
      </c>
      <c r="E440" s="109">
        <v>44378</v>
      </c>
      <c r="F440" s="94" t="s">
        <v>1176</v>
      </c>
      <c r="G440" s="98">
        <v>1.2500000000000001E-2</v>
      </c>
      <c r="H440" s="94" t="s">
        <v>1163</v>
      </c>
      <c r="I440" s="94" t="s">
        <v>1164</v>
      </c>
      <c r="J440" s="94" t="s">
        <v>1177</v>
      </c>
      <c r="K440" s="94" t="s">
        <v>1130</v>
      </c>
      <c r="L440" s="94"/>
      <c r="M440" s="94"/>
      <c r="N440" s="94"/>
      <c r="O440" s="94"/>
      <c r="P440" s="94"/>
      <c r="Q440" s="94"/>
      <c r="R440" s="94"/>
      <c r="S440" s="98"/>
      <c r="T440" s="94"/>
      <c r="U440" s="94"/>
      <c r="V440" s="83"/>
      <c r="W440" s="73" t="str">
        <f t="shared" si="2"/>
        <v/>
      </c>
      <c r="X440" s="73" t="str">
        <f t="shared" si="3"/>
        <v>X</v>
      </c>
      <c r="Y440" s="73" t="str">
        <f t="shared" si="4"/>
        <v/>
      </c>
      <c r="Z440" s="73" t="str">
        <f t="shared" si="5"/>
        <v/>
      </c>
      <c r="AA440" s="73" t="s">
        <v>27</v>
      </c>
      <c r="AB440" s="73" t="str">
        <f t="shared" si="19"/>
        <v>Trim 2</v>
      </c>
      <c r="AC440" s="73">
        <f t="shared" si="7"/>
        <v>0</v>
      </c>
      <c r="AD440" s="73">
        <f t="shared" si="8"/>
        <v>0</v>
      </c>
      <c r="AE440" s="73"/>
      <c r="AF440" s="73"/>
      <c r="AG440" s="73"/>
      <c r="AH440" s="73"/>
      <c r="AI440" s="73"/>
    </row>
    <row r="441" spans="1:35" ht="75">
      <c r="A441" s="94" t="s">
        <v>1160</v>
      </c>
      <c r="B441" s="94">
        <v>1</v>
      </c>
      <c r="C441" s="94" t="s">
        <v>1161</v>
      </c>
      <c r="D441" s="96">
        <v>0.35</v>
      </c>
      <c r="E441" s="109">
        <v>44378</v>
      </c>
      <c r="F441" s="94" t="s">
        <v>1176</v>
      </c>
      <c r="G441" s="98">
        <v>1.2500000000000001E-2</v>
      </c>
      <c r="H441" s="94" t="s">
        <v>1163</v>
      </c>
      <c r="I441" s="94" t="s">
        <v>1164</v>
      </c>
      <c r="J441" s="94" t="s">
        <v>1177</v>
      </c>
      <c r="K441" s="94" t="s">
        <v>115</v>
      </c>
      <c r="L441" s="94"/>
      <c r="M441" s="94"/>
      <c r="N441" s="94"/>
      <c r="O441" s="94"/>
      <c r="P441" s="94"/>
      <c r="Q441" s="94"/>
      <c r="R441" s="94"/>
      <c r="S441" s="98"/>
      <c r="T441" s="94"/>
      <c r="U441" s="94"/>
      <c r="V441" s="83"/>
      <c r="W441" s="73" t="str">
        <f t="shared" si="2"/>
        <v/>
      </c>
      <c r="X441" s="73" t="str">
        <f t="shared" si="3"/>
        <v/>
      </c>
      <c r="Y441" s="73" t="str">
        <f t="shared" si="4"/>
        <v>X</v>
      </c>
      <c r="Z441" s="73" t="str">
        <f t="shared" si="5"/>
        <v/>
      </c>
      <c r="AA441" s="73" t="s">
        <v>28</v>
      </c>
      <c r="AB441" s="73" t="str">
        <f t="shared" si="19"/>
        <v>Trim 3</v>
      </c>
      <c r="AC441" s="73">
        <f t="shared" si="7"/>
        <v>0</v>
      </c>
      <c r="AD441" s="73">
        <f t="shared" si="8"/>
        <v>0</v>
      </c>
      <c r="AE441" s="73"/>
      <c r="AF441" s="73"/>
      <c r="AG441" s="73"/>
      <c r="AH441" s="73"/>
      <c r="AI441" s="73"/>
    </row>
    <row r="442" spans="1:35" ht="75">
      <c r="A442" s="94" t="s">
        <v>1160</v>
      </c>
      <c r="B442" s="94">
        <v>1</v>
      </c>
      <c r="C442" s="94" t="s">
        <v>1161</v>
      </c>
      <c r="D442" s="96">
        <v>0.35</v>
      </c>
      <c r="E442" s="109">
        <v>44378</v>
      </c>
      <c r="F442" s="94" t="s">
        <v>1176</v>
      </c>
      <c r="G442" s="98">
        <v>1.2500000000000001E-2</v>
      </c>
      <c r="H442" s="94" t="s">
        <v>1163</v>
      </c>
      <c r="I442" s="94" t="s">
        <v>1164</v>
      </c>
      <c r="J442" s="94" t="s">
        <v>1177</v>
      </c>
      <c r="K442" s="94" t="s">
        <v>39</v>
      </c>
      <c r="L442" s="94"/>
      <c r="M442" s="94"/>
      <c r="N442" s="94"/>
      <c r="O442" s="94"/>
      <c r="P442" s="94"/>
      <c r="Q442" s="94"/>
      <c r="R442" s="94"/>
      <c r="S442" s="98"/>
      <c r="T442" s="94"/>
      <c r="U442" s="94"/>
      <c r="V442" s="83"/>
      <c r="W442" s="73" t="str">
        <f t="shared" si="2"/>
        <v/>
      </c>
      <c r="X442" s="73" t="str">
        <f t="shared" si="3"/>
        <v/>
      </c>
      <c r="Y442" s="73" t="str">
        <f t="shared" si="4"/>
        <v/>
      </c>
      <c r="Z442" s="73" t="str">
        <f t="shared" si="5"/>
        <v>X</v>
      </c>
      <c r="AA442" s="73" t="s">
        <v>29</v>
      </c>
      <c r="AB442" s="73" t="str">
        <f t="shared" si="19"/>
        <v>Trim 4</v>
      </c>
      <c r="AC442" s="73">
        <f t="shared" si="7"/>
        <v>0</v>
      </c>
      <c r="AD442" s="73">
        <f t="shared" si="8"/>
        <v>0</v>
      </c>
      <c r="AE442" s="70"/>
      <c r="AF442" s="70"/>
      <c r="AG442" s="70"/>
      <c r="AH442" s="70"/>
      <c r="AI442" s="70"/>
    </row>
    <row r="443" spans="1:35" ht="75">
      <c r="A443" s="94" t="s">
        <v>1160</v>
      </c>
      <c r="B443" s="94">
        <v>2</v>
      </c>
      <c r="C443" s="94" t="s">
        <v>1178</v>
      </c>
      <c r="D443" s="96">
        <v>0.1</v>
      </c>
      <c r="E443" s="109">
        <v>44198</v>
      </c>
      <c r="F443" s="94" t="s">
        <v>1179</v>
      </c>
      <c r="G443" s="98">
        <v>1.2500000000000001E-2</v>
      </c>
      <c r="H443" s="94" t="s">
        <v>1180</v>
      </c>
      <c r="I443" s="94" t="s">
        <v>1181</v>
      </c>
      <c r="J443" s="94" t="s">
        <v>1182</v>
      </c>
      <c r="K443" s="94" t="s">
        <v>45</v>
      </c>
      <c r="L443" s="94" t="s">
        <v>507</v>
      </c>
      <c r="M443" s="94" t="s">
        <v>1166</v>
      </c>
      <c r="N443" s="94" t="s">
        <v>41</v>
      </c>
      <c r="O443" s="94" t="s">
        <v>42</v>
      </c>
      <c r="P443" s="94" t="s">
        <v>495</v>
      </c>
      <c r="Q443" s="94" t="s">
        <v>475</v>
      </c>
      <c r="R443" s="94" t="s">
        <v>40</v>
      </c>
      <c r="S443" s="98">
        <v>1.2500000000000001E-2</v>
      </c>
      <c r="T443" s="94" t="s">
        <v>45</v>
      </c>
      <c r="U443" s="94"/>
      <c r="V443" s="83"/>
      <c r="W443" s="73" t="str">
        <f t="shared" si="2"/>
        <v>X</v>
      </c>
      <c r="X443" s="73" t="str">
        <f t="shared" si="3"/>
        <v/>
      </c>
      <c r="Y443" s="73" t="str">
        <f t="shared" si="4"/>
        <v/>
      </c>
      <c r="Z443" s="73" t="str">
        <f t="shared" si="5"/>
        <v/>
      </c>
      <c r="AA443" s="73" t="s">
        <v>26</v>
      </c>
      <c r="AB443" s="73" t="str">
        <f t="shared" si="19"/>
        <v>Trim 1</v>
      </c>
      <c r="AC443" s="73">
        <f t="shared" si="7"/>
        <v>1</v>
      </c>
      <c r="AD443" s="73">
        <f t="shared" si="8"/>
        <v>1</v>
      </c>
      <c r="AE443" s="70"/>
      <c r="AF443" s="70"/>
      <c r="AG443" s="70"/>
      <c r="AH443" s="70"/>
      <c r="AI443" s="70"/>
    </row>
    <row r="444" spans="1:35" ht="75">
      <c r="A444" s="94" t="s">
        <v>1160</v>
      </c>
      <c r="B444" s="94">
        <v>2</v>
      </c>
      <c r="C444" s="94" t="s">
        <v>1178</v>
      </c>
      <c r="D444" s="96">
        <v>0.1</v>
      </c>
      <c r="E444" s="109">
        <v>44198</v>
      </c>
      <c r="F444" s="94" t="s">
        <v>1179</v>
      </c>
      <c r="G444" s="98">
        <v>1.2500000000000001E-2</v>
      </c>
      <c r="H444" s="94" t="s">
        <v>1180</v>
      </c>
      <c r="I444" s="94" t="s">
        <v>1181</v>
      </c>
      <c r="J444" s="94" t="s">
        <v>1182</v>
      </c>
      <c r="K444" s="94" t="s">
        <v>111</v>
      </c>
      <c r="L444" s="94" t="s">
        <v>507</v>
      </c>
      <c r="M444" s="94" t="s">
        <v>1166</v>
      </c>
      <c r="N444" s="94" t="s">
        <v>41</v>
      </c>
      <c r="O444" s="94" t="s">
        <v>42</v>
      </c>
      <c r="P444" s="94" t="s">
        <v>495</v>
      </c>
      <c r="Q444" s="94" t="s">
        <v>475</v>
      </c>
      <c r="R444" s="94" t="s">
        <v>40</v>
      </c>
      <c r="S444" s="94"/>
      <c r="T444" s="94"/>
      <c r="U444" s="94"/>
      <c r="V444" s="83"/>
      <c r="W444" s="73" t="str">
        <f t="shared" si="2"/>
        <v/>
      </c>
      <c r="X444" s="73" t="str">
        <f t="shared" si="3"/>
        <v>X</v>
      </c>
      <c r="Y444" s="73" t="str">
        <f t="shared" si="4"/>
        <v/>
      </c>
      <c r="Z444" s="73" t="str">
        <f t="shared" si="5"/>
        <v/>
      </c>
      <c r="AA444" s="73" t="s">
        <v>27</v>
      </c>
      <c r="AB444" s="73" t="str">
        <f t="shared" si="19"/>
        <v>Trim 2</v>
      </c>
      <c r="AC444" s="73">
        <f t="shared" si="7"/>
        <v>0</v>
      </c>
      <c r="AD444" s="73">
        <f t="shared" si="8"/>
        <v>0</v>
      </c>
      <c r="AE444" s="70"/>
      <c r="AF444" s="70"/>
      <c r="AG444" s="70"/>
      <c r="AH444" s="70"/>
      <c r="AI444" s="70"/>
    </row>
    <row r="445" spans="1:35" ht="75">
      <c r="A445" s="94" t="s">
        <v>1160</v>
      </c>
      <c r="B445" s="94">
        <v>2</v>
      </c>
      <c r="C445" s="94" t="s">
        <v>1178</v>
      </c>
      <c r="D445" s="96">
        <v>0.1</v>
      </c>
      <c r="E445" s="109">
        <v>44198</v>
      </c>
      <c r="F445" s="94" t="s">
        <v>1179</v>
      </c>
      <c r="G445" s="98">
        <v>1.2500000000000001E-2</v>
      </c>
      <c r="H445" s="94" t="s">
        <v>1180</v>
      </c>
      <c r="I445" s="94" t="s">
        <v>1181</v>
      </c>
      <c r="J445" s="94" t="s">
        <v>1182</v>
      </c>
      <c r="K445" s="94" t="s">
        <v>115</v>
      </c>
      <c r="L445" s="94" t="s">
        <v>507</v>
      </c>
      <c r="M445" s="94" t="s">
        <v>1166</v>
      </c>
      <c r="N445" s="94" t="s">
        <v>41</v>
      </c>
      <c r="O445" s="94" t="s">
        <v>42</v>
      </c>
      <c r="P445" s="94" t="s">
        <v>495</v>
      </c>
      <c r="Q445" s="94" t="s">
        <v>475</v>
      </c>
      <c r="R445" s="94" t="s">
        <v>40</v>
      </c>
      <c r="S445" s="94"/>
      <c r="T445" s="94"/>
      <c r="U445" s="94"/>
      <c r="V445" s="83"/>
      <c r="W445" s="73" t="str">
        <f t="shared" si="2"/>
        <v/>
      </c>
      <c r="X445" s="73" t="str">
        <f t="shared" si="3"/>
        <v/>
      </c>
      <c r="Y445" s="73" t="str">
        <f t="shared" si="4"/>
        <v>X</v>
      </c>
      <c r="Z445" s="73" t="str">
        <f t="shared" si="5"/>
        <v/>
      </c>
      <c r="AA445" s="73" t="s">
        <v>28</v>
      </c>
      <c r="AB445" s="73" t="str">
        <f t="shared" si="19"/>
        <v>Trim 3</v>
      </c>
      <c r="AC445" s="73">
        <f t="shared" si="7"/>
        <v>0</v>
      </c>
      <c r="AD445" s="73">
        <f t="shared" si="8"/>
        <v>0</v>
      </c>
      <c r="AE445" s="70"/>
      <c r="AF445" s="70"/>
      <c r="AG445" s="70"/>
      <c r="AH445" s="70"/>
      <c r="AI445" s="70"/>
    </row>
    <row r="446" spans="1:35" ht="75">
      <c r="A446" s="94" t="s">
        <v>1160</v>
      </c>
      <c r="B446" s="94">
        <v>2</v>
      </c>
      <c r="C446" s="94" t="s">
        <v>1178</v>
      </c>
      <c r="D446" s="96">
        <v>0.1</v>
      </c>
      <c r="E446" s="109">
        <v>44198</v>
      </c>
      <c r="F446" s="94" t="s">
        <v>1179</v>
      </c>
      <c r="G446" s="98">
        <v>1.2500000000000001E-2</v>
      </c>
      <c r="H446" s="94" t="s">
        <v>1180</v>
      </c>
      <c r="I446" s="94" t="s">
        <v>1181</v>
      </c>
      <c r="J446" s="94" t="s">
        <v>1182</v>
      </c>
      <c r="K446" s="94" t="s">
        <v>39</v>
      </c>
      <c r="L446" s="94" t="s">
        <v>507</v>
      </c>
      <c r="M446" s="94" t="s">
        <v>1166</v>
      </c>
      <c r="N446" s="94" t="s">
        <v>41</v>
      </c>
      <c r="O446" s="94" t="s">
        <v>42</v>
      </c>
      <c r="P446" s="94" t="s">
        <v>495</v>
      </c>
      <c r="Q446" s="94" t="s">
        <v>475</v>
      </c>
      <c r="R446" s="94" t="s">
        <v>40</v>
      </c>
      <c r="S446" s="94"/>
      <c r="T446" s="94"/>
      <c r="U446" s="94"/>
      <c r="V446" s="83"/>
      <c r="W446" s="73" t="str">
        <f t="shared" si="2"/>
        <v/>
      </c>
      <c r="X446" s="73" t="str">
        <f t="shared" si="3"/>
        <v/>
      </c>
      <c r="Y446" s="73" t="str">
        <f t="shared" si="4"/>
        <v/>
      </c>
      <c r="Z446" s="73" t="str">
        <f t="shared" si="5"/>
        <v>X</v>
      </c>
      <c r="AA446" s="73" t="s">
        <v>29</v>
      </c>
      <c r="AB446" s="73" t="str">
        <f t="shared" si="19"/>
        <v>Trim 4</v>
      </c>
      <c r="AC446" s="73">
        <f t="shared" si="7"/>
        <v>0</v>
      </c>
      <c r="AD446" s="73">
        <f t="shared" si="8"/>
        <v>0</v>
      </c>
      <c r="AE446" s="70"/>
      <c r="AF446" s="70"/>
      <c r="AG446" s="70"/>
      <c r="AH446" s="70"/>
      <c r="AI446" s="70"/>
    </row>
    <row r="447" spans="1:35" ht="75">
      <c r="A447" s="94" t="s">
        <v>1160</v>
      </c>
      <c r="B447" s="94">
        <v>2</v>
      </c>
      <c r="C447" s="94" t="s">
        <v>1178</v>
      </c>
      <c r="D447" s="96">
        <v>0.1</v>
      </c>
      <c r="E447" s="109">
        <v>44229</v>
      </c>
      <c r="F447" s="94" t="s">
        <v>1183</v>
      </c>
      <c r="G447" s="98">
        <v>1.2500000000000001E-2</v>
      </c>
      <c r="H447" s="94" t="s">
        <v>1180</v>
      </c>
      <c r="I447" s="94" t="s">
        <v>685</v>
      </c>
      <c r="J447" s="94" t="s">
        <v>1184</v>
      </c>
      <c r="K447" s="94" t="s">
        <v>45</v>
      </c>
      <c r="L447" s="94" t="s">
        <v>507</v>
      </c>
      <c r="M447" s="94" t="s">
        <v>1166</v>
      </c>
      <c r="N447" s="94" t="s">
        <v>41</v>
      </c>
      <c r="O447" s="94" t="s">
        <v>42</v>
      </c>
      <c r="P447" s="94" t="s">
        <v>495</v>
      </c>
      <c r="Q447" s="94" t="s">
        <v>475</v>
      </c>
      <c r="R447" s="94" t="s">
        <v>40</v>
      </c>
      <c r="S447" s="98">
        <v>1.2500000000000001E-2</v>
      </c>
      <c r="T447" s="94" t="s">
        <v>1031</v>
      </c>
      <c r="U447" s="94"/>
      <c r="V447" s="83"/>
      <c r="W447" s="73" t="str">
        <f t="shared" si="2"/>
        <v>X</v>
      </c>
      <c r="X447" s="73" t="str">
        <f t="shared" si="3"/>
        <v/>
      </c>
      <c r="Y447" s="73" t="str">
        <f t="shared" si="4"/>
        <v/>
      </c>
      <c r="Z447" s="73" t="str">
        <f t="shared" si="5"/>
        <v/>
      </c>
      <c r="AA447" s="73" t="s">
        <v>26</v>
      </c>
      <c r="AB447" s="73" t="str">
        <f t="shared" si="19"/>
        <v>Trim 1</v>
      </c>
      <c r="AC447" s="73">
        <f t="shared" si="7"/>
        <v>1</v>
      </c>
      <c r="AD447" s="73">
        <f t="shared" si="8"/>
        <v>1</v>
      </c>
      <c r="AE447" s="70"/>
      <c r="AF447" s="70"/>
      <c r="AG447" s="70"/>
      <c r="AH447" s="70"/>
      <c r="AI447" s="70"/>
    </row>
    <row r="448" spans="1:35" ht="75">
      <c r="A448" s="94" t="s">
        <v>1160</v>
      </c>
      <c r="B448" s="94">
        <v>2</v>
      </c>
      <c r="C448" s="94" t="s">
        <v>1178</v>
      </c>
      <c r="D448" s="96">
        <v>0.1</v>
      </c>
      <c r="E448" s="109">
        <v>44229</v>
      </c>
      <c r="F448" s="94" t="s">
        <v>1183</v>
      </c>
      <c r="G448" s="98">
        <v>1.2500000000000001E-2</v>
      </c>
      <c r="H448" s="94" t="s">
        <v>1180</v>
      </c>
      <c r="I448" s="94" t="s">
        <v>685</v>
      </c>
      <c r="J448" s="94" t="s">
        <v>1184</v>
      </c>
      <c r="K448" s="94" t="s">
        <v>111</v>
      </c>
      <c r="L448" s="94" t="s">
        <v>507</v>
      </c>
      <c r="M448" s="94" t="s">
        <v>1166</v>
      </c>
      <c r="N448" s="94" t="s">
        <v>41</v>
      </c>
      <c r="O448" s="94" t="s">
        <v>42</v>
      </c>
      <c r="P448" s="94" t="s">
        <v>495</v>
      </c>
      <c r="Q448" s="94" t="s">
        <v>475</v>
      </c>
      <c r="R448" s="94" t="s">
        <v>40</v>
      </c>
      <c r="S448" s="94"/>
      <c r="T448" s="94"/>
      <c r="U448" s="94"/>
      <c r="V448" s="83"/>
      <c r="W448" s="73" t="str">
        <f t="shared" si="2"/>
        <v/>
      </c>
      <c r="X448" s="73" t="str">
        <f t="shared" si="3"/>
        <v>X</v>
      </c>
      <c r="Y448" s="73" t="str">
        <f t="shared" si="4"/>
        <v/>
      </c>
      <c r="Z448" s="73" t="str">
        <f t="shared" si="5"/>
        <v/>
      </c>
      <c r="AA448" s="73" t="s">
        <v>27</v>
      </c>
      <c r="AB448" s="73" t="str">
        <f t="shared" si="19"/>
        <v>Trim 2</v>
      </c>
      <c r="AC448" s="73">
        <f t="shared" si="7"/>
        <v>0</v>
      </c>
      <c r="AD448" s="73">
        <f t="shared" si="8"/>
        <v>0</v>
      </c>
      <c r="AE448" s="70"/>
      <c r="AF448" s="70"/>
      <c r="AG448" s="70"/>
      <c r="AH448" s="70"/>
      <c r="AI448" s="70"/>
    </row>
    <row r="449" spans="1:35" ht="75">
      <c r="A449" s="94" t="s">
        <v>1160</v>
      </c>
      <c r="B449" s="94">
        <v>2</v>
      </c>
      <c r="C449" s="94" t="s">
        <v>1178</v>
      </c>
      <c r="D449" s="96">
        <v>0.1</v>
      </c>
      <c r="E449" s="109">
        <v>44229</v>
      </c>
      <c r="F449" s="94" t="s">
        <v>1183</v>
      </c>
      <c r="G449" s="98">
        <v>1.2500000000000001E-2</v>
      </c>
      <c r="H449" s="94" t="s">
        <v>1180</v>
      </c>
      <c r="I449" s="94" t="s">
        <v>685</v>
      </c>
      <c r="J449" s="94" t="s">
        <v>1184</v>
      </c>
      <c r="K449" s="94" t="s">
        <v>115</v>
      </c>
      <c r="L449" s="94" t="s">
        <v>507</v>
      </c>
      <c r="M449" s="94" t="s">
        <v>1166</v>
      </c>
      <c r="N449" s="94" t="s">
        <v>41</v>
      </c>
      <c r="O449" s="94" t="s">
        <v>42</v>
      </c>
      <c r="P449" s="94" t="s">
        <v>495</v>
      </c>
      <c r="Q449" s="94" t="s">
        <v>475</v>
      </c>
      <c r="R449" s="94" t="s">
        <v>40</v>
      </c>
      <c r="S449" s="94"/>
      <c r="T449" s="94"/>
      <c r="U449" s="94"/>
      <c r="V449" s="83"/>
      <c r="W449" s="73" t="str">
        <f t="shared" si="2"/>
        <v/>
      </c>
      <c r="X449" s="73" t="str">
        <f t="shared" si="3"/>
        <v/>
      </c>
      <c r="Y449" s="73" t="str">
        <f t="shared" si="4"/>
        <v>X</v>
      </c>
      <c r="Z449" s="73" t="str">
        <f t="shared" si="5"/>
        <v/>
      </c>
      <c r="AA449" s="73" t="s">
        <v>28</v>
      </c>
      <c r="AB449" s="73" t="str">
        <f t="shared" si="19"/>
        <v>Trim 3</v>
      </c>
      <c r="AC449" s="73">
        <f t="shared" si="7"/>
        <v>0</v>
      </c>
      <c r="AD449" s="73">
        <f t="shared" si="8"/>
        <v>0</v>
      </c>
      <c r="AE449" s="70"/>
      <c r="AF449" s="70"/>
      <c r="AG449" s="70"/>
      <c r="AH449" s="70"/>
      <c r="AI449" s="70"/>
    </row>
    <row r="450" spans="1:35" ht="75">
      <c r="A450" s="94" t="s">
        <v>1160</v>
      </c>
      <c r="B450" s="94">
        <v>2</v>
      </c>
      <c r="C450" s="94" t="s">
        <v>1178</v>
      </c>
      <c r="D450" s="96">
        <v>0.1</v>
      </c>
      <c r="E450" s="109">
        <v>44229</v>
      </c>
      <c r="F450" s="94" t="s">
        <v>1183</v>
      </c>
      <c r="G450" s="98">
        <v>1.2500000000000001E-2</v>
      </c>
      <c r="H450" s="94" t="s">
        <v>1180</v>
      </c>
      <c r="I450" s="94" t="s">
        <v>685</v>
      </c>
      <c r="J450" s="94" t="s">
        <v>1184</v>
      </c>
      <c r="K450" s="94" t="s">
        <v>39</v>
      </c>
      <c r="L450" s="94" t="s">
        <v>507</v>
      </c>
      <c r="M450" s="94" t="s">
        <v>1166</v>
      </c>
      <c r="N450" s="94" t="s">
        <v>41</v>
      </c>
      <c r="O450" s="94" t="s">
        <v>42</v>
      </c>
      <c r="P450" s="94" t="s">
        <v>495</v>
      </c>
      <c r="Q450" s="94" t="s">
        <v>475</v>
      </c>
      <c r="R450" s="94" t="s">
        <v>40</v>
      </c>
      <c r="S450" s="94"/>
      <c r="T450" s="94"/>
      <c r="U450" s="94"/>
      <c r="V450" s="83"/>
      <c r="W450" s="73" t="str">
        <f t="shared" si="2"/>
        <v/>
      </c>
      <c r="X450" s="73" t="str">
        <f t="shared" si="3"/>
        <v/>
      </c>
      <c r="Y450" s="73" t="str">
        <f t="shared" si="4"/>
        <v/>
      </c>
      <c r="Z450" s="73" t="str">
        <f t="shared" si="5"/>
        <v>X</v>
      </c>
      <c r="AA450" s="73" t="s">
        <v>29</v>
      </c>
      <c r="AB450" s="73" t="str">
        <f t="shared" si="19"/>
        <v>Trim 4</v>
      </c>
      <c r="AC450" s="73">
        <f t="shared" si="7"/>
        <v>0</v>
      </c>
      <c r="AD450" s="73">
        <f t="shared" si="8"/>
        <v>0</v>
      </c>
      <c r="AE450" s="70"/>
      <c r="AF450" s="70"/>
      <c r="AG450" s="70"/>
      <c r="AH450" s="70"/>
      <c r="AI450" s="70"/>
    </row>
    <row r="451" spans="1:35" ht="75">
      <c r="A451" s="94" t="s">
        <v>1160</v>
      </c>
      <c r="B451" s="94">
        <v>3</v>
      </c>
      <c r="C451" s="94" t="s">
        <v>1185</v>
      </c>
      <c r="D451" s="96">
        <v>0.15</v>
      </c>
      <c r="E451" s="109">
        <v>44199</v>
      </c>
      <c r="F451" s="94" t="s">
        <v>1186</v>
      </c>
      <c r="G451" s="98">
        <v>0</v>
      </c>
      <c r="H451" s="94" t="s">
        <v>1180</v>
      </c>
      <c r="I451" s="94" t="s">
        <v>685</v>
      </c>
      <c r="J451" s="94" t="s">
        <v>1165</v>
      </c>
      <c r="K451" s="94" t="s">
        <v>45</v>
      </c>
      <c r="L451" s="94" t="s">
        <v>507</v>
      </c>
      <c r="M451" s="94" t="s">
        <v>1166</v>
      </c>
      <c r="N451" s="94" t="s">
        <v>41</v>
      </c>
      <c r="O451" s="94" t="s">
        <v>42</v>
      </c>
      <c r="P451" s="94" t="s">
        <v>495</v>
      </c>
      <c r="Q451" s="94" t="s">
        <v>475</v>
      </c>
      <c r="R451" s="94" t="s">
        <v>40</v>
      </c>
      <c r="S451" s="98">
        <v>0</v>
      </c>
      <c r="T451" s="94" t="s">
        <v>45</v>
      </c>
      <c r="U451" s="94"/>
      <c r="V451" s="83"/>
      <c r="W451" s="73" t="str">
        <f t="shared" si="2"/>
        <v>X</v>
      </c>
      <c r="X451" s="73" t="str">
        <f t="shared" si="3"/>
        <v/>
      </c>
      <c r="Y451" s="73" t="str">
        <f t="shared" si="4"/>
        <v/>
      </c>
      <c r="Z451" s="73" t="str">
        <f t="shared" si="5"/>
        <v/>
      </c>
      <c r="AA451" s="73" t="s">
        <v>26</v>
      </c>
      <c r="AB451" s="73" t="str">
        <f t="shared" si="19"/>
        <v>Trim 1</v>
      </c>
      <c r="AC451" s="73">
        <f t="shared" si="7"/>
        <v>1</v>
      </c>
      <c r="AD451" s="73">
        <f t="shared" si="8"/>
        <v>1</v>
      </c>
      <c r="AE451" s="70"/>
      <c r="AF451" s="70"/>
      <c r="AG451" s="70"/>
      <c r="AH451" s="70"/>
      <c r="AI451" s="70"/>
    </row>
    <row r="452" spans="1:35" ht="75">
      <c r="A452" s="94" t="s">
        <v>1160</v>
      </c>
      <c r="B452" s="94">
        <v>3</v>
      </c>
      <c r="C452" s="94" t="s">
        <v>1185</v>
      </c>
      <c r="D452" s="96">
        <v>0.15</v>
      </c>
      <c r="E452" s="109">
        <v>44199</v>
      </c>
      <c r="F452" s="94" t="s">
        <v>1186</v>
      </c>
      <c r="G452" s="98">
        <v>3.0000000000000001E-3</v>
      </c>
      <c r="H452" s="94" t="s">
        <v>1180</v>
      </c>
      <c r="I452" s="94" t="s">
        <v>685</v>
      </c>
      <c r="J452" s="94" t="s">
        <v>1165</v>
      </c>
      <c r="K452" s="94" t="s">
        <v>111</v>
      </c>
      <c r="L452" s="94" t="s">
        <v>507</v>
      </c>
      <c r="M452" s="94" t="s">
        <v>1166</v>
      </c>
      <c r="N452" s="94" t="s">
        <v>41</v>
      </c>
      <c r="O452" s="94" t="s">
        <v>42</v>
      </c>
      <c r="P452" s="94" t="s">
        <v>495</v>
      </c>
      <c r="Q452" s="94" t="s">
        <v>475</v>
      </c>
      <c r="R452" s="94" t="s">
        <v>40</v>
      </c>
      <c r="S452" s="94"/>
      <c r="T452" s="94"/>
      <c r="U452" s="94"/>
      <c r="V452" s="83"/>
      <c r="W452" s="73" t="str">
        <f t="shared" si="2"/>
        <v/>
      </c>
      <c r="X452" s="73" t="str">
        <f t="shared" si="3"/>
        <v>X</v>
      </c>
      <c r="Y452" s="73" t="str">
        <f t="shared" si="4"/>
        <v/>
      </c>
      <c r="Z452" s="73" t="str">
        <f t="shared" si="5"/>
        <v/>
      </c>
      <c r="AA452" s="73" t="s">
        <v>27</v>
      </c>
      <c r="AB452" s="73" t="str">
        <f t="shared" si="19"/>
        <v>Trim 2</v>
      </c>
      <c r="AC452" s="73">
        <f t="shared" si="7"/>
        <v>0</v>
      </c>
      <c r="AD452" s="73">
        <f t="shared" si="8"/>
        <v>0</v>
      </c>
      <c r="AE452" s="70"/>
      <c r="AF452" s="70"/>
      <c r="AG452" s="70"/>
      <c r="AH452" s="70"/>
      <c r="AI452" s="70"/>
    </row>
    <row r="453" spans="1:35" ht="75">
      <c r="A453" s="94" t="s">
        <v>1160</v>
      </c>
      <c r="B453" s="94">
        <v>3</v>
      </c>
      <c r="C453" s="94" t="s">
        <v>1185</v>
      </c>
      <c r="D453" s="96">
        <v>0.15</v>
      </c>
      <c r="E453" s="109">
        <v>44199</v>
      </c>
      <c r="F453" s="94" t="s">
        <v>1186</v>
      </c>
      <c r="G453" s="98">
        <v>1.35E-2</v>
      </c>
      <c r="H453" s="94" t="s">
        <v>1180</v>
      </c>
      <c r="I453" s="94" t="s">
        <v>685</v>
      </c>
      <c r="J453" s="94" t="s">
        <v>1165</v>
      </c>
      <c r="K453" s="94" t="s">
        <v>115</v>
      </c>
      <c r="L453" s="94" t="s">
        <v>507</v>
      </c>
      <c r="M453" s="94" t="s">
        <v>1166</v>
      </c>
      <c r="N453" s="94" t="s">
        <v>41</v>
      </c>
      <c r="O453" s="94" t="s">
        <v>42</v>
      </c>
      <c r="P453" s="94" t="s">
        <v>495</v>
      </c>
      <c r="Q453" s="94" t="s">
        <v>475</v>
      </c>
      <c r="R453" s="94" t="s">
        <v>40</v>
      </c>
      <c r="S453" s="94"/>
      <c r="T453" s="94"/>
      <c r="U453" s="94"/>
      <c r="V453" s="83"/>
      <c r="W453" s="73" t="str">
        <f t="shared" si="2"/>
        <v/>
      </c>
      <c r="X453" s="73" t="str">
        <f t="shared" si="3"/>
        <v/>
      </c>
      <c r="Y453" s="73" t="str">
        <f t="shared" si="4"/>
        <v>X</v>
      </c>
      <c r="Z453" s="73" t="str">
        <f t="shared" si="5"/>
        <v/>
      </c>
      <c r="AA453" s="73" t="s">
        <v>28</v>
      </c>
      <c r="AB453" s="73" t="str">
        <f t="shared" si="19"/>
        <v>Trim 3</v>
      </c>
      <c r="AC453" s="73">
        <f t="shared" si="7"/>
        <v>0</v>
      </c>
      <c r="AD453" s="73">
        <f t="shared" si="8"/>
        <v>0</v>
      </c>
      <c r="AE453" s="70"/>
      <c r="AF453" s="70"/>
      <c r="AG453" s="70"/>
      <c r="AH453" s="70"/>
      <c r="AI453" s="70"/>
    </row>
    <row r="454" spans="1:35" ht="75">
      <c r="A454" s="94" t="s">
        <v>1160</v>
      </c>
      <c r="B454" s="94">
        <v>3</v>
      </c>
      <c r="C454" s="94" t="s">
        <v>1185</v>
      </c>
      <c r="D454" s="96">
        <v>0.15</v>
      </c>
      <c r="E454" s="109">
        <v>44199</v>
      </c>
      <c r="F454" s="94" t="s">
        <v>1186</v>
      </c>
      <c r="G454" s="98">
        <v>1.35E-2</v>
      </c>
      <c r="H454" s="94" t="s">
        <v>1180</v>
      </c>
      <c r="I454" s="94" t="s">
        <v>685</v>
      </c>
      <c r="J454" s="94" t="s">
        <v>1165</v>
      </c>
      <c r="K454" s="94" t="s">
        <v>39</v>
      </c>
      <c r="L454" s="94" t="s">
        <v>507</v>
      </c>
      <c r="M454" s="94" t="s">
        <v>1166</v>
      </c>
      <c r="N454" s="94" t="s">
        <v>41</v>
      </c>
      <c r="O454" s="94" t="s">
        <v>42</v>
      </c>
      <c r="P454" s="94" t="s">
        <v>495</v>
      </c>
      <c r="Q454" s="94" t="s">
        <v>475</v>
      </c>
      <c r="R454" s="94" t="s">
        <v>40</v>
      </c>
      <c r="S454" s="94"/>
      <c r="T454" s="94"/>
      <c r="U454" s="94"/>
      <c r="V454" s="83"/>
      <c r="W454" s="73" t="str">
        <f t="shared" si="2"/>
        <v/>
      </c>
      <c r="X454" s="73" t="str">
        <f t="shared" si="3"/>
        <v/>
      </c>
      <c r="Y454" s="73" t="str">
        <f t="shared" si="4"/>
        <v/>
      </c>
      <c r="Z454" s="73" t="str">
        <f t="shared" si="5"/>
        <v>X</v>
      </c>
      <c r="AA454" s="73" t="s">
        <v>29</v>
      </c>
      <c r="AB454" s="73" t="str">
        <f t="shared" si="19"/>
        <v>Trim 4</v>
      </c>
      <c r="AC454" s="73">
        <f t="shared" si="7"/>
        <v>0</v>
      </c>
      <c r="AD454" s="73">
        <f t="shared" si="8"/>
        <v>0</v>
      </c>
      <c r="AE454" s="70"/>
      <c r="AF454" s="70"/>
      <c r="AG454" s="70"/>
      <c r="AH454" s="70"/>
      <c r="AI454" s="70"/>
    </row>
    <row r="455" spans="1:35" ht="75">
      <c r="A455" s="94" t="s">
        <v>1160</v>
      </c>
      <c r="B455" s="94">
        <v>3</v>
      </c>
      <c r="C455" s="94" t="s">
        <v>1185</v>
      </c>
      <c r="D455" s="96">
        <v>0.15</v>
      </c>
      <c r="E455" s="109">
        <v>44230</v>
      </c>
      <c r="F455" s="94" t="s">
        <v>1187</v>
      </c>
      <c r="G455" s="98">
        <v>7.4999999999999997E-3</v>
      </c>
      <c r="H455" s="94" t="s">
        <v>1180</v>
      </c>
      <c r="I455" s="94" t="s">
        <v>685</v>
      </c>
      <c r="J455" s="94" t="s">
        <v>1168</v>
      </c>
      <c r="K455" s="94" t="s">
        <v>45</v>
      </c>
      <c r="L455" s="94" t="s">
        <v>507</v>
      </c>
      <c r="M455" s="94" t="s">
        <v>1166</v>
      </c>
      <c r="N455" s="94" t="s">
        <v>41</v>
      </c>
      <c r="O455" s="94" t="s">
        <v>42</v>
      </c>
      <c r="P455" s="94" t="s">
        <v>495</v>
      </c>
      <c r="Q455" s="94" t="s">
        <v>475</v>
      </c>
      <c r="R455" s="94" t="s">
        <v>40</v>
      </c>
      <c r="S455" s="98">
        <v>2.3E-3</v>
      </c>
      <c r="T455" s="94" t="s">
        <v>45</v>
      </c>
      <c r="U455" s="94"/>
      <c r="V455" s="83"/>
      <c r="W455" s="73" t="str">
        <f t="shared" si="2"/>
        <v>X</v>
      </c>
      <c r="X455" s="73" t="str">
        <f t="shared" si="3"/>
        <v/>
      </c>
      <c r="Y455" s="73" t="str">
        <f t="shared" si="4"/>
        <v/>
      </c>
      <c r="Z455" s="73" t="str">
        <f t="shared" si="5"/>
        <v/>
      </c>
      <c r="AA455" s="73" t="s">
        <v>26</v>
      </c>
      <c r="AB455" s="73" t="str">
        <f t="shared" si="19"/>
        <v>Trim 1</v>
      </c>
      <c r="AC455" s="73">
        <f t="shared" si="7"/>
        <v>0</v>
      </c>
      <c r="AD455" s="73">
        <f t="shared" si="8"/>
        <v>1</v>
      </c>
      <c r="AE455" s="70"/>
      <c r="AF455" s="70"/>
      <c r="AG455" s="70"/>
      <c r="AH455" s="70"/>
      <c r="AI455" s="70"/>
    </row>
    <row r="456" spans="1:35" ht="75">
      <c r="A456" s="94" t="s">
        <v>1160</v>
      </c>
      <c r="B456" s="94">
        <v>3</v>
      </c>
      <c r="C456" s="94" t="s">
        <v>1185</v>
      </c>
      <c r="D456" s="96">
        <v>0.15</v>
      </c>
      <c r="E456" s="109">
        <v>44230</v>
      </c>
      <c r="F456" s="94" t="s">
        <v>1187</v>
      </c>
      <c r="G456" s="98">
        <v>7.4999999999999997E-3</v>
      </c>
      <c r="H456" s="94" t="s">
        <v>1180</v>
      </c>
      <c r="I456" s="94" t="s">
        <v>685</v>
      </c>
      <c r="J456" s="94" t="s">
        <v>1168</v>
      </c>
      <c r="K456" s="94" t="s">
        <v>111</v>
      </c>
      <c r="L456" s="94" t="s">
        <v>507</v>
      </c>
      <c r="M456" s="94" t="s">
        <v>1166</v>
      </c>
      <c r="N456" s="94" t="s">
        <v>41</v>
      </c>
      <c r="O456" s="94" t="s">
        <v>42</v>
      </c>
      <c r="P456" s="94" t="s">
        <v>495</v>
      </c>
      <c r="Q456" s="94" t="s">
        <v>475</v>
      </c>
      <c r="R456" s="94" t="s">
        <v>40</v>
      </c>
      <c r="S456" s="112"/>
      <c r="T456" s="106"/>
      <c r="U456" s="94"/>
      <c r="V456" s="83"/>
      <c r="W456" s="73" t="str">
        <f t="shared" si="2"/>
        <v/>
      </c>
      <c r="X456" s="73" t="str">
        <f t="shared" si="3"/>
        <v>X</v>
      </c>
      <c r="Y456" s="73" t="str">
        <f t="shared" si="4"/>
        <v/>
      </c>
      <c r="Z456" s="73" t="str">
        <f t="shared" si="5"/>
        <v/>
      </c>
      <c r="AA456" s="73" t="s">
        <v>27</v>
      </c>
      <c r="AB456" s="73" t="str">
        <f t="shared" si="19"/>
        <v>Trim 2</v>
      </c>
      <c r="AC456" s="73">
        <f t="shared" si="7"/>
        <v>0</v>
      </c>
      <c r="AD456" s="73">
        <f t="shared" si="8"/>
        <v>0</v>
      </c>
      <c r="AE456" s="70"/>
      <c r="AF456" s="70"/>
      <c r="AG456" s="70"/>
      <c r="AH456" s="70"/>
      <c r="AI456" s="70"/>
    </row>
    <row r="457" spans="1:35" ht="45">
      <c r="A457" s="94" t="s">
        <v>1160</v>
      </c>
      <c r="B457" s="94">
        <v>3</v>
      </c>
      <c r="C457" s="94" t="s">
        <v>1185</v>
      </c>
      <c r="D457" s="96">
        <v>0.15</v>
      </c>
      <c r="E457" s="109">
        <v>44230</v>
      </c>
      <c r="F457" s="94" t="s">
        <v>1187</v>
      </c>
      <c r="G457" s="98">
        <v>7.4999999999999997E-3</v>
      </c>
      <c r="H457" s="94" t="s">
        <v>1180</v>
      </c>
      <c r="I457" s="94" t="s">
        <v>685</v>
      </c>
      <c r="J457" s="94" t="s">
        <v>1168</v>
      </c>
      <c r="K457" s="94" t="s">
        <v>115</v>
      </c>
      <c r="L457" s="94"/>
      <c r="M457" s="94"/>
      <c r="N457" s="94"/>
      <c r="O457" s="94"/>
      <c r="P457" s="94"/>
      <c r="Q457" s="94"/>
      <c r="R457" s="94"/>
      <c r="S457" s="98"/>
      <c r="T457" s="94"/>
      <c r="U457" s="94"/>
      <c r="V457" s="83"/>
      <c r="W457" s="73" t="str">
        <f t="shared" si="2"/>
        <v/>
      </c>
      <c r="X457" s="73" t="str">
        <f t="shared" si="3"/>
        <v/>
      </c>
      <c r="Y457" s="73" t="str">
        <f t="shared" si="4"/>
        <v>X</v>
      </c>
      <c r="Z457" s="73" t="str">
        <f t="shared" si="5"/>
        <v/>
      </c>
      <c r="AA457" s="73" t="s">
        <v>28</v>
      </c>
      <c r="AB457" s="73" t="str">
        <f t="shared" si="19"/>
        <v>Trim 3</v>
      </c>
      <c r="AC457" s="73">
        <f t="shared" si="7"/>
        <v>0</v>
      </c>
      <c r="AD457" s="73">
        <f t="shared" si="8"/>
        <v>0</v>
      </c>
      <c r="AE457" s="70"/>
      <c r="AF457" s="70"/>
      <c r="AG457" s="70"/>
      <c r="AH457" s="70"/>
      <c r="AI457" s="70"/>
    </row>
    <row r="458" spans="1:35" ht="45">
      <c r="A458" s="94" t="s">
        <v>1160</v>
      </c>
      <c r="B458" s="94">
        <v>3</v>
      </c>
      <c r="C458" s="94" t="s">
        <v>1185</v>
      </c>
      <c r="D458" s="96">
        <v>0.15</v>
      </c>
      <c r="E458" s="109">
        <v>44230</v>
      </c>
      <c r="F458" s="94" t="s">
        <v>1187</v>
      </c>
      <c r="G458" s="98">
        <v>7.4999999999999997E-3</v>
      </c>
      <c r="H458" s="94" t="s">
        <v>1180</v>
      </c>
      <c r="I458" s="94" t="s">
        <v>685</v>
      </c>
      <c r="J458" s="94" t="s">
        <v>1168</v>
      </c>
      <c r="K458" s="94" t="s">
        <v>39</v>
      </c>
      <c r="L458" s="94"/>
      <c r="M458" s="94"/>
      <c r="N458" s="94"/>
      <c r="O458" s="94"/>
      <c r="P458" s="94"/>
      <c r="Q458" s="94"/>
      <c r="R458" s="94"/>
      <c r="S458" s="98"/>
      <c r="T458" s="94"/>
      <c r="U458" s="94"/>
      <c r="V458" s="83"/>
      <c r="W458" s="73" t="str">
        <f t="shared" si="2"/>
        <v/>
      </c>
      <c r="X458" s="73" t="str">
        <f t="shared" si="3"/>
        <v/>
      </c>
      <c r="Y458" s="73" t="str">
        <f t="shared" si="4"/>
        <v/>
      </c>
      <c r="Z458" s="73" t="str">
        <f t="shared" si="5"/>
        <v>X</v>
      </c>
      <c r="AA458" s="73" t="s">
        <v>29</v>
      </c>
      <c r="AB458" s="73" t="str">
        <f t="shared" si="19"/>
        <v>Trim 4</v>
      </c>
      <c r="AC458" s="73">
        <f t="shared" si="7"/>
        <v>0</v>
      </c>
      <c r="AD458" s="73">
        <f t="shared" si="8"/>
        <v>0</v>
      </c>
      <c r="AE458" s="70"/>
      <c r="AF458" s="70"/>
      <c r="AG458" s="70"/>
      <c r="AH458" s="70"/>
      <c r="AI458" s="70"/>
    </row>
    <row r="459" spans="1:35" ht="75">
      <c r="A459" s="94" t="s">
        <v>1160</v>
      </c>
      <c r="B459" s="94">
        <v>3</v>
      </c>
      <c r="C459" s="94" t="s">
        <v>1185</v>
      </c>
      <c r="D459" s="96">
        <v>0.15</v>
      </c>
      <c r="E459" s="109">
        <v>44258</v>
      </c>
      <c r="F459" s="94" t="s">
        <v>1188</v>
      </c>
      <c r="G459" s="98">
        <v>5.0000000000000001E-3</v>
      </c>
      <c r="H459" s="94" t="s">
        <v>1180</v>
      </c>
      <c r="I459" s="94" t="s">
        <v>685</v>
      </c>
      <c r="J459" s="94" t="s">
        <v>1174</v>
      </c>
      <c r="K459" s="94" t="s">
        <v>45</v>
      </c>
      <c r="L459" s="94" t="s">
        <v>507</v>
      </c>
      <c r="M459" s="94" t="s">
        <v>1166</v>
      </c>
      <c r="N459" s="94" t="s">
        <v>41</v>
      </c>
      <c r="O459" s="94" t="s">
        <v>42</v>
      </c>
      <c r="P459" s="94" t="s">
        <v>495</v>
      </c>
      <c r="Q459" s="94" t="s">
        <v>475</v>
      </c>
      <c r="R459" s="94" t="s">
        <v>40</v>
      </c>
      <c r="S459" s="98">
        <v>2.5000000000000001E-3</v>
      </c>
      <c r="T459" s="94" t="s">
        <v>1031</v>
      </c>
      <c r="U459" s="94"/>
      <c r="V459" s="83"/>
      <c r="W459" s="73" t="str">
        <f t="shared" si="2"/>
        <v>X</v>
      </c>
      <c r="X459" s="73" t="str">
        <f t="shared" si="3"/>
        <v/>
      </c>
      <c r="Y459" s="73" t="str">
        <f t="shared" si="4"/>
        <v/>
      </c>
      <c r="Z459" s="73" t="str">
        <f t="shared" si="5"/>
        <v/>
      </c>
      <c r="AA459" s="73" t="s">
        <v>26</v>
      </c>
      <c r="AB459" s="73" t="str">
        <f t="shared" si="19"/>
        <v>Trim 1</v>
      </c>
      <c r="AC459" s="73">
        <f t="shared" si="7"/>
        <v>0</v>
      </c>
      <c r="AD459" s="73">
        <f t="shared" si="8"/>
        <v>1</v>
      </c>
      <c r="AE459" s="70"/>
      <c r="AF459" s="70"/>
      <c r="AG459" s="70"/>
      <c r="AH459" s="70"/>
      <c r="AI459" s="70"/>
    </row>
    <row r="460" spans="1:35" ht="75">
      <c r="A460" s="94" t="s">
        <v>1160</v>
      </c>
      <c r="B460" s="94">
        <v>3</v>
      </c>
      <c r="C460" s="94" t="s">
        <v>1185</v>
      </c>
      <c r="D460" s="96">
        <v>0.15</v>
      </c>
      <c r="E460" s="109">
        <v>44258</v>
      </c>
      <c r="F460" s="94" t="s">
        <v>1188</v>
      </c>
      <c r="G460" s="98">
        <v>5.0000000000000001E-3</v>
      </c>
      <c r="H460" s="94" t="s">
        <v>1180</v>
      </c>
      <c r="I460" s="94" t="s">
        <v>685</v>
      </c>
      <c r="J460" s="94" t="s">
        <v>1174</v>
      </c>
      <c r="K460" s="94" t="s">
        <v>111</v>
      </c>
      <c r="L460" s="94" t="s">
        <v>507</v>
      </c>
      <c r="M460" s="94" t="s">
        <v>1166</v>
      </c>
      <c r="N460" s="94" t="s">
        <v>41</v>
      </c>
      <c r="O460" s="94" t="s">
        <v>42</v>
      </c>
      <c r="P460" s="94" t="s">
        <v>495</v>
      </c>
      <c r="Q460" s="94" t="s">
        <v>475</v>
      </c>
      <c r="R460" s="94" t="s">
        <v>40</v>
      </c>
      <c r="S460" s="94"/>
      <c r="T460" s="94"/>
      <c r="U460" s="94"/>
      <c r="V460" s="83"/>
      <c r="W460" s="73" t="str">
        <f t="shared" si="2"/>
        <v/>
      </c>
      <c r="X460" s="73" t="str">
        <f t="shared" si="3"/>
        <v>X</v>
      </c>
      <c r="Y460" s="73" t="str">
        <f t="shared" si="4"/>
        <v/>
      </c>
      <c r="Z460" s="73" t="str">
        <f t="shared" si="5"/>
        <v/>
      </c>
      <c r="AA460" s="73" t="s">
        <v>27</v>
      </c>
      <c r="AB460" s="73" t="str">
        <f t="shared" si="19"/>
        <v>Trim 2</v>
      </c>
      <c r="AC460" s="73">
        <f t="shared" si="7"/>
        <v>0</v>
      </c>
      <c r="AD460" s="73">
        <f t="shared" si="8"/>
        <v>0</v>
      </c>
      <c r="AE460" s="70"/>
      <c r="AF460" s="70"/>
      <c r="AG460" s="70"/>
      <c r="AH460" s="70"/>
      <c r="AI460" s="70"/>
    </row>
    <row r="461" spans="1:35" ht="75">
      <c r="A461" s="94" t="s">
        <v>1160</v>
      </c>
      <c r="B461" s="94">
        <v>3</v>
      </c>
      <c r="C461" s="94" t="s">
        <v>1185</v>
      </c>
      <c r="D461" s="96">
        <v>0.15</v>
      </c>
      <c r="E461" s="109">
        <v>44258</v>
      </c>
      <c r="F461" s="94" t="s">
        <v>1188</v>
      </c>
      <c r="G461" s="98">
        <v>5.0000000000000001E-3</v>
      </c>
      <c r="H461" s="94" t="s">
        <v>1180</v>
      </c>
      <c r="I461" s="94" t="s">
        <v>685</v>
      </c>
      <c r="J461" s="94" t="s">
        <v>1174</v>
      </c>
      <c r="K461" s="94" t="s">
        <v>115</v>
      </c>
      <c r="L461" s="94" t="s">
        <v>507</v>
      </c>
      <c r="M461" s="94" t="s">
        <v>1166</v>
      </c>
      <c r="N461" s="94" t="s">
        <v>41</v>
      </c>
      <c r="O461" s="94" t="s">
        <v>42</v>
      </c>
      <c r="P461" s="94" t="s">
        <v>495</v>
      </c>
      <c r="Q461" s="94" t="s">
        <v>475</v>
      </c>
      <c r="R461" s="94" t="s">
        <v>40</v>
      </c>
      <c r="S461" s="94"/>
      <c r="T461" s="94"/>
      <c r="U461" s="94"/>
      <c r="V461" s="83"/>
      <c r="W461" s="73" t="str">
        <f t="shared" si="2"/>
        <v/>
      </c>
      <c r="X461" s="73" t="str">
        <f t="shared" si="3"/>
        <v/>
      </c>
      <c r="Y461" s="73" t="str">
        <f t="shared" si="4"/>
        <v>X</v>
      </c>
      <c r="Z461" s="73" t="str">
        <f t="shared" si="5"/>
        <v/>
      </c>
      <c r="AA461" s="73" t="s">
        <v>28</v>
      </c>
      <c r="AB461" s="73" t="str">
        <f t="shared" si="19"/>
        <v>Trim 3</v>
      </c>
      <c r="AC461" s="73">
        <f t="shared" si="7"/>
        <v>0</v>
      </c>
      <c r="AD461" s="73">
        <f t="shared" si="8"/>
        <v>0</v>
      </c>
      <c r="AE461" s="70"/>
      <c r="AF461" s="70"/>
      <c r="AG461" s="70"/>
      <c r="AH461" s="70"/>
      <c r="AI461" s="70"/>
    </row>
    <row r="462" spans="1:35" ht="75">
      <c r="A462" s="94" t="s">
        <v>1160</v>
      </c>
      <c r="B462" s="94">
        <v>3</v>
      </c>
      <c r="C462" s="94" t="s">
        <v>1185</v>
      </c>
      <c r="D462" s="96">
        <v>0.15</v>
      </c>
      <c r="E462" s="109">
        <v>44258</v>
      </c>
      <c r="F462" s="94" t="s">
        <v>1188</v>
      </c>
      <c r="G462" s="98">
        <v>1.4999999999999999E-2</v>
      </c>
      <c r="H462" s="94" t="s">
        <v>1180</v>
      </c>
      <c r="I462" s="94" t="s">
        <v>685</v>
      </c>
      <c r="J462" s="94" t="s">
        <v>1174</v>
      </c>
      <c r="K462" s="94" t="s">
        <v>39</v>
      </c>
      <c r="L462" s="94" t="s">
        <v>507</v>
      </c>
      <c r="M462" s="94" t="s">
        <v>1166</v>
      </c>
      <c r="N462" s="94" t="s">
        <v>41</v>
      </c>
      <c r="O462" s="94" t="s">
        <v>42</v>
      </c>
      <c r="P462" s="94" t="s">
        <v>495</v>
      </c>
      <c r="Q462" s="94" t="s">
        <v>475</v>
      </c>
      <c r="R462" s="94" t="s">
        <v>40</v>
      </c>
      <c r="S462" s="94"/>
      <c r="T462" s="94"/>
      <c r="U462" s="94"/>
      <c r="V462" s="83"/>
      <c r="W462" s="73" t="str">
        <f t="shared" si="2"/>
        <v/>
      </c>
      <c r="X462" s="73" t="str">
        <f t="shared" si="3"/>
        <v/>
      </c>
      <c r="Y462" s="73" t="str">
        <f t="shared" si="4"/>
        <v/>
      </c>
      <c r="Z462" s="73" t="str">
        <f t="shared" si="5"/>
        <v>X</v>
      </c>
      <c r="AA462" s="73" t="s">
        <v>29</v>
      </c>
      <c r="AB462" s="73" t="str">
        <f t="shared" si="19"/>
        <v>Trim 4</v>
      </c>
      <c r="AC462" s="73">
        <f t="shared" si="7"/>
        <v>0</v>
      </c>
      <c r="AD462" s="73">
        <f t="shared" si="8"/>
        <v>0</v>
      </c>
      <c r="AE462" s="70"/>
      <c r="AF462" s="70"/>
      <c r="AG462" s="70"/>
      <c r="AH462" s="70"/>
      <c r="AI462" s="70"/>
    </row>
    <row r="463" spans="1:35" ht="75">
      <c r="A463" s="94" t="s">
        <v>1160</v>
      </c>
      <c r="B463" s="94">
        <v>3</v>
      </c>
      <c r="C463" s="94" t="s">
        <v>1185</v>
      </c>
      <c r="D463" s="96">
        <v>0.15</v>
      </c>
      <c r="E463" s="109">
        <v>44289</v>
      </c>
      <c r="F463" s="94" t="s">
        <v>1189</v>
      </c>
      <c r="G463" s="98">
        <v>5.0000000000000001E-3</v>
      </c>
      <c r="H463" s="94" t="s">
        <v>1180</v>
      </c>
      <c r="I463" s="94" t="s">
        <v>685</v>
      </c>
      <c r="J463" s="94" t="s">
        <v>1172</v>
      </c>
      <c r="K463" s="94" t="s">
        <v>45</v>
      </c>
      <c r="L463" s="94" t="s">
        <v>507</v>
      </c>
      <c r="M463" s="94" t="s">
        <v>1166</v>
      </c>
      <c r="N463" s="94" t="s">
        <v>41</v>
      </c>
      <c r="O463" s="94" t="s">
        <v>42</v>
      </c>
      <c r="P463" s="94" t="s">
        <v>495</v>
      </c>
      <c r="Q463" s="94" t="s">
        <v>475</v>
      </c>
      <c r="R463" s="94" t="s">
        <v>40</v>
      </c>
      <c r="S463" s="98">
        <v>2.9999999999999997E-4</v>
      </c>
      <c r="T463" s="94" t="s">
        <v>45</v>
      </c>
      <c r="U463" s="94"/>
      <c r="V463" s="83"/>
      <c r="W463" s="73" t="str">
        <f t="shared" si="2"/>
        <v>X</v>
      </c>
      <c r="X463" s="73" t="str">
        <f t="shared" si="3"/>
        <v/>
      </c>
      <c r="Y463" s="73" t="str">
        <f t="shared" si="4"/>
        <v/>
      </c>
      <c r="Z463" s="73" t="str">
        <f t="shared" si="5"/>
        <v/>
      </c>
      <c r="AA463" s="73" t="s">
        <v>26</v>
      </c>
      <c r="AB463" s="73" t="str">
        <f t="shared" si="19"/>
        <v>Trim 1</v>
      </c>
      <c r="AC463" s="73">
        <f t="shared" si="7"/>
        <v>0</v>
      </c>
      <c r="AD463" s="73">
        <f t="shared" si="8"/>
        <v>1</v>
      </c>
      <c r="AE463" s="70"/>
      <c r="AF463" s="70"/>
      <c r="AG463" s="70"/>
      <c r="AH463" s="70"/>
      <c r="AI463" s="70"/>
    </row>
    <row r="464" spans="1:35" ht="75">
      <c r="A464" s="94" t="s">
        <v>1160</v>
      </c>
      <c r="B464" s="94">
        <v>3</v>
      </c>
      <c r="C464" s="94" t="s">
        <v>1185</v>
      </c>
      <c r="D464" s="96">
        <v>0.15</v>
      </c>
      <c r="E464" s="109">
        <v>44289</v>
      </c>
      <c r="F464" s="94" t="s">
        <v>1189</v>
      </c>
      <c r="G464" s="98">
        <v>5.0000000000000001E-3</v>
      </c>
      <c r="H464" s="94" t="s">
        <v>1180</v>
      </c>
      <c r="I464" s="94" t="s">
        <v>685</v>
      </c>
      <c r="J464" s="94" t="s">
        <v>1172</v>
      </c>
      <c r="K464" s="94" t="s">
        <v>111</v>
      </c>
      <c r="L464" s="94" t="s">
        <v>507</v>
      </c>
      <c r="M464" s="94" t="s">
        <v>1166</v>
      </c>
      <c r="N464" s="94" t="s">
        <v>41</v>
      </c>
      <c r="O464" s="94" t="s">
        <v>42</v>
      </c>
      <c r="P464" s="94" t="s">
        <v>495</v>
      </c>
      <c r="Q464" s="94" t="s">
        <v>475</v>
      </c>
      <c r="R464" s="94" t="s">
        <v>40</v>
      </c>
      <c r="S464" s="94"/>
      <c r="T464" s="94"/>
      <c r="U464" s="94"/>
      <c r="V464" s="83"/>
      <c r="W464" s="73" t="str">
        <f t="shared" si="2"/>
        <v/>
      </c>
      <c r="X464" s="73" t="str">
        <f t="shared" si="3"/>
        <v>X</v>
      </c>
      <c r="Y464" s="73" t="str">
        <f t="shared" si="4"/>
        <v/>
      </c>
      <c r="Z464" s="73" t="str">
        <f t="shared" si="5"/>
        <v/>
      </c>
      <c r="AA464" s="73" t="s">
        <v>27</v>
      </c>
      <c r="AB464" s="73" t="str">
        <f t="shared" si="19"/>
        <v>Trim 2</v>
      </c>
      <c r="AC464" s="73">
        <f t="shared" si="7"/>
        <v>0</v>
      </c>
      <c r="AD464" s="73">
        <f t="shared" si="8"/>
        <v>0</v>
      </c>
      <c r="AE464" s="70"/>
      <c r="AF464" s="70"/>
      <c r="AG464" s="70"/>
      <c r="AH464" s="70"/>
      <c r="AI464" s="70"/>
    </row>
    <row r="465" spans="1:35" ht="75">
      <c r="A465" s="94" t="s">
        <v>1160</v>
      </c>
      <c r="B465" s="94">
        <v>3</v>
      </c>
      <c r="C465" s="94" t="s">
        <v>1185</v>
      </c>
      <c r="D465" s="96">
        <v>0.15</v>
      </c>
      <c r="E465" s="109">
        <v>44289</v>
      </c>
      <c r="F465" s="94" t="s">
        <v>1189</v>
      </c>
      <c r="G465" s="98">
        <v>5.0000000000000001E-3</v>
      </c>
      <c r="H465" s="94" t="s">
        <v>1180</v>
      </c>
      <c r="I465" s="94" t="s">
        <v>685</v>
      </c>
      <c r="J465" s="94" t="s">
        <v>1172</v>
      </c>
      <c r="K465" s="94" t="s">
        <v>115</v>
      </c>
      <c r="L465" s="94" t="s">
        <v>507</v>
      </c>
      <c r="M465" s="94" t="s">
        <v>1166</v>
      </c>
      <c r="N465" s="94" t="s">
        <v>41</v>
      </c>
      <c r="O465" s="94" t="s">
        <v>42</v>
      </c>
      <c r="P465" s="94" t="s">
        <v>495</v>
      </c>
      <c r="Q465" s="94" t="s">
        <v>475</v>
      </c>
      <c r="R465" s="94" t="s">
        <v>40</v>
      </c>
      <c r="S465" s="94"/>
      <c r="T465" s="94"/>
      <c r="U465" s="94"/>
      <c r="V465" s="83"/>
      <c r="W465" s="73" t="str">
        <f t="shared" si="2"/>
        <v/>
      </c>
      <c r="X465" s="73" t="str">
        <f t="shared" si="3"/>
        <v/>
      </c>
      <c r="Y465" s="73" t="str">
        <f t="shared" si="4"/>
        <v>X</v>
      </c>
      <c r="Z465" s="73" t="str">
        <f t="shared" si="5"/>
        <v/>
      </c>
      <c r="AA465" s="73" t="s">
        <v>28</v>
      </c>
      <c r="AB465" s="73" t="str">
        <f t="shared" si="19"/>
        <v>Trim 3</v>
      </c>
      <c r="AC465" s="73">
        <f t="shared" si="7"/>
        <v>0</v>
      </c>
      <c r="AD465" s="73">
        <f t="shared" si="8"/>
        <v>0</v>
      </c>
      <c r="AE465" s="70"/>
      <c r="AF465" s="70"/>
      <c r="AG465" s="70"/>
      <c r="AH465" s="70"/>
      <c r="AI465" s="70"/>
    </row>
    <row r="466" spans="1:35" ht="75">
      <c r="A466" s="94" t="s">
        <v>1160</v>
      </c>
      <c r="B466" s="94">
        <v>3</v>
      </c>
      <c r="C466" s="94" t="s">
        <v>1185</v>
      </c>
      <c r="D466" s="96">
        <v>0.15</v>
      </c>
      <c r="E466" s="109">
        <v>44289</v>
      </c>
      <c r="F466" s="94" t="s">
        <v>1189</v>
      </c>
      <c r="G466" s="98">
        <v>1.4999999999999999E-2</v>
      </c>
      <c r="H466" s="94" t="s">
        <v>1180</v>
      </c>
      <c r="I466" s="94" t="s">
        <v>685</v>
      </c>
      <c r="J466" s="94" t="s">
        <v>1172</v>
      </c>
      <c r="K466" s="94" t="s">
        <v>39</v>
      </c>
      <c r="L466" s="94" t="s">
        <v>507</v>
      </c>
      <c r="M466" s="94" t="s">
        <v>1166</v>
      </c>
      <c r="N466" s="94" t="s">
        <v>41</v>
      </c>
      <c r="O466" s="94" t="s">
        <v>42</v>
      </c>
      <c r="P466" s="94" t="s">
        <v>495</v>
      </c>
      <c r="Q466" s="94" t="s">
        <v>475</v>
      </c>
      <c r="R466" s="94" t="s">
        <v>40</v>
      </c>
      <c r="S466" s="94"/>
      <c r="T466" s="94"/>
      <c r="U466" s="94"/>
      <c r="V466" s="83"/>
      <c r="W466" s="73" t="str">
        <f t="shared" si="2"/>
        <v/>
      </c>
      <c r="X466" s="73" t="str">
        <f t="shared" si="3"/>
        <v/>
      </c>
      <c r="Y466" s="73" t="str">
        <f t="shared" si="4"/>
        <v/>
      </c>
      <c r="Z466" s="73" t="str">
        <f t="shared" si="5"/>
        <v>X</v>
      </c>
      <c r="AA466" s="73" t="s">
        <v>29</v>
      </c>
      <c r="AB466" s="73" t="str">
        <f t="shared" si="19"/>
        <v>Trim 4</v>
      </c>
      <c r="AC466" s="73">
        <f t="shared" si="7"/>
        <v>0</v>
      </c>
      <c r="AD466" s="73">
        <f t="shared" si="8"/>
        <v>0</v>
      </c>
      <c r="AE466" s="70"/>
      <c r="AF466" s="70"/>
      <c r="AG466" s="70"/>
      <c r="AH466" s="70"/>
      <c r="AI466" s="70"/>
    </row>
    <row r="467" spans="1:35" ht="45">
      <c r="A467" s="94" t="s">
        <v>1160</v>
      </c>
      <c r="B467" s="94">
        <v>3</v>
      </c>
      <c r="C467" s="94" t="s">
        <v>1185</v>
      </c>
      <c r="D467" s="96">
        <v>0.15</v>
      </c>
      <c r="E467" s="109">
        <v>44319</v>
      </c>
      <c r="F467" s="94" t="s">
        <v>1190</v>
      </c>
      <c r="G467" s="98">
        <v>7.4999999999999997E-3</v>
      </c>
      <c r="H467" s="94" t="s">
        <v>1180</v>
      </c>
      <c r="I467" s="94" t="s">
        <v>685</v>
      </c>
      <c r="J467" s="94" t="s">
        <v>1168</v>
      </c>
      <c r="K467" s="94" t="s">
        <v>45</v>
      </c>
      <c r="L467" s="98"/>
      <c r="M467" s="94"/>
      <c r="N467" s="94"/>
      <c r="O467" s="94"/>
      <c r="P467" s="94"/>
      <c r="Q467" s="94"/>
      <c r="R467" s="94"/>
      <c r="S467" s="98">
        <v>8.0000000000000004E-4</v>
      </c>
      <c r="T467" s="94" t="s">
        <v>45</v>
      </c>
      <c r="U467" s="94"/>
      <c r="V467" s="83"/>
      <c r="W467" s="73" t="str">
        <f t="shared" si="2"/>
        <v>X</v>
      </c>
      <c r="X467" s="73" t="str">
        <f t="shared" si="3"/>
        <v/>
      </c>
      <c r="Y467" s="73" t="str">
        <f t="shared" si="4"/>
        <v/>
      </c>
      <c r="Z467" s="73" t="str">
        <f t="shared" si="5"/>
        <v/>
      </c>
      <c r="AA467" s="73" t="s">
        <v>26</v>
      </c>
      <c r="AB467" s="73" t="str">
        <f t="shared" si="19"/>
        <v>Trim 1</v>
      </c>
      <c r="AC467" s="73">
        <f t="shared" si="7"/>
        <v>0</v>
      </c>
      <c r="AD467" s="73">
        <f t="shared" si="8"/>
        <v>1</v>
      </c>
      <c r="AE467" s="70"/>
      <c r="AF467" s="70"/>
      <c r="AG467" s="70"/>
      <c r="AH467" s="70"/>
      <c r="AI467" s="70"/>
    </row>
    <row r="468" spans="1:35" ht="45">
      <c r="A468" s="94" t="s">
        <v>1160</v>
      </c>
      <c r="B468" s="94">
        <v>3</v>
      </c>
      <c r="C468" s="94" t="s">
        <v>1185</v>
      </c>
      <c r="D468" s="96">
        <v>0.15</v>
      </c>
      <c r="E468" s="109">
        <v>44319</v>
      </c>
      <c r="F468" s="94" t="s">
        <v>1190</v>
      </c>
      <c r="G468" s="98">
        <v>7.4999999999999997E-3</v>
      </c>
      <c r="H468" s="94" t="s">
        <v>1180</v>
      </c>
      <c r="I468" s="94" t="s">
        <v>685</v>
      </c>
      <c r="J468" s="94" t="s">
        <v>1168</v>
      </c>
      <c r="K468" s="94" t="s">
        <v>111</v>
      </c>
      <c r="L468" s="94"/>
      <c r="M468" s="94"/>
      <c r="N468" s="94"/>
      <c r="O468" s="94"/>
      <c r="P468" s="94"/>
      <c r="Q468" s="94"/>
      <c r="R468" s="94"/>
      <c r="S468" s="98"/>
      <c r="T468" s="94"/>
      <c r="U468" s="94"/>
      <c r="V468" s="83"/>
      <c r="W468" s="73" t="str">
        <f t="shared" si="2"/>
        <v/>
      </c>
      <c r="X468" s="73" t="str">
        <f t="shared" si="3"/>
        <v>X</v>
      </c>
      <c r="Y468" s="73" t="str">
        <f t="shared" si="4"/>
        <v/>
      </c>
      <c r="Z468" s="73" t="str">
        <f t="shared" si="5"/>
        <v/>
      </c>
      <c r="AA468" s="73" t="s">
        <v>27</v>
      </c>
      <c r="AB468" s="73" t="str">
        <f t="shared" si="19"/>
        <v>Trim 2</v>
      </c>
      <c r="AC468" s="73">
        <f t="shared" si="7"/>
        <v>0</v>
      </c>
      <c r="AD468" s="73">
        <f t="shared" si="8"/>
        <v>0</v>
      </c>
      <c r="AE468" s="70"/>
      <c r="AF468" s="70"/>
      <c r="AG468" s="70"/>
      <c r="AH468" s="70"/>
      <c r="AI468" s="70"/>
    </row>
    <row r="469" spans="1:35" ht="45">
      <c r="A469" s="94" t="s">
        <v>1160</v>
      </c>
      <c r="B469" s="94">
        <v>3</v>
      </c>
      <c r="C469" s="94" t="s">
        <v>1185</v>
      </c>
      <c r="D469" s="96">
        <v>0.15</v>
      </c>
      <c r="E469" s="109">
        <v>44319</v>
      </c>
      <c r="F469" s="94" t="s">
        <v>1190</v>
      </c>
      <c r="G469" s="98">
        <v>7.4999999999999997E-3</v>
      </c>
      <c r="H469" s="94" t="s">
        <v>1180</v>
      </c>
      <c r="I469" s="94" t="s">
        <v>685</v>
      </c>
      <c r="J469" s="94" t="s">
        <v>1168</v>
      </c>
      <c r="K469" s="94" t="s">
        <v>115</v>
      </c>
      <c r="L469" s="94"/>
      <c r="M469" s="94"/>
      <c r="N469" s="94"/>
      <c r="O469" s="94"/>
      <c r="P469" s="94"/>
      <c r="Q469" s="94"/>
      <c r="R469" s="94"/>
      <c r="S469" s="98"/>
      <c r="T469" s="94"/>
      <c r="U469" s="94"/>
      <c r="V469" s="83"/>
      <c r="W469" s="73" t="str">
        <f t="shared" si="2"/>
        <v/>
      </c>
      <c r="X469" s="73" t="str">
        <f t="shared" si="3"/>
        <v/>
      </c>
      <c r="Y469" s="73" t="str">
        <f t="shared" si="4"/>
        <v>X</v>
      </c>
      <c r="Z469" s="73" t="str">
        <f t="shared" si="5"/>
        <v/>
      </c>
      <c r="AA469" s="73" t="s">
        <v>28</v>
      </c>
      <c r="AB469" s="73" t="str">
        <f t="shared" si="19"/>
        <v>Trim 3</v>
      </c>
      <c r="AC469" s="73">
        <f t="shared" si="7"/>
        <v>0</v>
      </c>
      <c r="AD469" s="73">
        <f t="shared" si="8"/>
        <v>0</v>
      </c>
      <c r="AE469" s="70"/>
      <c r="AF469" s="70"/>
      <c r="AG469" s="70"/>
      <c r="AH469" s="70"/>
      <c r="AI469" s="70"/>
    </row>
    <row r="470" spans="1:35" ht="45">
      <c r="A470" s="94" t="s">
        <v>1160</v>
      </c>
      <c r="B470" s="94">
        <v>3</v>
      </c>
      <c r="C470" s="94" t="s">
        <v>1185</v>
      </c>
      <c r="D470" s="96">
        <v>0.15</v>
      </c>
      <c r="E470" s="109">
        <v>44319</v>
      </c>
      <c r="F470" s="94" t="s">
        <v>1190</v>
      </c>
      <c r="G470" s="98">
        <v>7.4999999999999997E-3</v>
      </c>
      <c r="H470" s="94" t="s">
        <v>1180</v>
      </c>
      <c r="I470" s="94" t="s">
        <v>685</v>
      </c>
      <c r="J470" s="94" t="s">
        <v>1168</v>
      </c>
      <c r="K470" s="94" t="s">
        <v>39</v>
      </c>
      <c r="L470" s="106"/>
      <c r="M470" s="106"/>
      <c r="N470" s="106"/>
      <c r="O470" s="106"/>
      <c r="P470" s="106"/>
      <c r="Q470" s="106"/>
      <c r="R470" s="106"/>
      <c r="S470" s="106"/>
      <c r="T470" s="106"/>
      <c r="U470" s="94"/>
      <c r="V470" s="83"/>
      <c r="W470" s="73" t="str">
        <f t="shared" si="2"/>
        <v/>
      </c>
      <c r="X470" s="73" t="str">
        <f t="shared" si="3"/>
        <v/>
      </c>
      <c r="Y470" s="73" t="str">
        <f t="shared" si="4"/>
        <v/>
      </c>
      <c r="Z470" s="73" t="str">
        <f t="shared" si="5"/>
        <v>X</v>
      </c>
      <c r="AA470" s="73" t="s">
        <v>29</v>
      </c>
      <c r="AB470" s="73" t="str">
        <f t="shared" si="19"/>
        <v>Trim 4</v>
      </c>
      <c r="AC470" s="73">
        <f t="shared" si="7"/>
        <v>0</v>
      </c>
      <c r="AD470" s="73">
        <f t="shared" si="8"/>
        <v>0</v>
      </c>
      <c r="AE470" s="70"/>
      <c r="AF470" s="70"/>
      <c r="AG470" s="70"/>
      <c r="AH470" s="70"/>
      <c r="AI470" s="70"/>
    </row>
    <row r="471" spans="1:35" ht="75">
      <c r="A471" s="94" t="s">
        <v>1160</v>
      </c>
      <c r="B471" s="94">
        <v>4</v>
      </c>
      <c r="C471" s="94" t="s">
        <v>1191</v>
      </c>
      <c r="D471" s="96">
        <v>0.2</v>
      </c>
      <c r="E471" s="109">
        <v>44200</v>
      </c>
      <c r="F471" s="94" t="s">
        <v>1192</v>
      </c>
      <c r="G471" s="98">
        <v>0.01</v>
      </c>
      <c r="H471" s="94" t="s">
        <v>1193</v>
      </c>
      <c r="I471" s="94" t="s">
        <v>685</v>
      </c>
      <c r="J471" s="94" t="s">
        <v>1194</v>
      </c>
      <c r="K471" s="94" t="s">
        <v>45</v>
      </c>
      <c r="L471" s="95" t="s">
        <v>1195</v>
      </c>
      <c r="M471" s="94" t="s">
        <v>1166</v>
      </c>
      <c r="N471" s="94" t="s">
        <v>41</v>
      </c>
      <c r="O471" s="94" t="s">
        <v>42</v>
      </c>
      <c r="P471" s="94" t="s">
        <v>495</v>
      </c>
      <c r="Q471" s="94" t="s">
        <v>475</v>
      </c>
      <c r="R471" s="94" t="s">
        <v>40</v>
      </c>
      <c r="S471" s="98">
        <v>5.0000000000000001E-3</v>
      </c>
      <c r="T471" s="94" t="s">
        <v>45</v>
      </c>
      <c r="U471" s="94"/>
      <c r="V471" s="83"/>
      <c r="W471" s="73" t="str">
        <f t="shared" si="2"/>
        <v>X</v>
      </c>
      <c r="X471" s="73" t="str">
        <f t="shared" si="3"/>
        <v/>
      </c>
      <c r="Y471" s="73" t="str">
        <f t="shared" si="4"/>
        <v/>
      </c>
      <c r="Z471" s="73" t="str">
        <f t="shared" si="5"/>
        <v/>
      </c>
      <c r="AA471" s="73" t="s">
        <v>26</v>
      </c>
      <c r="AB471" s="73" t="str">
        <f t="shared" si="19"/>
        <v>Trim 1</v>
      </c>
      <c r="AC471" s="73">
        <f t="shared" si="7"/>
        <v>0</v>
      </c>
      <c r="AD471" s="73">
        <f t="shared" si="8"/>
        <v>1</v>
      </c>
      <c r="AE471" s="70"/>
      <c r="AF471" s="70"/>
      <c r="AG471" s="70"/>
      <c r="AH471" s="70"/>
      <c r="AI471" s="70"/>
    </row>
    <row r="472" spans="1:35" ht="75">
      <c r="A472" s="94" t="s">
        <v>1160</v>
      </c>
      <c r="B472" s="94">
        <v>4</v>
      </c>
      <c r="C472" s="94" t="s">
        <v>1191</v>
      </c>
      <c r="D472" s="96">
        <v>0.2</v>
      </c>
      <c r="E472" s="109">
        <v>44200</v>
      </c>
      <c r="F472" s="94" t="s">
        <v>1192</v>
      </c>
      <c r="G472" s="98">
        <v>0.01</v>
      </c>
      <c r="H472" s="94" t="s">
        <v>1193</v>
      </c>
      <c r="I472" s="94" t="s">
        <v>685</v>
      </c>
      <c r="J472" s="94" t="s">
        <v>1194</v>
      </c>
      <c r="K472" s="94" t="s">
        <v>111</v>
      </c>
      <c r="L472" s="95" t="s">
        <v>1195</v>
      </c>
      <c r="M472" s="94" t="s">
        <v>1166</v>
      </c>
      <c r="N472" s="94" t="s">
        <v>41</v>
      </c>
      <c r="O472" s="94" t="s">
        <v>42</v>
      </c>
      <c r="P472" s="94" t="s">
        <v>495</v>
      </c>
      <c r="Q472" s="94" t="s">
        <v>475</v>
      </c>
      <c r="R472" s="94" t="s">
        <v>40</v>
      </c>
      <c r="S472" s="94"/>
      <c r="T472" s="94"/>
      <c r="U472" s="94"/>
      <c r="V472" s="83"/>
      <c r="W472" s="73" t="str">
        <f t="shared" si="2"/>
        <v/>
      </c>
      <c r="X472" s="73" t="str">
        <f t="shared" si="3"/>
        <v>X</v>
      </c>
      <c r="Y472" s="73" t="str">
        <f t="shared" si="4"/>
        <v/>
      </c>
      <c r="Z472" s="73" t="str">
        <f t="shared" si="5"/>
        <v/>
      </c>
      <c r="AA472" s="73" t="s">
        <v>27</v>
      </c>
      <c r="AB472" s="73" t="str">
        <f t="shared" si="19"/>
        <v>Trim 2</v>
      </c>
      <c r="AC472" s="73">
        <f t="shared" si="7"/>
        <v>0</v>
      </c>
      <c r="AD472" s="73">
        <f t="shared" si="8"/>
        <v>0</v>
      </c>
      <c r="AE472" s="70"/>
      <c r="AF472" s="70"/>
      <c r="AG472" s="70"/>
      <c r="AH472" s="70"/>
      <c r="AI472" s="70"/>
    </row>
    <row r="473" spans="1:35" ht="75">
      <c r="A473" s="94" t="s">
        <v>1160</v>
      </c>
      <c r="B473" s="94">
        <v>4</v>
      </c>
      <c r="C473" s="94" t="s">
        <v>1191</v>
      </c>
      <c r="D473" s="96">
        <v>0.2</v>
      </c>
      <c r="E473" s="109">
        <v>44231</v>
      </c>
      <c r="F473" s="94" t="s">
        <v>1196</v>
      </c>
      <c r="G473" s="98">
        <v>5.0000000000000001E-3</v>
      </c>
      <c r="H473" s="94" t="s">
        <v>1197</v>
      </c>
      <c r="I473" s="94" t="s">
        <v>1198</v>
      </c>
      <c r="J473" s="94" t="s">
        <v>1194</v>
      </c>
      <c r="K473" s="94" t="s">
        <v>45</v>
      </c>
      <c r="L473" s="95" t="s">
        <v>1195</v>
      </c>
      <c r="M473" s="94" t="s">
        <v>1166</v>
      </c>
      <c r="N473" s="94" t="s">
        <v>41</v>
      </c>
      <c r="O473" s="94" t="s">
        <v>42</v>
      </c>
      <c r="P473" s="94" t="s">
        <v>495</v>
      </c>
      <c r="Q473" s="94" t="s">
        <v>475</v>
      </c>
      <c r="R473" s="94" t="s">
        <v>40</v>
      </c>
      <c r="S473" s="98">
        <v>5.0000000000000001E-3</v>
      </c>
      <c r="T473" s="94" t="s">
        <v>45</v>
      </c>
      <c r="U473" s="94"/>
      <c r="V473" s="83"/>
      <c r="W473" s="73" t="str">
        <f t="shared" si="2"/>
        <v>X</v>
      </c>
      <c r="X473" s="73" t="str">
        <f t="shared" si="3"/>
        <v/>
      </c>
      <c r="Y473" s="73" t="str">
        <f t="shared" si="4"/>
        <v/>
      </c>
      <c r="Z473" s="73" t="str">
        <f t="shared" si="5"/>
        <v/>
      </c>
      <c r="AA473" s="73" t="s">
        <v>26</v>
      </c>
      <c r="AB473" s="73" t="str">
        <f t="shared" si="19"/>
        <v>Trim 1</v>
      </c>
      <c r="AC473" s="73">
        <f t="shared" si="7"/>
        <v>1</v>
      </c>
      <c r="AD473" s="73">
        <f t="shared" si="8"/>
        <v>1</v>
      </c>
      <c r="AE473" s="70"/>
      <c r="AF473" s="70"/>
      <c r="AG473" s="70"/>
      <c r="AH473" s="70"/>
      <c r="AI473" s="70"/>
    </row>
    <row r="474" spans="1:35" ht="75">
      <c r="A474" s="94" t="s">
        <v>1160</v>
      </c>
      <c r="B474" s="94">
        <v>4</v>
      </c>
      <c r="C474" s="94" t="s">
        <v>1191</v>
      </c>
      <c r="D474" s="96">
        <v>0.2</v>
      </c>
      <c r="E474" s="109">
        <v>44231</v>
      </c>
      <c r="F474" s="94" t="s">
        <v>1196</v>
      </c>
      <c r="G474" s="98">
        <v>5.0000000000000001E-3</v>
      </c>
      <c r="H474" s="94" t="s">
        <v>1197</v>
      </c>
      <c r="I474" s="94" t="s">
        <v>1198</v>
      </c>
      <c r="J474" s="94" t="s">
        <v>1194</v>
      </c>
      <c r="K474" s="94" t="s">
        <v>111</v>
      </c>
      <c r="L474" s="95" t="s">
        <v>1195</v>
      </c>
      <c r="M474" s="94" t="s">
        <v>1166</v>
      </c>
      <c r="N474" s="94" t="s">
        <v>41</v>
      </c>
      <c r="O474" s="94" t="s">
        <v>42</v>
      </c>
      <c r="P474" s="94" t="s">
        <v>495</v>
      </c>
      <c r="Q474" s="94" t="s">
        <v>475</v>
      </c>
      <c r="R474" s="94" t="s">
        <v>40</v>
      </c>
      <c r="S474" s="94"/>
      <c r="T474" s="94"/>
      <c r="U474" s="94"/>
      <c r="V474" s="83"/>
      <c r="W474" s="73" t="str">
        <f t="shared" si="2"/>
        <v/>
      </c>
      <c r="X474" s="73" t="str">
        <f t="shared" si="3"/>
        <v>X</v>
      </c>
      <c r="Y474" s="73" t="str">
        <f t="shared" si="4"/>
        <v/>
      </c>
      <c r="Z474" s="73" t="str">
        <f t="shared" si="5"/>
        <v/>
      </c>
      <c r="AA474" s="73" t="s">
        <v>27</v>
      </c>
      <c r="AB474" s="73" t="str">
        <f t="shared" si="19"/>
        <v>Trim 2</v>
      </c>
      <c r="AC474" s="73">
        <f t="shared" si="7"/>
        <v>0</v>
      </c>
      <c r="AD474" s="73">
        <f t="shared" si="8"/>
        <v>0</v>
      </c>
      <c r="AE474" s="70"/>
      <c r="AF474" s="70"/>
      <c r="AG474" s="70"/>
      <c r="AH474" s="70"/>
      <c r="AI474" s="70"/>
    </row>
    <row r="475" spans="1:35" ht="75">
      <c r="A475" s="94" t="s">
        <v>1160</v>
      </c>
      <c r="B475" s="94">
        <v>4</v>
      </c>
      <c r="C475" s="94" t="s">
        <v>1191</v>
      </c>
      <c r="D475" s="96">
        <v>0.2</v>
      </c>
      <c r="E475" s="109">
        <v>44231</v>
      </c>
      <c r="F475" s="94" t="s">
        <v>1196</v>
      </c>
      <c r="G475" s="98">
        <v>5.0000000000000001E-3</v>
      </c>
      <c r="H475" s="94" t="s">
        <v>1197</v>
      </c>
      <c r="I475" s="94" t="s">
        <v>1198</v>
      </c>
      <c r="J475" s="94" t="s">
        <v>1194</v>
      </c>
      <c r="K475" s="94" t="s">
        <v>115</v>
      </c>
      <c r="L475" s="95" t="s">
        <v>1195</v>
      </c>
      <c r="M475" s="94" t="s">
        <v>1166</v>
      </c>
      <c r="N475" s="94" t="s">
        <v>41</v>
      </c>
      <c r="O475" s="94" t="s">
        <v>42</v>
      </c>
      <c r="P475" s="94" t="s">
        <v>495</v>
      </c>
      <c r="Q475" s="94" t="s">
        <v>475</v>
      </c>
      <c r="R475" s="94" t="s">
        <v>40</v>
      </c>
      <c r="S475" s="94"/>
      <c r="T475" s="94"/>
      <c r="U475" s="94"/>
      <c r="V475" s="83"/>
      <c r="W475" s="73" t="str">
        <f t="shared" si="2"/>
        <v/>
      </c>
      <c r="X475" s="73" t="str">
        <f t="shared" si="3"/>
        <v/>
      </c>
      <c r="Y475" s="73" t="str">
        <f t="shared" si="4"/>
        <v>X</v>
      </c>
      <c r="Z475" s="73" t="str">
        <f t="shared" si="5"/>
        <v/>
      </c>
      <c r="AA475" s="73" t="s">
        <v>28</v>
      </c>
      <c r="AB475" s="73" t="str">
        <f t="shared" si="19"/>
        <v>Trim 3</v>
      </c>
      <c r="AC475" s="73">
        <f t="shared" si="7"/>
        <v>0</v>
      </c>
      <c r="AD475" s="73">
        <f t="shared" si="8"/>
        <v>0</v>
      </c>
      <c r="AE475" s="70"/>
      <c r="AF475" s="70"/>
      <c r="AG475" s="70"/>
      <c r="AH475" s="70"/>
      <c r="AI475" s="70"/>
    </row>
    <row r="476" spans="1:35" ht="75">
      <c r="A476" s="94" t="s">
        <v>1160</v>
      </c>
      <c r="B476" s="94">
        <v>4</v>
      </c>
      <c r="C476" s="94" t="s">
        <v>1191</v>
      </c>
      <c r="D476" s="96">
        <v>0.2</v>
      </c>
      <c r="E476" s="109">
        <v>44231</v>
      </c>
      <c r="F476" s="94" t="s">
        <v>1196</v>
      </c>
      <c r="G476" s="98">
        <v>5.0000000000000001E-3</v>
      </c>
      <c r="H476" s="94" t="s">
        <v>1197</v>
      </c>
      <c r="I476" s="94" t="s">
        <v>1198</v>
      </c>
      <c r="J476" s="94" t="s">
        <v>1194</v>
      </c>
      <c r="K476" s="94" t="s">
        <v>39</v>
      </c>
      <c r="L476" s="95" t="s">
        <v>1195</v>
      </c>
      <c r="M476" s="94" t="s">
        <v>1166</v>
      </c>
      <c r="N476" s="94" t="s">
        <v>41</v>
      </c>
      <c r="O476" s="94" t="s">
        <v>42</v>
      </c>
      <c r="P476" s="94" t="s">
        <v>495</v>
      </c>
      <c r="Q476" s="94" t="s">
        <v>475</v>
      </c>
      <c r="R476" s="94" t="s">
        <v>40</v>
      </c>
      <c r="S476" s="94"/>
      <c r="T476" s="94"/>
      <c r="U476" s="94"/>
      <c r="V476" s="83"/>
      <c r="W476" s="73" t="str">
        <f t="shared" si="2"/>
        <v/>
      </c>
      <c r="X476" s="73" t="str">
        <f t="shared" si="3"/>
        <v/>
      </c>
      <c r="Y476" s="73" t="str">
        <f t="shared" si="4"/>
        <v/>
      </c>
      <c r="Z476" s="73" t="str">
        <f t="shared" si="5"/>
        <v>X</v>
      </c>
      <c r="AA476" s="73" t="s">
        <v>29</v>
      </c>
      <c r="AB476" s="73" t="str">
        <f t="shared" si="19"/>
        <v>Trim 4</v>
      </c>
      <c r="AC476" s="73">
        <f t="shared" si="7"/>
        <v>0</v>
      </c>
      <c r="AD476" s="73">
        <f t="shared" si="8"/>
        <v>0</v>
      </c>
      <c r="AE476" s="70"/>
      <c r="AF476" s="70"/>
      <c r="AG476" s="70"/>
      <c r="AH476" s="70"/>
      <c r="AI476" s="70"/>
    </row>
    <row r="477" spans="1:35" ht="75">
      <c r="A477" s="94" t="s">
        <v>1160</v>
      </c>
      <c r="B477" s="94">
        <v>4</v>
      </c>
      <c r="C477" s="94" t="s">
        <v>1191</v>
      </c>
      <c r="D477" s="96">
        <v>0.2</v>
      </c>
      <c r="E477" s="109">
        <v>44259</v>
      </c>
      <c r="F477" s="94" t="s">
        <v>1199</v>
      </c>
      <c r="G477" s="98">
        <v>5.0000000000000001E-3</v>
      </c>
      <c r="H477" s="94" t="s">
        <v>1200</v>
      </c>
      <c r="I477" s="94" t="s">
        <v>685</v>
      </c>
      <c r="J477" s="94" t="s">
        <v>1201</v>
      </c>
      <c r="K477" s="94" t="s">
        <v>45</v>
      </c>
      <c r="L477" s="95" t="s">
        <v>1195</v>
      </c>
      <c r="M477" s="94" t="s">
        <v>1166</v>
      </c>
      <c r="N477" s="94" t="s">
        <v>41</v>
      </c>
      <c r="O477" s="94" t="s">
        <v>42</v>
      </c>
      <c r="P477" s="94" t="s">
        <v>495</v>
      </c>
      <c r="Q477" s="94" t="s">
        <v>475</v>
      </c>
      <c r="R477" s="94" t="s">
        <v>40</v>
      </c>
      <c r="S477" s="98">
        <v>5.0000000000000001E-3</v>
      </c>
      <c r="T477" s="94" t="s">
        <v>45</v>
      </c>
      <c r="U477" s="94"/>
      <c r="V477" s="83"/>
      <c r="W477" s="73" t="str">
        <f t="shared" si="2"/>
        <v>X</v>
      </c>
      <c r="X477" s="73" t="str">
        <f t="shared" si="3"/>
        <v/>
      </c>
      <c r="Y477" s="73" t="str">
        <f t="shared" si="4"/>
        <v/>
      </c>
      <c r="Z477" s="73" t="str">
        <f t="shared" si="5"/>
        <v/>
      </c>
      <c r="AA477" s="73" t="s">
        <v>26</v>
      </c>
      <c r="AB477" s="73" t="str">
        <f t="shared" si="19"/>
        <v>Trim 1</v>
      </c>
      <c r="AC477" s="73">
        <f t="shared" si="7"/>
        <v>1</v>
      </c>
      <c r="AD477" s="73">
        <f t="shared" si="8"/>
        <v>1</v>
      </c>
      <c r="AE477" s="70"/>
      <c r="AF477" s="70"/>
      <c r="AG477" s="70"/>
      <c r="AH477" s="70"/>
      <c r="AI477" s="70"/>
    </row>
    <row r="478" spans="1:35" ht="75">
      <c r="A478" s="94" t="s">
        <v>1160</v>
      </c>
      <c r="B478" s="94">
        <v>4</v>
      </c>
      <c r="C478" s="94" t="s">
        <v>1191</v>
      </c>
      <c r="D478" s="96">
        <v>0.2</v>
      </c>
      <c r="E478" s="109">
        <v>44259</v>
      </c>
      <c r="F478" s="94" t="s">
        <v>1199</v>
      </c>
      <c r="G478" s="98">
        <v>5.0000000000000001E-3</v>
      </c>
      <c r="H478" s="94" t="s">
        <v>1200</v>
      </c>
      <c r="I478" s="94" t="s">
        <v>685</v>
      </c>
      <c r="J478" s="94" t="s">
        <v>1201</v>
      </c>
      <c r="K478" s="94" t="s">
        <v>111</v>
      </c>
      <c r="L478" s="95" t="s">
        <v>1195</v>
      </c>
      <c r="M478" s="94" t="s">
        <v>1166</v>
      </c>
      <c r="N478" s="94" t="s">
        <v>41</v>
      </c>
      <c r="O478" s="94" t="s">
        <v>42</v>
      </c>
      <c r="P478" s="94" t="s">
        <v>495</v>
      </c>
      <c r="Q478" s="94" t="s">
        <v>475</v>
      </c>
      <c r="R478" s="94" t="s">
        <v>40</v>
      </c>
      <c r="S478" s="94"/>
      <c r="T478" s="94"/>
      <c r="U478" s="94"/>
      <c r="V478" s="83"/>
      <c r="W478" s="73" t="str">
        <f t="shared" si="2"/>
        <v/>
      </c>
      <c r="X478" s="73" t="str">
        <f t="shared" si="3"/>
        <v>X</v>
      </c>
      <c r="Y478" s="73" t="str">
        <f t="shared" si="4"/>
        <v/>
      </c>
      <c r="Z478" s="73" t="str">
        <f t="shared" si="5"/>
        <v/>
      </c>
      <c r="AA478" s="73" t="s">
        <v>27</v>
      </c>
      <c r="AB478" s="73" t="str">
        <f t="shared" si="19"/>
        <v>Trim 2</v>
      </c>
      <c r="AC478" s="73">
        <f t="shared" si="7"/>
        <v>0</v>
      </c>
      <c r="AD478" s="73">
        <f t="shared" si="8"/>
        <v>0</v>
      </c>
      <c r="AE478" s="70"/>
      <c r="AF478" s="70"/>
      <c r="AG478" s="70"/>
      <c r="AH478" s="70"/>
      <c r="AI478" s="70"/>
    </row>
    <row r="479" spans="1:35" ht="75">
      <c r="A479" s="94" t="s">
        <v>1160</v>
      </c>
      <c r="B479" s="94">
        <v>4</v>
      </c>
      <c r="C479" s="94" t="s">
        <v>1191</v>
      </c>
      <c r="D479" s="96">
        <v>0.2</v>
      </c>
      <c r="E479" s="109">
        <v>44259</v>
      </c>
      <c r="F479" s="94" t="s">
        <v>1199</v>
      </c>
      <c r="G479" s="98">
        <v>5.0000000000000001E-3</v>
      </c>
      <c r="H479" s="94" t="s">
        <v>1200</v>
      </c>
      <c r="I479" s="94" t="s">
        <v>685</v>
      </c>
      <c r="J479" s="94" t="s">
        <v>1201</v>
      </c>
      <c r="K479" s="94" t="s">
        <v>115</v>
      </c>
      <c r="L479" s="95" t="s">
        <v>1195</v>
      </c>
      <c r="M479" s="94" t="s">
        <v>1166</v>
      </c>
      <c r="N479" s="94" t="s">
        <v>41</v>
      </c>
      <c r="O479" s="94" t="s">
        <v>42</v>
      </c>
      <c r="P479" s="94" t="s">
        <v>495</v>
      </c>
      <c r="Q479" s="94" t="s">
        <v>475</v>
      </c>
      <c r="R479" s="94" t="s">
        <v>40</v>
      </c>
      <c r="S479" s="94"/>
      <c r="T479" s="94"/>
      <c r="U479" s="94"/>
      <c r="V479" s="83"/>
      <c r="W479" s="73" t="str">
        <f t="shared" si="2"/>
        <v/>
      </c>
      <c r="X479" s="73" t="str">
        <f t="shared" si="3"/>
        <v/>
      </c>
      <c r="Y479" s="73" t="str">
        <f t="shared" si="4"/>
        <v>X</v>
      </c>
      <c r="Z479" s="73" t="str">
        <f t="shared" si="5"/>
        <v/>
      </c>
      <c r="AA479" s="73" t="s">
        <v>28</v>
      </c>
      <c r="AB479" s="73" t="str">
        <f t="shared" ref="AB479:AB507" si="20">IF(W479="X","Trim 1",IF(X479="X","Trim 2",IF(Y479="X","Trim 3",IF(Z479="X","Trim 4",""))))</f>
        <v>Trim 3</v>
      </c>
      <c r="AC479" s="73">
        <f t="shared" si="7"/>
        <v>0</v>
      </c>
      <c r="AD479" s="73">
        <f t="shared" si="8"/>
        <v>0</v>
      </c>
      <c r="AE479" s="70"/>
      <c r="AF479" s="70"/>
      <c r="AG479" s="70"/>
      <c r="AH479" s="70"/>
      <c r="AI479" s="70"/>
    </row>
    <row r="480" spans="1:35" ht="45">
      <c r="A480" s="94" t="s">
        <v>1160</v>
      </c>
      <c r="B480" s="94">
        <v>4</v>
      </c>
      <c r="C480" s="94" t="s">
        <v>1191</v>
      </c>
      <c r="D480" s="96">
        <v>0.2</v>
      </c>
      <c r="E480" s="109">
        <v>44259</v>
      </c>
      <c r="F480" s="94" t="s">
        <v>1199</v>
      </c>
      <c r="G480" s="98">
        <v>5.0000000000000001E-3</v>
      </c>
      <c r="H480" s="94" t="s">
        <v>1200</v>
      </c>
      <c r="I480" s="94" t="s">
        <v>685</v>
      </c>
      <c r="J480" s="94" t="s">
        <v>1201</v>
      </c>
      <c r="K480" s="94" t="s">
        <v>39</v>
      </c>
      <c r="L480" s="95"/>
      <c r="M480" s="94"/>
      <c r="N480" s="94"/>
      <c r="O480" s="94"/>
      <c r="P480" s="94"/>
      <c r="Q480" s="94"/>
      <c r="R480" s="94"/>
      <c r="S480" s="94"/>
      <c r="T480" s="94"/>
      <c r="U480" s="94"/>
      <c r="V480" s="83"/>
      <c r="W480" s="73" t="str">
        <f t="shared" si="2"/>
        <v/>
      </c>
      <c r="X480" s="73" t="str">
        <f t="shared" si="3"/>
        <v/>
      </c>
      <c r="Y480" s="73" t="str">
        <f t="shared" si="4"/>
        <v/>
      </c>
      <c r="Z480" s="73" t="str">
        <f t="shared" si="5"/>
        <v>X</v>
      </c>
      <c r="AA480" s="73" t="s">
        <v>29</v>
      </c>
      <c r="AB480" s="73" t="str">
        <f t="shared" si="20"/>
        <v>Trim 4</v>
      </c>
      <c r="AC480" s="73">
        <f t="shared" si="7"/>
        <v>0</v>
      </c>
      <c r="AD480" s="73">
        <f t="shared" si="8"/>
        <v>0</v>
      </c>
      <c r="AE480" s="70"/>
      <c r="AF480" s="70"/>
      <c r="AG480" s="70"/>
      <c r="AH480" s="70"/>
      <c r="AI480" s="70"/>
    </row>
    <row r="481" spans="1:35" ht="75">
      <c r="A481" s="94" t="s">
        <v>1160</v>
      </c>
      <c r="B481" s="94">
        <v>4</v>
      </c>
      <c r="C481" s="94" t="s">
        <v>1191</v>
      </c>
      <c r="D481" s="96">
        <v>0.2</v>
      </c>
      <c r="E481" s="109">
        <v>44290</v>
      </c>
      <c r="F481" s="94" t="s">
        <v>1202</v>
      </c>
      <c r="G481" s="98">
        <v>0.01</v>
      </c>
      <c r="H481" s="94" t="s">
        <v>1200</v>
      </c>
      <c r="I481" s="94" t="s">
        <v>685</v>
      </c>
      <c r="J481" s="94" t="s">
        <v>1172</v>
      </c>
      <c r="K481" s="94" t="s">
        <v>45</v>
      </c>
      <c r="L481" s="95" t="s">
        <v>1195</v>
      </c>
      <c r="M481" s="94" t="s">
        <v>1166</v>
      </c>
      <c r="N481" s="94" t="s">
        <v>41</v>
      </c>
      <c r="O481" s="94" t="s">
        <v>42</v>
      </c>
      <c r="P481" s="94" t="s">
        <v>495</v>
      </c>
      <c r="Q481" s="94" t="s">
        <v>475</v>
      </c>
      <c r="R481" s="94" t="s">
        <v>40</v>
      </c>
      <c r="S481" s="98">
        <v>0.01</v>
      </c>
      <c r="T481" s="94" t="s">
        <v>45</v>
      </c>
      <c r="U481" s="94"/>
      <c r="V481" s="83"/>
      <c r="W481" s="73" t="str">
        <f t="shared" si="2"/>
        <v>X</v>
      </c>
      <c r="X481" s="73" t="str">
        <f t="shared" si="3"/>
        <v/>
      </c>
      <c r="Y481" s="73" t="str">
        <f t="shared" si="4"/>
        <v/>
      </c>
      <c r="Z481" s="73" t="str">
        <f t="shared" si="5"/>
        <v/>
      </c>
      <c r="AA481" s="73" t="s">
        <v>26</v>
      </c>
      <c r="AB481" s="73" t="str">
        <f t="shared" si="20"/>
        <v>Trim 1</v>
      </c>
      <c r="AC481" s="73">
        <f t="shared" si="7"/>
        <v>1</v>
      </c>
      <c r="AD481" s="73">
        <f t="shared" si="8"/>
        <v>1</v>
      </c>
      <c r="AE481" s="70"/>
      <c r="AF481" s="70"/>
      <c r="AG481" s="70"/>
      <c r="AH481" s="70"/>
      <c r="AI481" s="70"/>
    </row>
    <row r="482" spans="1:35" ht="75">
      <c r="A482" s="94" t="s">
        <v>1160</v>
      </c>
      <c r="B482" s="94">
        <v>4</v>
      </c>
      <c r="C482" s="94" t="s">
        <v>1191</v>
      </c>
      <c r="D482" s="96">
        <v>0.2</v>
      </c>
      <c r="E482" s="109">
        <v>44290</v>
      </c>
      <c r="F482" s="94" t="s">
        <v>1202</v>
      </c>
      <c r="G482" s="98">
        <v>5.0000000000000001E-3</v>
      </c>
      <c r="H482" s="94" t="s">
        <v>1200</v>
      </c>
      <c r="I482" s="94" t="s">
        <v>685</v>
      </c>
      <c r="J482" s="94" t="s">
        <v>1172</v>
      </c>
      <c r="K482" s="94" t="s">
        <v>111</v>
      </c>
      <c r="L482" s="95" t="s">
        <v>1195</v>
      </c>
      <c r="M482" s="94" t="s">
        <v>1166</v>
      </c>
      <c r="N482" s="94" t="s">
        <v>41</v>
      </c>
      <c r="O482" s="94" t="s">
        <v>42</v>
      </c>
      <c r="P482" s="94" t="s">
        <v>495</v>
      </c>
      <c r="Q482" s="94" t="s">
        <v>475</v>
      </c>
      <c r="R482" s="94" t="s">
        <v>40</v>
      </c>
      <c r="S482" s="94"/>
      <c r="T482" s="94"/>
      <c r="U482" s="94"/>
      <c r="V482" s="83"/>
      <c r="W482" s="73" t="str">
        <f t="shared" si="2"/>
        <v/>
      </c>
      <c r="X482" s="73" t="str">
        <f t="shared" si="3"/>
        <v>X</v>
      </c>
      <c r="Y482" s="73" t="str">
        <f t="shared" si="4"/>
        <v/>
      </c>
      <c r="Z482" s="73" t="str">
        <f t="shared" si="5"/>
        <v/>
      </c>
      <c r="AA482" s="73" t="s">
        <v>27</v>
      </c>
      <c r="AB482" s="73" t="str">
        <f t="shared" si="20"/>
        <v>Trim 2</v>
      </c>
      <c r="AC482" s="73">
        <f t="shared" si="7"/>
        <v>0</v>
      </c>
      <c r="AD482" s="73">
        <f t="shared" si="8"/>
        <v>0</v>
      </c>
      <c r="AE482" s="70"/>
      <c r="AF482" s="70"/>
      <c r="AG482" s="70"/>
      <c r="AH482" s="70"/>
      <c r="AI482" s="70"/>
    </row>
    <row r="483" spans="1:35" ht="75">
      <c r="A483" s="94" t="s">
        <v>1160</v>
      </c>
      <c r="B483" s="94">
        <v>4</v>
      </c>
      <c r="C483" s="94" t="s">
        <v>1191</v>
      </c>
      <c r="D483" s="96">
        <v>0.2</v>
      </c>
      <c r="E483" s="109">
        <v>44290</v>
      </c>
      <c r="F483" s="94" t="s">
        <v>1202</v>
      </c>
      <c r="G483" s="98">
        <v>5.0000000000000001E-3</v>
      </c>
      <c r="H483" s="94" t="s">
        <v>1200</v>
      </c>
      <c r="I483" s="94" t="s">
        <v>685</v>
      </c>
      <c r="J483" s="94" t="s">
        <v>1172</v>
      </c>
      <c r="K483" s="94" t="s">
        <v>115</v>
      </c>
      <c r="L483" s="95" t="s">
        <v>1195</v>
      </c>
      <c r="M483" s="94" t="s">
        <v>1166</v>
      </c>
      <c r="N483" s="94" t="s">
        <v>41</v>
      </c>
      <c r="O483" s="94" t="s">
        <v>42</v>
      </c>
      <c r="P483" s="94" t="s">
        <v>495</v>
      </c>
      <c r="Q483" s="94" t="s">
        <v>475</v>
      </c>
      <c r="R483" s="94" t="s">
        <v>40</v>
      </c>
      <c r="S483" s="94"/>
      <c r="T483" s="94"/>
      <c r="U483" s="94"/>
      <c r="V483" s="83"/>
      <c r="W483" s="73" t="str">
        <f t="shared" si="2"/>
        <v/>
      </c>
      <c r="X483" s="73" t="str">
        <f t="shared" si="3"/>
        <v/>
      </c>
      <c r="Y483" s="73" t="str">
        <f t="shared" si="4"/>
        <v>X</v>
      </c>
      <c r="Z483" s="73" t="str">
        <f t="shared" si="5"/>
        <v/>
      </c>
      <c r="AA483" s="73" t="s">
        <v>28</v>
      </c>
      <c r="AB483" s="73" t="str">
        <f t="shared" si="20"/>
        <v>Trim 3</v>
      </c>
      <c r="AC483" s="73">
        <f t="shared" si="7"/>
        <v>0</v>
      </c>
      <c r="AD483" s="73">
        <f t="shared" si="8"/>
        <v>0</v>
      </c>
      <c r="AE483" s="70"/>
      <c r="AF483" s="70"/>
      <c r="AG483" s="70"/>
      <c r="AH483" s="70"/>
      <c r="AI483" s="70"/>
    </row>
    <row r="484" spans="1:35" ht="75">
      <c r="A484" s="94" t="s">
        <v>1160</v>
      </c>
      <c r="B484" s="94">
        <v>4</v>
      </c>
      <c r="C484" s="94" t="s">
        <v>1191</v>
      </c>
      <c r="D484" s="96">
        <v>0.2</v>
      </c>
      <c r="E484" s="109">
        <v>44320</v>
      </c>
      <c r="F484" s="94" t="s">
        <v>1203</v>
      </c>
      <c r="G484" s="98">
        <v>5.0000000000000001E-3</v>
      </c>
      <c r="H484" s="94" t="s">
        <v>1200</v>
      </c>
      <c r="I484" s="94" t="s">
        <v>685</v>
      </c>
      <c r="J484" s="94" t="s">
        <v>1172</v>
      </c>
      <c r="K484" s="94" t="s">
        <v>45</v>
      </c>
      <c r="L484" s="95" t="s">
        <v>1195</v>
      </c>
      <c r="M484" s="94" t="s">
        <v>1166</v>
      </c>
      <c r="N484" s="94" t="s">
        <v>41</v>
      </c>
      <c r="O484" s="94" t="s">
        <v>42</v>
      </c>
      <c r="P484" s="94" t="s">
        <v>495</v>
      </c>
      <c r="Q484" s="94" t="s">
        <v>475</v>
      </c>
      <c r="R484" s="94" t="s">
        <v>40</v>
      </c>
      <c r="S484" s="98">
        <v>5.0000000000000001E-3</v>
      </c>
      <c r="T484" s="94" t="s">
        <v>45</v>
      </c>
      <c r="U484" s="94"/>
      <c r="V484" s="83"/>
      <c r="W484" s="73" t="str">
        <f t="shared" si="2"/>
        <v>X</v>
      </c>
      <c r="X484" s="73" t="str">
        <f t="shared" si="3"/>
        <v/>
      </c>
      <c r="Y484" s="73" t="str">
        <f t="shared" si="4"/>
        <v/>
      </c>
      <c r="Z484" s="73" t="str">
        <f t="shared" si="5"/>
        <v/>
      </c>
      <c r="AA484" s="73" t="s">
        <v>26</v>
      </c>
      <c r="AB484" s="73" t="str">
        <f t="shared" si="20"/>
        <v>Trim 1</v>
      </c>
      <c r="AC484" s="73">
        <f t="shared" si="7"/>
        <v>1</v>
      </c>
      <c r="AD484" s="73">
        <f t="shared" si="8"/>
        <v>1</v>
      </c>
      <c r="AE484" s="70"/>
      <c r="AF484" s="70"/>
      <c r="AG484" s="70"/>
      <c r="AH484" s="70"/>
      <c r="AI484" s="70"/>
    </row>
    <row r="485" spans="1:35" ht="75">
      <c r="A485" s="94" t="s">
        <v>1160</v>
      </c>
      <c r="B485" s="94">
        <v>4</v>
      </c>
      <c r="C485" s="94" t="s">
        <v>1191</v>
      </c>
      <c r="D485" s="96">
        <v>0.2</v>
      </c>
      <c r="E485" s="109">
        <v>44320</v>
      </c>
      <c r="F485" s="94" t="s">
        <v>1203</v>
      </c>
      <c r="G485" s="98">
        <v>0.01</v>
      </c>
      <c r="H485" s="94" t="s">
        <v>1200</v>
      </c>
      <c r="I485" s="94" t="s">
        <v>685</v>
      </c>
      <c r="J485" s="94" t="s">
        <v>1172</v>
      </c>
      <c r="K485" s="94" t="s">
        <v>111</v>
      </c>
      <c r="L485" s="95" t="s">
        <v>1195</v>
      </c>
      <c r="M485" s="94" t="s">
        <v>1166</v>
      </c>
      <c r="N485" s="94" t="s">
        <v>41</v>
      </c>
      <c r="O485" s="94" t="s">
        <v>42</v>
      </c>
      <c r="P485" s="94" t="s">
        <v>495</v>
      </c>
      <c r="Q485" s="94" t="s">
        <v>475</v>
      </c>
      <c r="R485" s="94" t="s">
        <v>40</v>
      </c>
      <c r="S485" s="94"/>
      <c r="T485" s="94"/>
      <c r="U485" s="94"/>
      <c r="V485" s="83"/>
      <c r="W485" s="73" t="str">
        <f t="shared" si="2"/>
        <v/>
      </c>
      <c r="X485" s="73" t="str">
        <f t="shared" si="3"/>
        <v>X</v>
      </c>
      <c r="Y485" s="73" t="str">
        <f t="shared" si="4"/>
        <v/>
      </c>
      <c r="Z485" s="73" t="str">
        <f t="shared" si="5"/>
        <v/>
      </c>
      <c r="AA485" s="73" t="s">
        <v>27</v>
      </c>
      <c r="AB485" s="73" t="str">
        <f t="shared" si="20"/>
        <v>Trim 2</v>
      </c>
      <c r="AC485" s="73">
        <f t="shared" si="7"/>
        <v>0</v>
      </c>
      <c r="AD485" s="73">
        <f t="shared" si="8"/>
        <v>0</v>
      </c>
      <c r="AE485" s="70"/>
      <c r="AF485" s="70"/>
      <c r="AG485" s="70"/>
      <c r="AH485" s="70"/>
      <c r="AI485" s="70"/>
    </row>
    <row r="486" spans="1:35" ht="75">
      <c r="A486" s="94" t="s">
        <v>1160</v>
      </c>
      <c r="B486" s="94">
        <v>4</v>
      </c>
      <c r="C486" s="94" t="s">
        <v>1191</v>
      </c>
      <c r="D486" s="96">
        <v>0.2</v>
      </c>
      <c r="E486" s="109">
        <v>44320</v>
      </c>
      <c r="F486" s="94" t="s">
        <v>1203</v>
      </c>
      <c r="G486" s="98">
        <v>5.0000000000000001E-3</v>
      </c>
      <c r="H486" s="94" t="s">
        <v>1200</v>
      </c>
      <c r="I486" s="94" t="s">
        <v>685</v>
      </c>
      <c r="J486" s="94" t="s">
        <v>1172</v>
      </c>
      <c r="K486" s="94" t="s">
        <v>115</v>
      </c>
      <c r="L486" s="95" t="s">
        <v>1195</v>
      </c>
      <c r="M486" s="94" t="s">
        <v>1166</v>
      </c>
      <c r="N486" s="94" t="s">
        <v>41</v>
      </c>
      <c r="O486" s="94" t="s">
        <v>42</v>
      </c>
      <c r="P486" s="94" t="s">
        <v>495</v>
      </c>
      <c r="Q486" s="94" t="s">
        <v>475</v>
      </c>
      <c r="R486" s="94" t="s">
        <v>40</v>
      </c>
      <c r="S486" s="94"/>
      <c r="T486" s="94"/>
      <c r="U486" s="94"/>
      <c r="V486" s="83"/>
      <c r="W486" s="73" t="str">
        <f t="shared" si="2"/>
        <v/>
      </c>
      <c r="X486" s="73" t="str">
        <f t="shared" si="3"/>
        <v/>
      </c>
      <c r="Y486" s="73" t="str">
        <f t="shared" si="4"/>
        <v>X</v>
      </c>
      <c r="Z486" s="73" t="str">
        <f t="shared" si="5"/>
        <v/>
      </c>
      <c r="AA486" s="73" t="s">
        <v>28</v>
      </c>
      <c r="AB486" s="73" t="str">
        <f t="shared" si="20"/>
        <v>Trim 3</v>
      </c>
      <c r="AC486" s="73">
        <f t="shared" si="7"/>
        <v>0</v>
      </c>
      <c r="AD486" s="73">
        <f t="shared" si="8"/>
        <v>0</v>
      </c>
      <c r="AE486" s="70"/>
      <c r="AF486" s="70"/>
      <c r="AG486" s="70"/>
      <c r="AH486" s="70"/>
      <c r="AI486" s="70"/>
    </row>
    <row r="487" spans="1:35" ht="75">
      <c r="A487" s="94" t="s">
        <v>1160</v>
      </c>
      <c r="B487" s="94">
        <v>4</v>
      </c>
      <c r="C487" s="94" t="s">
        <v>1191</v>
      </c>
      <c r="D487" s="96">
        <v>0.2</v>
      </c>
      <c r="E487" s="109">
        <v>44351</v>
      </c>
      <c r="F487" s="94" t="s">
        <v>1204</v>
      </c>
      <c r="G487" s="98">
        <v>5.0000000000000001E-3</v>
      </c>
      <c r="H487" s="94" t="s">
        <v>1200</v>
      </c>
      <c r="I487" s="94" t="s">
        <v>685</v>
      </c>
      <c r="J487" s="94" t="s">
        <v>1205</v>
      </c>
      <c r="K487" s="94" t="s">
        <v>45</v>
      </c>
      <c r="L487" s="95" t="s">
        <v>1195</v>
      </c>
      <c r="M487" s="94" t="s">
        <v>1166</v>
      </c>
      <c r="N487" s="94" t="s">
        <v>41</v>
      </c>
      <c r="O487" s="94" t="s">
        <v>42</v>
      </c>
      <c r="P487" s="94" t="s">
        <v>495</v>
      </c>
      <c r="Q487" s="94" t="s">
        <v>475</v>
      </c>
      <c r="R487" s="94" t="s">
        <v>40</v>
      </c>
      <c r="S487" s="98">
        <v>5.0000000000000001E-3</v>
      </c>
      <c r="T487" s="94" t="s">
        <v>45</v>
      </c>
      <c r="U487" s="94"/>
      <c r="V487" s="83"/>
      <c r="W487" s="73" t="str">
        <f t="shared" si="2"/>
        <v>X</v>
      </c>
      <c r="X487" s="73" t="str">
        <f t="shared" si="3"/>
        <v/>
      </c>
      <c r="Y487" s="73" t="str">
        <f t="shared" si="4"/>
        <v/>
      </c>
      <c r="Z487" s="73" t="str">
        <f t="shared" si="5"/>
        <v/>
      </c>
      <c r="AA487" s="73" t="s">
        <v>26</v>
      </c>
      <c r="AB487" s="73" t="str">
        <f t="shared" si="20"/>
        <v>Trim 1</v>
      </c>
      <c r="AC487" s="73">
        <f t="shared" si="7"/>
        <v>1</v>
      </c>
      <c r="AD487" s="73">
        <f t="shared" si="8"/>
        <v>1</v>
      </c>
      <c r="AE487" s="70"/>
      <c r="AF487" s="70"/>
      <c r="AG487" s="70"/>
      <c r="AH487" s="70"/>
      <c r="AI487" s="70"/>
    </row>
    <row r="488" spans="1:35" ht="75">
      <c r="A488" s="94" t="s">
        <v>1160</v>
      </c>
      <c r="B488" s="94">
        <v>4</v>
      </c>
      <c r="C488" s="94" t="s">
        <v>1191</v>
      </c>
      <c r="D488" s="96">
        <v>0.2</v>
      </c>
      <c r="E488" s="109">
        <v>44351</v>
      </c>
      <c r="F488" s="94" t="s">
        <v>1204</v>
      </c>
      <c r="G488" s="98">
        <v>0.01</v>
      </c>
      <c r="H488" s="94" t="s">
        <v>1200</v>
      </c>
      <c r="I488" s="94" t="s">
        <v>685</v>
      </c>
      <c r="J488" s="94" t="s">
        <v>1205</v>
      </c>
      <c r="K488" s="94" t="s">
        <v>111</v>
      </c>
      <c r="L488" s="95" t="s">
        <v>1195</v>
      </c>
      <c r="M488" s="94" t="s">
        <v>1166</v>
      </c>
      <c r="N488" s="94" t="s">
        <v>41</v>
      </c>
      <c r="O488" s="94" t="s">
        <v>42</v>
      </c>
      <c r="P488" s="94" t="s">
        <v>495</v>
      </c>
      <c r="Q488" s="94" t="s">
        <v>475</v>
      </c>
      <c r="R488" s="94" t="s">
        <v>40</v>
      </c>
      <c r="S488" s="94"/>
      <c r="T488" s="94"/>
      <c r="U488" s="94"/>
      <c r="V488" s="83"/>
      <c r="W488" s="73" t="str">
        <f t="shared" si="2"/>
        <v/>
      </c>
      <c r="X488" s="73" t="str">
        <f t="shared" si="3"/>
        <v>X</v>
      </c>
      <c r="Y488" s="73" t="str">
        <f t="shared" si="4"/>
        <v/>
      </c>
      <c r="Z488" s="73" t="str">
        <f t="shared" si="5"/>
        <v/>
      </c>
      <c r="AA488" s="73" t="s">
        <v>27</v>
      </c>
      <c r="AB488" s="73" t="str">
        <f t="shared" si="20"/>
        <v>Trim 2</v>
      </c>
      <c r="AC488" s="73">
        <f t="shared" si="7"/>
        <v>0</v>
      </c>
      <c r="AD488" s="73">
        <f t="shared" si="8"/>
        <v>0</v>
      </c>
      <c r="AE488" s="70"/>
      <c r="AF488" s="70"/>
      <c r="AG488" s="70"/>
      <c r="AH488" s="70"/>
      <c r="AI488" s="70"/>
    </row>
    <row r="489" spans="1:35" ht="75">
      <c r="A489" s="94" t="s">
        <v>1160</v>
      </c>
      <c r="B489" s="94">
        <v>4</v>
      </c>
      <c r="C489" s="94" t="s">
        <v>1191</v>
      </c>
      <c r="D489" s="96">
        <v>0.2</v>
      </c>
      <c r="E489" s="109">
        <v>44351</v>
      </c>
      <c r="F489" s="94" t="s">
        <v>1204</v>
      </c>
      <c r="G489" s="98">
        <v>5.0000000000000001E-3</v>
      </c>
      <c r="H489" s="94" t="s">
        <v>1200</v>
      </c>
      <c r="I489" s="94" t="s">
        <v>685</v>
      </c>
      <c r="J489" s="94" t="s">
        <v>1205</v>
      </c>
      <c r="K489" s="94" t="s">
        <v>115</v>
      </c>
      <c r="L489" s="95" t="s">
        <v>1195</v>
      </c>
      <c r="M489" s="94" t="s">
        <v>1166</v>
      </c>
      <c r="N489" s="94" t="s">
        <v>41</v>
      </c>
      <c r="O489" s="94" t="s">
        <v>42</v>
      </c>
      <c r="P489" s="94" t="s">
        <v>495</v>
      </c>
      <c r="Q489" s="94" t="s">
        <v>475</v>
      </c>
      <c r="R489" s="94" t="s">
        <v>40</v>
      </c>
      <c r="S489" s="94"/>
      <c r="T489" s="94"/>
      <c r="U489" s="94"/>
      <c r="V489" s="83"/>
      <c r="W489" s="73" t="str">
        <f t="shared" si="2"/>
        <v/>
      </c>
      <c r="X489" s="73" t="str">
        <f t="shared" si="3"/>
        <v/>
      </c>
      <c r="Y489" s="73" t="str">
        <f t="shared" si="4"/>
        <v>X</v>
      </c>
      <c r="Z489" s="73" t="str">
        <f t="shared" si="5"/>
        <v/>
      </c>
      <c r="AA489" s="73" t="s">
        <v>28</v>
      </c>
      <c r="AB489" s="73" t="str">
        <f t="shared" si="20"/>
        <v>Trim 3</v>
      </c>
      <c r="AC489" s="73">
        <f t="shared" si="7"/>
        <v>0</v>
      </c>
      <c r="AD489" s="73">
        <f t="shared" si="8"/>
        <v>0</v>
      </c>
      <c r="AE489" s="70"/>
      <c r="AF489" s="70"/>
      <c r="AG489" s="70"/>
      <c r="AH489" s="70"/>
      <c r="AI489" s="70"/>
    </row>
    <row r="490" spans="1:35" ht="75">
      <c r="A490" s="94" t="s">
        <v>1160</v>
      </c>
      <c r="B490" s="94">
        <v>4</v>
      </c>
      <c r="C490" s="94" t="s">
        <v>1191</v>
      </c>
      <c r="D490" s="96">
        <v>0.2</v>
      </c>
      <c r="E490" s="109">
        <v>44381</v>
      </c>
      <c r="F490" s="94" t="s">
        <v>1206</v>
      </c>
      <c r="G490" s="98">
        <v>5.0000000000000001E-3</v>
      </c>
      <c r="H490" s="94" t="s">
        <v>1200</v>
      </c>
      <c r="I490" s="94" t="s">
        <v>685</v>
      </c>
      <c r="J490" s="94" t="s">
        <v>1207</v>
      </c>
      <c r="K490" s="94" t="s">
        <v>45</v>
      </c>
      <c r="L490" s="95" t="s">
        <v>1195</v>
      </c>
      <c r="M490" s="94" t="s">
        <v>1166</v>
      </c>
      <c r="N490" s="94" t="s">
        <v>41</v>
      </c>
      <c r="O490" s="94" t="s">
        <v>42</v>
      </c>
      <c r="P490" s="94" t="s">
        <v>495</v>
      </c>
      <c r="Q490" s="94" t="s">
        <v>475</v>
      </c>
      <c r="R490" s="94" t="s">
        <v>40</v>
      </c>
      <c r="S490" s="98">
        <v>5.0000000000000001E-3</v>
      </c>
      <c r="T490" s="94" t="s">
        <v>45</v>
      </c>
      <c r="U490" s="94"/>
      <c r="V490" s="83"/>
      <c r="W490" s="73" t="str">
        <f t="shared" si="2"/>
        <v>X</v>
      </c>
      <c r="X490" s="73" t="str">
        <f t="shared" si="3"/>
        <v/>
      </c>
      <c r="Y490" s="73" t="str">
        <f t="shared" si="4"/>
        <v/>
      </c>
      <c r="Z490" s="73" t="str">
        <f t="shared" si="5"/>
        <v/>
      </c>
      <c r="AA490" s="73" t="s">
        <v>26</v>
      </c>
      <c r="AB490" s="73" t="str">
        <f t="shared" si="20"/>
        <v>Trim 1</v>
      </c>
      <c r="AC490" s="73">
        <f t="shared" si="7"/>
        <v>1</v>
      </c>
      <c r="AD490" s="73">
        <f t="shared" si="8"/>
        <v>1</v>
      </c>
      <c r="AE490" s="70"/>
      <c r="AF490" s="70"/>
      <c r="AG490" s="70"/>
      <c r="AH490" s="70"/>
      <c r="AI490" s="70"/>
    </row>
    <row r="491" spans="1:35" ht="75">
      <c r="A491" s="94" t="s">
        <v>1160</v>
      </c>
      <c r="B491" s="94">
        <v>4</v>
      </c>
      <c r="C491" s="94" t="s">
        <v>1191</v>
      </c>
      <c r="D491" s="96">
        <v>0.2</v>
      </c>
      <c r="E491" s="109">
        <v>44381</v>
      </c>
      <c r="F491" s="94" t="s">
        <v>1206</v>
      </c>
      <c r="G491" s="98">
        <v>0.01</v>
      </c>
      <c r="H491" s="94" t="s">
        <v>1200</v>
      </c>
      <c r="I491" s="94" t="s">
        <v>685</v>
      </c>
      <c r="J491" s="94" t="s">
        <v>1207</v>
      </c>
      <c r="K491" s="94" t="s">
        <v>111</v>
      </c>
      <c r="L491" s="95" t="s">
        <v>1195</v>
      </c>
      <c r="M491" s="94" t="s">
        <v>1166</v>
      </c>
      <c r="N491" s="94" t="s">
        <v>41</v>
      </c>
      <c r="O491" s="94" t="s">
        <v>42</v>
      </c>
      <c r="P491" s="94" t="s">
        <v>495</v>
      </c>
      <c r="Q491" s="94" t="s">
        <v>475</v>
      </c>
      <c r="R491" s="94" t="s">
        <v>40</v>
      </c>
      <c r="S491" s="94"/>
      <c r="T491" s="94"/>
      <c r="U491" s="94"/>
      <c r="V491" s="83"/>
      <c r="W491" s="73" t="str">
        <f t="shared" si="2"/>
        <v/>
      </c>
      <c r="X491" s="73" t="str">
        <f t="shared" si="3"/>
        <v>X</v>
      </c>
      <c r="Y491" s="73" t="str">
        <f t="shared" si="4"/>
        <v/>
      </c>
      <c r="Z491" s="73" t="str">
        <f t="shared" si="5"/>
        <v/>
      </c>
      <c r="AA491" s="73" t="s">
        <v>27</v>
      </c>
      <c r="AB491" s="73" t="str">
        <f t="shared" si="20"/>
        <v>Trim 2</v>
      </c>
      <c r="AC491" s="73">
        <f t="shared" si="7"/>
        <v>0</v>
      </c>
      <c r="AD491" s="73">
        <f t="shared" si="8"/>
        <v>0</v>
      </c>
      <c r="AE491" s="70"/>
      <c r="AF491" s="70"/>
      <c r="AG491" s="70"/>
      <c r="AH491" s="70"/>
      <c r="AI491" s="70"/>
    </row>
    <row r="492" spans="1:35" ht="75">
      <c r="A492" s="94" t="s">
        <v>1160</v>
      </c>
      <c r="B492" s="94">
        <v>4</v>
      </c>
      <c r="C492" s="94" t="s">
        <v>1191</v>
      </c>
      <c r="D492" s="96">
        <v>0.2</v>
      </c>
      <c r="E492" s="109">
        <v>44381</v>
      </c>
      <c r="F492" s="94" t="s">
        <v>1206</v>
      </c>
      <c r="G492" s="98">
        <v>5.0000000000000001E-3</v>
      </c>
      <c r="H492" s="94" t="s">
        <v>1200</v>
      </c>
      <c r="I492" s="94" t="s">
        <v>685</v>
      </c>
      <c r="J492" s="94" t="s">
        <v>1207</v>
      </c>
      <c r="K492" s="94" t="s">
        <v>115</v>
      </c>
      <c r="L492" s="95" t="s">
        <v>1195</v>
      </c>
      <c r="M492" s="94" t="s">
        <v>1166</v>
      </c>
      <c r="N492" s="94" t="s">
        <v>41</v>
      </c>
      <c r="O492" s="94" t="s">
        <v>42</v>
      </c>
      <c r="P492" s="94" t="s">
        <v>495</v>
      </c>
      <c r="Q492" s="94" t="s">
        <v>475</v>
      </c>
      <c r="R492" s="94" t="s">
        <v>40</v>
      </c>
      <c r="S492" s="94"/>
      <c r="T492" s="94"/>
      <c r="U492" s="94"/>
      <c r="V492" s="83"/>
      <c r="W492" s="73" t="str">
        <f t="shared" si="2"/>
        <v/>
      </c>
      <c r="X492" s="73" t="str">
        <f t="shared" si="3"/>
        <v/>
      </c>
      <c r="Y492" s="73" t="str">
        <f t="shared" si="4"/>
        <v>X</v>
      </c>
      <c r="Z492" s="73" t="str">
        <f t="shared" si="5"/>
        <v/>
      </c>
      <c r="AA492" s="73" t="s">
        <v>28</v>
      </c>
      <c r="AB492" s="73" t="str">
        <f t="shared" si="20"/>
        <v>Trim 3</v>
      </c>
      <c r="AC492" s="73">
        <f t="shared" si="7"/>
        <v>0</v>
      </c>
      <c r="AD492" s="73">
        <f t="shared" si="8"/>
        <v>0</v>
      </c>
      <c r="AE492" s="70"/>
      <c r="AF492" s="70"/>
      <c r="AG492" s="70"/>
      <c r="AH492" s="70"/>
      <c r="AI492" s="70"/>
    </row>
    <row r="493" spans="1:35" ht="75">
      <c r="A493" s="94" t="s">
        <v>1160</v>
      </c>
      <c r="B493" s="94">
        <v>4</v>
      </c>
      <c r="C493" s="94" t="s">
        <v>1191</v>
      </c>
      <c r="D493" s="96">
        <v>0.2</v>
      </c>
      <c r="E493" s="109">
        <v>44412</v>
      </c>
      <c r="F493" s="94" t="s">
        <v>1208</v>
      </c>
      <c r="G493" s="98">
        <v>0.01</v>
      </c>
      <c r="H493" s="94" t="s">
        <v>1200</v>
      </c>
      <c r="I493" s="94" t="s">
        <v>685</v>
      </c>
      <c r="J493" s="94" t="s">
        <v>1172</v>
      </c>
      <c r="K493" s="94" t="s">
        <v>45</v>
      </c>
      <c r="L493" s="95" t="s">
        <v>1195</v>
      </c>
      <c r="M493" s="94" t="s">
        <v>1166</v>
      </c>
      <c r="N493" s="94" t="s">
        <v>41</v>
      </c>
      <c r="O493" s="94" t="s">
        <v>42</v>
      </c>
      <c r="P493" s="94" t="s">
        <v>495</v>
      </c>
      <c r="Q493" s="94" t="s">
        <v>475</v>
      </c>
      <c r="R493" s="94" t="s">
        <v>40</v>
      </c>
      <c r="S493" s="98">
        <v>0.01</v>
      </c>
      <c r="T493" s="94" t="s">
        <v>45</v>
      </c>
      <c r="U493" s="94"/>
      <c r="V493" s="83"/>
      <c r="W493" s="73" t="str">
        <f t="shared" si="2"/>
        <v>X</v>
      </c>
      <c r="X493" s="73" t="str">
        <f t="shared" si="3"/>
        <v/>
      </c>
      <c r="Y493" s="73" t="str">
        <f t="shared" si="4"/>
        <v/>
      </c>
      <c r="Z493" s="73" t="str">
        <f t="shared" si="5"/>
        <v/>
      </c>
      <c r="AA493" s="73" t="s">
        <v>26</v>
      </c>
      <c r="AB493" s="73" t="str">
        <f t="shared" si="20"/>
        <v>Trim 1</v>
      </c>
      <c r="AC493" s="73">
        <f t="shared" si="7"/>
        <v>1</v>
      </c>
      <c r="AD493" s="73">
        <f t="shared" si="8"/>
        <v>1</v>
      </c>
      <c r="AE493" s="70"/>
      <c r="AF493" s="70"/>
      <c r="AG493" s="70"/>
      <c r="AH493" s="70"/>
      <c r="AI493" s="70"/>
    </row>
    <row r="494" spans="1:35" ht="75">
      <c r="A494" s="94" t="s">
        <v>1160</v>
      </c>
      <c r="B494" s="94">
        <v>4</v>
      </c>
      <c r="C494" s="94" t="s">
        <v>1191</v>
      </c>
      <c r="D494" s="96">
        <v>0.2</v>
      </c>
      <c r="E494" s="109">
        <v>44412</v>
      </c>
      <c r="F494" s="94" t="s">
        <v>1208</v>
      </c>
      <c r="G494" s="98">
        <v>0.01</v>
      </c>
      <c r="H494" s="94" t="s">
        <v>1200</v>
      </c>
      <c r="I494" s="94" t="s">
        <v>685</v>
      </c>
      <c r="J494" s="94" t="s">
        <v>1172</v>
      </c>
      <c r="K494" s="94" t="s">
        <v>111</v>
      </c>
      <c r="L494" s="95" t="s">
        <v>1195</v>
      </c>
      <c r="M494" s="94" t="s">
        <v>1166</v>
      </c>
      <c r="N494" s="94" t="s">
        <v>41</v>
      </c>
      <c r="O494" s="94" t="s">
        <v>42</v>
      </c>
      <c r="P494" s="94" t="s">
        <v>495</v>
      </c>
      <c r="Q494" s="94" t="s">
        <v>475</v>
      </c>
      <c r="R494" s="94" t="s">
        <v>40</v>
      </c>
      <c r="S494" s="94"/>
      <c r="T494" s="94"/>
      <c r="U494" s="94"/>
      <c r="V494" s="83"/>
      <c r="W494" s="73" t="str">
        <f t="shared" si="2"/>
        <v/>
      </c>
      <c r="X494" s="73" t="str">
        <f t="shared" si="3"/>
        <v>X</v>
      </c>
      <c r="Y494" s="73" t="str">
        <f t="shared" si="4"/>
        <v/>
      </c>
      <c r="Z494" s="73" t="str">
        <f t="shared" si="5"/>
        <v/>
      </c>
      <c r="AA494" s="73" t="s">
        <v>27</v>
      </c>
      <c r="AB494" s="73" t="str">
        <f t="shared" si="20"/>
        <v>Trim 2</v>
      </c>
      <c r="AC494" s="73">
        <f t="shared" si="7"/>
        <v>0</v>
      </c>
      <c r="AD494" s="73">
        <f t="shared" si="8"/>
        <v>0</v>
      </c>
      <c r="AE494" s="70"/>
      <c r="AF494" s="70"/>
      <c r="AG494" s="70"/>
      <c r="AH494" s="70"/>
      <c r="AI494" s="70"/>
    </row>
    <row r="495" spans="1:35" ht="75">
      <c r="A495" s="94" t="s">
        <v>1160</v>
      </c>
      <c r="B495" s="94">
        <v>4</v>
      </c>
      <c r="C495" s="94" t="s">
        <v>1191</v>
      </c>
      <c r="D495" s="96">
        <v>0.2</v>
      </c>
      <c r="E495" s="109">
        <v>44443</v>
      </c>
      <c r="F495" s="94" t="s">
        <v>1209</v>
      </c>
      <c r="G495" s="98">
        <v>0.01</v>
      </c>
      <c r="H495" s="94" t="s">
        <v>1210</v>
      </c>
      <c r="I495" s="94" t="s">
        <v>685</v>
      </c>
      <c r="J495" s="94" t="s">
        <v>1194</v>
      </c>
      <c r="K495" s="94" t="s">
        <v>45</v>
      </c>
      <c r="L495" s="95" t="s">
        <v>1195</v>
      </c>
      <c r="M495" s="94" t="s">
        <v>1166</v>
      </c>
      <c r="N495" s="94" t="s">
        <v>41</v>
      </c>
      <c r="O495" s="94" t="s">
        <v>42</v>
      </c>
      <c r="P495" s="94" t="s">
        <v>495</v>
      </c>
      <c r="Q495" s="94" t="s">
        <v>475</v>
      </c>
      <c r="R495" s="94" t="s">
        <v>40</v>
      </c>
      <c r="S495" s="98">
        <v>0.01</v>
      </c>
      <c r="T495" s="94" t="s">
        <v>45</v>
      </c>
      <c r="U495" s="94"/>
      <c r="V495" s="83"/>
      <c r="W495" s="73" t="str">
        <f t="shared" si="2"/>
        <v>X</v>
      </c>
      <c r="X495" s="73" t="str">
        <f t="shared" si="3"/>
        <v/>
      </c>
      <c r="Y495" s="73" t="str">
        <f t="shared" si="4"/>
        <v/>
      </c>
      <c r="Z495" s="73" t="str">
        <f t="shared" si="5"/>
        <v/>
      </c>
      <c r="AA495" s="73" t="s">
        <v>26</v>
      </c>
      <c r="AB495" s="73" t="str">
        <f t="shared" si="20"/>
        <v>Trim 1</v>
      </c>
      <c r="AC495" s="73">
        <f t="shared" si="7"/>
        <v>1</v>
      </c>
      <c r="AD495" s="73">
        <f t="shared" si="8"/>
        <v>1</v>
      </c>
      <c r="AE495" s="70"/>
      <c r="AF495" s="70"/>
      <c r="AG495" s="70"/>
      <c r="AH495" s="70"/>
      <c r="AI495" s="70"/>
    </row>
    <row r="496" spans="1:35" ht="75">
      <c r="A496" s="94" t="s">
        <v>1160</v>
      </c>
      <c r="B496" s="94">
        <v>4</v>
      </c>
      <c r="C496" s="94" t="s">
        <v>1191</v>
      </c>
      <c r="D496" s="96">
        <v>0.2</v>
      </c>
      <c r="E496" s="109">
        <v>44443</v>
      </c>
      <c r="F496" s="94" t="s">
        <v>1209</v>
      </c>
      <c r="G496" s="98">
        <v>0.01</v>
      </c>
      <c r="H496" s="94" t="s">
        <v>1210</v>
      </c>
      <c r="I496" s="94" t="s">
        <v>685</v>
      </c>
      <c r="J496" s="94" t="s">
        <v>1194</v>
      </c>
      <c r="K496" s="94" t="s">
        <v>111</v>
      </c>
      <c r="L496" s="95" t="s">
        <v>1195</v>
      </c>
      <c r="M496" s="94" t="s">
        <v>1166</v>
      </c>
      <c r="N496" s="94" t="s">
        <v>41</v>
      </c>
      <c r="O496" s="94" t="s">
        <v>42</v>
      </c>
      <c r="P496" s="94" t="s">
        <v>495</v>
      </c>
      <c r="Q496" s="94" t="s">
        <v>475</v>
      </c>
      <c r="R496" s="94" t="s">
        <v>40</v>
      </c>
      <c r="S496" s="94"/>
      <c r="T496" s="94"/>
      <c r="U496" s="94"/>
      <c r="V496" s="83"/>
      <c r="W496" s="73" t="str">
        <f t="shared" si="2"/>
        <v/>
      </c>
      <c r="X496" s="73" t="str">
        <f t="shared" si="3"/>
        <v>X</v>
      </c>
      <c r="Y496" s="73" t="str">
        <f t="shared" si="4"/>
        <v/>
      </c>
      <c r="Z496" s="73" t="str">
        <f t="shared" si="5"/>
        <v/>
      </c>
      <c r="AA496" s="73" t="s">
        <v>27</v>
      </c>
      <c r="AB496" s="73" t="str">
        <f t="shared" si="20"/>
        <v>Trim 2</v>
      </c>
      <c r="AC496" s="73">
        <f t="shared" si="7"/>
        <v>0</v>
      </c>
      <c r="AD496" s="73">
        <f t="shared" si="8"/>
        <v>0</v>
      </c>
      <c r="AE496" s="70"/>
      <c r="AF496" s="70"/>
      <c r="AG496" s="70"/>
      <c r="AH496" s="70"/>
      <c r="AI496" s="70"/>
    </row>
    <row r="497" spans="1:35" ht="75">
      <c r="A497" s="94" t="s">
        <v>1160</v>
      </c>
      <c r="B497" s="94">
        <v>4</v>
      </c>
      <c r="C497" s="94" t="s">
        <v>1191</v>
      </c>
      <c r="D497" s="96">
        <v>0.2</v>
      </c>
      <c r="E497" s="109">
        <v>44473</v>
      </c>
      <c r="F497" s="94" t="s">
        <v>1211</v>
      </c>
      <c r="G497" s="96">
        <v>1.4999999999999999E-2</v>
      </c>
      <c r="H497" s="94" t="s">
        <v>1212</v>
      </c>
      <c r="I497" s="94" t="s">
        <v>685</v>
      </c>
      <c r="J497" s="94" t="s">
        <v>1194</v>
      </c>
      <c r="K497" s="94" t="s">
        <v>45</v>
      </c>
      <c r="L497" s="95" t="s">
        <v>1195</v>
      </c>
      <c r="M497" s="94" t="s">
        <v>1166</v>
      </c>
      <c r="N497" s="94" t="s">
        <v>41</v>
      </c>
      <c r="O497" s="94" t="s">
        <v>42</v>
      </c>
      <c r="P497" s="94" t="s">
        <v>495</v>
      </c>
      <c r="Q497" s="94" t="s">
        <v>475</v>
      </c>
      <c r="R497" s="94" t="s">
        <v>40</v>
      </c>
      <c r="S497" s="98">
        <v>1.4999999999999999E-2</v>
      </c>
      <c r="T497" s="94" t="s">
        <v>45</v>
      </c>
      <c r="U497" s="94"/>
      <c r="V497" s="83"/>
      <c r="W497" s="73" t="str">
        <f t="shared" si="2"/>
        <v>X</v>
      </c>
      <c r="X497" s="73" t="str">
        <f t="shared" si="3"/>
        <v/>
      </c>
      <c r="Y497" s="73" t="str">
        <f t="shared" si="4"/>
        <v/>
      </c>
      <c r="Z497" s="73" t="str">
        <f t="shared" si="5"/>
        <v/>
      </c>
      <c r="AA497" s="73" t="s">
        <v>26</v>
      </c>
      <c r="AB497" s="73" t="str">
        <f t="shared" si="20"/>
        <v>Trim 1</v>
      </c>
      <c r="AC497" s="73">
        <f t="shared" si="7"/>
        <v>1</v>
      </c>
      <c r="AD497" s="73">
        <f t="shared" si="8"/>
        <v>1</v>
      </c>
      <c r="AE497" s="70"/>
      <c r="AF497" s="70"/>
      <c r="AG497" s="70"/>
      <c r="AH497" s="70"/>
      <c r="AI497" s="70"/>
    </row>
    <row r="498" spans="1:35" ht="75">
      <c r="A498" s="94" t="s">
        <v>1160</v>
      </c>
      <c r="B498" s="94">
        <v>4</v>
      </c>
      <c r="C498" s="94" t="s">
        <v>1191</v>
      </c>
      <c r="D498" s="96">
        <v>0.2</v>
      </c>
      <c r="E498" s="109">
        <v>44473</v>
      </c>
      <c r="F498" s="94" t="s">
        <v>1211</v>
      </c>
      <c r="G498" s="96">
        <v>5.0000000000000001E-3</v>
      </c>
      <c r="H498" s="94" t="s">
        <v>1212</v>
      </c>
      <c r="I498" s="94" t="s">
        <v>685</v>
      </c>
      <c r="J498" s="94" t="s">
        <v>1194</v>
      </c>
      <c r="K498" s="94" t="s">
        <v>111</v>
      </c>
      <c r="L498" s="95" t="s">
        <v>1195</v>
      </c>
      <c r="M498" s="94" t="s">
        <v>1166</v>
      </c>
      <c r="N498" s="94" t="s">
        <v>41</v>
      </c>
      <c r="O498" s="94" t="s">
        <v>42</v>
      </c>
      <c r="P498" s="94" t="s">
        <v>495</v>
      </c>
      <c r="Q498" s="94" t="s">
        <v>475</v>
      </c>
      <c r="R498" s="94" t="s">
        <v>40</v>
      </c>
      <c r="S498" s="94"/>
      <c r="T498" s="94"/>
      <c r="U498" s="94"/>
      <c r="V498" s="83"/>
      <c r="W498" s="73" t="str">
        <f t="shared" si="2"/>
        <v/>
      </c>
      <c r="X498" s="73" t="str">
        <f t="shared" si="3"/>
        <v>X</v>
      </c>
      <c r="Y498" s="73" t="str">
        <f t="shared" si="4"/>
        <v/>
      </c>
      <c r="Z498" s="73" t="str">
        <f t="shared" si="5"/>
        <v/>
      </c>
      <c r="AA498" s="73" t="s">
        <v>27</v>
      </c>
      <c r="AB498" s="73" t="str">
        <f t="shared" si="20"/>
        <v>Trim 2</v>
      </c>
      <c r="AC498" s="73">
        <f t="shared" si="7"/>
        <v>0</v>
      </c>
      <c r="AD498" s="73">
        <f t="shared" si="8"/>
        <v>0</v>
      </c>
      <c r="AE498" s="70"/>
      <c r="AF498" s="70"/>
      <c r="AG498" s="70"/>
      <c r="AH498" s="70"/>
      <c r="AI498" s="70"/>
    </row>
    <row r="499" spans="1:35" ht="75">
      <c r="A499" s="94" t="s">
        <v>1160</v>
      </c>
      <c r="B499" s="94">
        <v>5</v>
      </c>
      <c r="C499" s="94" t="s">
        <v>1213</v>
      </c>
      <c r="D499" s="96">
        <v>0.2</v>
      </c>
      <c r="E499" s="109">
        <v>44201</v>
      </c>
      <c r="F499" s="94" t="s">
        <v>1214</v>
      </c>
      <c r="G499" s="96">
        <v>1.6799999999999999E-2</v>
      </c>
      <c r="H499" s="94" t="s">
        <v>1215</v>
      </c>
      <c r="I499" s="94" t="s">
        <v>685</v>
      </c>
      <c r="J499" s="94" t="s">
        <v>1170</v>
      </c>
      <c r="K499" s="94" t="s">
        <v>45</v>
      </c>
      <c r="L499" s="95" t="s">
        <v>40</v>
      </c>
      <c r="M499" s="94" t="s">
        <v>1166</v>
      </c>
      <c r="N499" s="94" t="s">
        <v>41</v>
      </c>
      <c r="O499" s="94" t="s">
        <v>42</v>
      </c>
      <c r="P499" s="94" t="s">
        <v>495</v>
      </c>
      <c r="Q499" s="94" t="s">
        <v>475</v>
      </c>
      <c r="R499" s="94" t="s">
        <v>40</v>
      </c>
      <c r="S499" s="98">
        <v>1.6799999999999999E-2</v>
      </c>
      <c r="T499" s="94" t="s">
        <v>45</v>
      </c>
      <c r="U499" s="94"/>
      <c r="V499" s="83"/>
      <c r="W499" s="73" t="str">
        <f t="shared" si="2"/>
        <v>X</v>
      </c>
      <c r="X499" s="73" t="str">
        <f t="shared" si="3"/>
        <v/>
      </c>
      <c r="Y499" s="73" t="str">
        <f t="shared" si="4"/>
        <v/>
      </c>
      <c r="Z499" s="73" t="str">
        <f t="shared" si="5"/>
        <v/>
      </c>
      <c r="AA499" s="73" t="s">
        <v>26</v>
      </c>
      <c r="AB499" s="73" t="str">
        <f t="shared" si="20"/>
        <v>Trim 1</v>
      </c>
      <c r="AC499" s="73">
        <f t="shared" si="7"/>
        <v>1</v>
      </c>
      <c r="AD499" s="73">
        <f t="shared" si="8"/>
        <v>1</v>
      </c>
      <c r="AE499" s="70"/>
      <c r="AF499" s="70"/>
      <c r="AG499" s="70"/>
      <c r="AH499" s="70"/>
      <c r="AI499" s="70"/>
    </row>
    <row r="500" spans="1:35" ht="45">
      <c r="A500" s="94" t="s">
        <v>1160</v>
      </c>
      <c r="B500" s="94">
        <v>5</v>
      </c>
      <c r="C500" s="94" t="s">
        <v>1213</v>
      </c>
      <c r="D500" s="96">
        <v>0.2</v>
      </c>
      <c r="E500" s="109">
        <v>44201</v>
      </c>
      <c r="F500" s="94" t="s">
        <v>1214</v>
      </c>
      <c r="G500" s="96">
        <v>1.6799999999999999E-2</v>
      </c>
      <c r="H500" s="94" t="s">
        <v>1215</v>
      </c>
      <c r="I500" s="94" t="s">
        <v>685</v>
      </c>
      <c r="J500" s="94" t="s">
        <v>1170</v>
      </c>
      <c r="K500" s="94" t="s">
        <v>111</v>
      </c>
      <c r="L500" s="95"/>
      <c r="M500" s="94"/>
      <c r="N500" s="94"/>
      <c r="O500" s="94"/>
      <c r="P500" s="94"/>
      <c r="Q500" s="94"/>
      <c r="R500" s="94"/>
      <c r="S500" s="101"/>
      <c r="T500" s="94"/>
      <c r="U500" s="94"/>
      <c r="V500" s="83"/>
      <c r="W500" s="73" t="str">
        <f t="shared" si="2"/>
        <v/>
      </c>
      <c r="X500" s="73" t="str">
        <f t="shared" si="3"/>
        <v>X</v>
      </c>
      <c r="Y500" s="73" t="str">
        <f t="shared" si="4"/>
        <v/>
      </c>
      <c r="Z500" s="73" t="str">
        <f t="shared" si="5"/>
        <v/>
      </c>
      <c r="AA500" s="73" t="s">
        <v>27</v>
      </c>
      <c r="AB500" s="73" t="str">
        <f t="shared" si="20"/>
        <v>Trim 2</v>
      </c>
      <c r="AC500" s="73">
        <f t="shared" si="7"/>
        <v>0</v>
      </c>
      <c r="AD500" s="73">
        <f t="shared" si="8"/>
        <v>0</v>
      </c>
      <c r="AE500" s="70"/>
      <c r="AF500" s="70"/>
      <c r="AG500" s="70"/>
      <c r="AH500" s="70"/>
      <c r="AI500" s="70"/>
    </row>
    <row r="501" spans="1:35" ht="45">
      <c r="A501" s="94" t="s">
        <v>1160</v>
      </c>
      <c r="B501" s="94">
        <v>5</v>
      </c>
      <c r="C501" s="94" t="s">
        <v>1213</v>
      </c>
      <c r="D501" s="96">
        <v>0.2</v>
      </c>
      <c r="E501" s="109">
        <v>44201</v>
      </c>
      <c r="F501" s="94" t="s">
        <v>1214</v>
      </c>
      <c r="G501" s="96">
        <v>1.6799999999999999E-2</v>
      </c>
      <c r="H501" s="94" t="s">
        <v>1215</v>
      </c>
      <c r="I501" s="94" t="s">
        <v>685</v>
      </c>
      <c r="J501" s="94" t="s">
        <v>1170</v>
      </c>
      <c r="K501" s="94" t="s">
        <v>115</v>
      </c>
      <c r="L501" s="95"/>
      <c r="M501" s="94"/>
      <c r="N501" s="94"/>
      <c r="O501" s="94"/>
      <c r="P501" s="94"/>
      <c r="Q501" s="94"/>
      <c r="R501" s="94"/>
      <c r="S501" s="101"/>
      <c r="T501" s="94"/>
      <c r="U501" s="94"/>
      <c r="V501" s="83"/>
      <c r="W501" s="73" t="str">
        <f t="shared" si="2"/>
        <v/>
      </c>
      <c r="X501" s="73" t="str">
        <f t="shared" si="3"/>
        <v/>
      </c>
      <c r="Y501" s="73" t="str">
        <f t="shared" si="4"/>
        <v>X</v>
      </c>
      <c r="Z501" s="73" t="str">
        <f t="shared" si="5"/>
        <v/>
      </c>
      <c r="AA501" s="73" t="s">
        <v>28</v>
      </c>
      <c r="AB501" s="73" t="str">
        <f t="shared" si="20"/>
        <v>Trim 3</v>
      </c>
      <c r="AC501" s="73">
        <f t="shared" si="7"/>
        <v>0</v>
      </c>
      <c r="AD501" s="73">
        <f t="shared" si="8"/>
        <v>0</v>
      </c>
      <c r="AE501" s="70"/>
      <c r="AF501" s="70"/>
      <c r="AG501" s="70"/>
      <c r="AH501" s="70"/>
      <c r="AI501" s="70"/>
    </row>
    <row r="502" spans="1:35" ht="45">
      <c r="A502" s="94" t="s">
        <v>1160</v>
      </c>
      <c r="B502" s="94">
        <v>5</v>
      </c>
      <c r="C502" s="94" t="s">
        <v>1213</v>
      </c>
      <c r="D502" s="96">
        <v>0.2</v>
      </c>
      <c r="E502" s="109">
        <v>44201</v>
      </c>
      <c r="F502" s="94" t="s">
        <v>1214</v>
      </c>
      <c r="G502" s="96">
        <v>1.6799999999999999E-2</v>
      </c>
      <c r="H502" s="94" t="s">
        <v>1215</v>
      </c>
      <c r="I502" s="94" t="s">
        <v>685</v>
      </c>
      <c r="J502" s="94" t="s">
        <v>1170</v>
      </c>
      <c r="K502" s="94" t="s">
        <v>39</v>
      </c>
      <c r="L502" s="95"/>
      <c r="M502" s="94"/>
      <c r="N502" s="94"/>
      <c r="O502" s="94"/>
      <c r="P502" s="94"/>
      <c r="Q502" s="94"/>
      <c r="R502" s="94"/>
      <c r="S502" s="101"/>
      <c r="T502" s="94"/>
      <c r="U502" s="94"/>
      <c r="V502" s="83"/>
      <c r="W502" s="73" t="str">
        <f t="shared" si="2"/>
        <v/>
      </c>
      <c r="X502" s="73" t="str">
        <f t="shared" si="3"/>
        <v/>
      </c>
      <c r="Y502" s="73" t="str">
        <f t="shared" si="4"/>
        <v/>
      </c>
      <c r="Z502" s="73" t="str">
        <f t="shared" si="5"/>
        <v>X</v>
      </c>
      <c r="AA502" s="73" t="s">
        <v>29</v>
      </c>
      <c r="AB502" s="73" t="str">
        <f t="shared" si="20"/>
        <v>Trim 4</v>
      </c>
      <c r="AC502" s="73">
        <f t="shared" si="7"/>
        <v>0</v>
      </c>
      <c r="AD502" s="73">
        <f t="shared" si="8"/>
        <v>0</v>
      </c>
      <c r="AE502" s="70"/>
      <c r="AF502" s="70"/>
      <c r="AG502" s="70"/>
      <c r="AH502" s="70"/>
      <c r="AI502" s="70"/>
    </row>
    <row r="503" spans="1:35" ht="45">
      <c r="A503" s="94" t="s">
        <v>1160</v>
      </c>
      <c r="B503" s="94">
        <v>5</v>
      </c>
      <c r="C503" s="94" t="s">
        <v>1213</v>
      </c>
      <c r="D503" s="96">
        <v>0.2</v>
      </c>
      <c r="E503" s="109">
        <v>44232</v>
      </c>
      <c r="F503" s="94" t="s">
        <v>1216</v>
      </c>
      <c r="G503" s="96">
        <v>1.6799999999999999E-2</v>
      </c>
      <c r="H503" s="94" t="s">
        <v>1217</v>
      </c>
      <c r="I503" s="94" t="s">
        <v>685</v>
      </c>
      <c r="J503" s="94" t="s">
        <v>1201</v>
      </c>
      <c r="K503" s="94" t="s">
        <v>45</v>
      </c>
      <c r="L503" s="112"/>
      <c r="M503" s="106"/>
      <c r="N503" s="106"/>
      <c r="O503" s="106"/>
      <c r="P503" s="106"/>
      <c r="Q503" s="106"/>
      <c r="R503" s="106"/>
      <c r="S503" s="105">
        <v>1.6799999999999999E-2</v>
      </c>
      <c r="T503" s="100" t="s">
        <v>45</v>
      </c>
      <c r="U503" s="106"/>
      <c r="V503" s="83"/>
      <c r="W503" s="73" t="str">
        <f t="shared" si="2"/>
        <v>X</v>
      </c>
      <c r="X503" s="73" t="str">
        <f t="shared" si="3"/>
        <v/>
      </c>
      <c r="Y503" s="73" t="str">
        <f t="shared" si="4"/>
        <v/>
      </c>
      <c r="Z503" s="73" t="str">
        <f t="shared" si="5"/>
        <v/>
      </c>
      <c r="AA503" s="73" t="s">
        <v>26</v>
      </c>
      <c r="AB503" s="73" t="str">
        <f t="shared" si="20"/>
        <v>Trim 1</v>
      </c>
      <c r="AC503" s="73">
        <f t="shared" si="7"/>
        <v>1</v>
      </c>
      <c r="AD503" s="73">
        <f t="shared" si="8"/>
        <v>1</v>
      </c>
      <c r="AE503" s="70"/>
      <c r="AF503" s="70"/>
      <c r="AG503" s="70"/>
      <c r="AH503" s="70"/>
      <c r="AI503" s="70"/>
    </row>
    <row r="504" spans="1:35" ht="45">
      <c r="A504" s="94" t="s">
        <v>1160</v>
      </c>
      <c r="B504" s="94">
        <v>5</v>
      </c>
      <c r="C504" s="94" t="s">
        <v>1213</v>
      </c>
      <c r="D504" s="96">
        <v>0.2</v>
      </c>
      <c r="E504" s="109">
        <v>44232</v>
      </c>
      <c r="F504" s="94" t="s">
        <v>1216</v>
      </c>
      <c r="G504" s="96">
        <v>1.6799999999999999E-2</v>
      </c>
      <c r="H504" s="94" t="s">
        <v>1217</v>
      </c>
      <c r="I504" s="94" t="s">
        <v>685</v>
      </c>
      <c r="J504" s="94" t="s">
        <v>1201</v>
      </c>
      <c r="K504" s="94" t="s">
        <v>111</v>
      </c>
      <c r="L504" s="94"/>
      <c r="M504" s="94"/>
      <c r="N504" s="106"/>
      <c r="O504" s="106"/>
      <c r="P504" s="106"/>
      <c r="Q504" s="106"/>
      <c r="R504" s="106"/>
      <c r="S504" s="106"/>
      <c r="T504" s="106"/>
      <c r="U504" s="106"/>
      <c r="V504" s="83"/>
      <c r="W504" s="73" t="str">
        <f t="shared" si="2"/>
        <v/>
      </c>
      <c r="X504" s="73" t="str">
        <f t="shared" si="3"/>
        <v>X</v>
      </c>
      <c r="Y504" s="73" t="str">
        <f t="shared" si="4"/>
        <v/>
      </c>
      <c r="Z504" s="73" t="str">
        <f t="shared" si="5"/>
        <v/>
      </c>
      <c r="AA504" s="73" t="s">
        <v>27</v>
      </c>
      <c r="AB504" s="73" t="str">
        <f t="shared" si="20"/>
        <v>Trim 2</v>
      </c>
      <c r="AC504" s="73">
        <f t="shared" si="7"/>
        <v>0</v>
      </c>
      <c r="AD504" s="73">
        <f t="shared" si="8"/>
        <v>0</v>
      </c>
      <c r="AE504" s="70"/>
      <c r="AF504" s="70"/>
      <c r="AG504" s="70"/>
      <c r="AH504" s="70"/>
      <c r="AI504" s="70"/>
    </row>
    <row r="505" spans="1:35" ht="45">
      <c r="A505" s="94" t="s">
        <v>1160</v>
      </c>
      <c r="B505" s="94">
        <v>5</v>
      </c>
      <c r="C505" s="94" t="s">
        <v>1213</v>
      </c>
      <c r="D505" s="96">
        <v>0.2</v>
      </c>
      <c r="E505" s="109">
        <v>44232</v>
      </c>
      <c r="F505" s="94" t="s">
        <v>1216</v>
      </c>
      <c r="G505" s="96">
        <v>1.6799999999999999E-2</v>
      </c>
      <c r="H505" s="94" t="s">
        <v>1217</v>
      </c>
      <c r="I505" s="94" t="s">
        <v>685</v>
      </c>
      <c r="J505" s="94" t="s">
        <v>1201</v>
      </c>
      <c r="K505" s="94" t="s">
        <v>115</v>
      </c>
      <c r="L505" s="94"/>
      <c r="M505" s="94"/>
      <c r="N505" s="94"/>
      <c r="O505" s="94"/>
      <c r="P505" s="94"/>
      <c r="Q505" s="94"/>
      <c r="R505" s="94" t="s">
        <v>1218</v>
      </c>
      <c r="S505" s="94"/>
      <c r="T505" s="94"/>
      <c r="U505" s="106"/>
      <c r="V505" s="83"/>
      <c r="W505" s="73" t="str">
        <f t="shared" si="2"/>
        <v/>
      </c>
      <c r="X505" s="73" t="str">
        <f t="shared" si="3"/>
        <v/>
      </c>
      <c r="Y505" s="73" t="str">
        <f t="shared" si="4"/>
        <v>X</v>
      </c>
      <c r="Z505" s="73" t="str">
        <f t="shared" si="5"/>
        <v/>
      </c>
      <c r="AA505" s="73" t="s">
        <v>28</v>
      </c>
      <c r="AB505" s="73" t="str">
        <f t="shared" si="20"/>
        <v>Trim 3</v>
      </c>
      <c r="AC505" s="73">
        <f t="shared" si="7"/>
        <v>0</v>
      </c>
      <c r="AD505" s="73">
        <f t="shared" si="8"/>
        <v>0</v>
      </c>
      <c r="AE505" s="70"/>
      <c r="AF505" s="70"/>
      <c r="AG505" s="70"/>
      <c r="AH505" s="70"/>
      <c r="AI505" s="70"/>
    </row>
    <row r="506" spans="1:35" ht="75">
      <c r="A506" s="94" t="s">
        <v>1160</v>
      </c>
      <c r="B506" s="94">
        <v>5</v>
      </c>
      <c r="C506" s="94" t="s">
        <v>1213</v>
      </c>
      <c r="D506" s="96">
        <v>0.2</v>
      </c>
      <c r="E506" s="109">
        <v>44232</v>
      </c>
      <c r="F506" s="94" t="s">
        <v>1216</v>
      </c>
      <c r="G506" s="96">
        <v>1.6799999999999999E-2</v>
      </c>
      <c r="H506" s="94" t="s">
        <v>1180</v>
      </c>
      <c r="I506" s="94" t="s">
        <v>685</v>
      </c>
      <c r="J506" s="94" t="s">
        <v>1201</v>
      </c>
      <c r="K506" s="94" t="s">
        <v>39</v>
      </c>
      <c r="L506" s="95" t="s">
        <v>40</v>
      </c>
      <c r="M506" s="94" t="s">
        <v>1166</v>
      </c>
      <c r="N506" s="94" t="s">
        <v>41</v>
      </c>
      <c r="O506" s="94" t="s">
        <v>42</v>
      </c>
      <c r="P506" s="94" t="s">
        <v>495</v>
      </c>
      <c r="Q506" s="94" t="s">
        <v>475</v>
      </c>
      <c r="R506" s="94" t="s">
        <v>40</v>
      </c>
      <c r="S506" s="94"/>
      <c r="T506" s="94"/>
      <c r="U506" s="94"/>
      <c r="V506" s="83"/>
      <c r="W506" s="73" t="str">
        <f t="shared" si="2"/>
        <v/>
      </c>
      <c r="X506" s="73" t="str">
        <f t="shared" si="3"/>
        <v/>
      </c>
      <c r="Y506" s="73" t="str">
        <f t="shared" si="4"/>
        <v/>
      </c>
      <c r="Z506" s="73" t="str">
        <f t="shared" si="5"/>
        <v>X</v>
      </c>
      <c r="AA506" s="73" t="s">
        <v>29</v>
      </c>
      <c r="AB506" s="73" t="str">
        <f t="shared" si="20"/>
        <v>Trim 4</v>
      </c>
      <c r="AC506" s="73">
        <f t="shared" si="7"/>
        <v>0</v>
      </c>
      <c r="AD506" s="73">
        <f t="shared" si="8"/>
        <v>0</v>
      </c>
      <c r="AE506" s="70"/>
      <c r="AF506" s="70"/>
      <c r="AG506" s="70"/>
      <c r="AH506" s="70"/>
      <c r="AI506" s="70"/>
    </row>
    <row r="507" spans="1:35" ht="75">
      <c r="A507" s="94" t="s">
        <v>1160</v>
      </c>
      <c r="B507" s="94">
        <v>5</v>
      </c>
      <c r="C507" s="94" t="s">
        <v>1213</v>
      </c>
      <c r="D507" s="96">
        <v>0.2</v>
      </c>
      <c r="E507" s="109">
        <v>44260</v>
      </c>
      <c r="F507" s="94" t="s">
        <v>1219</v>
      </c>
      <c r="G507" s="96">
        <v>6.6000000000000003E-2</v>
      </c>
      <c r="H507" s="94" t="s">
        <v>1220</v>
      </c>
      <c r="I507" s="94" t="s">
        <v>685</v>
      </c>
      <c r="J507" s="94" t="s">
        <v>1221</v>
      </c>
      <c r="K507" s="94" t="s">
        <v>39</v>
      </c>
      <c r="L507" s="95" t="s">
        <v>40</v>
      </c>
      <c r="M507" s="94" t="s">
        <v>1166</v>
      </c>
      <c r="N507" s="94" t="s">
        <v>41</v>
      </c>
      <c r="O507" s="94" t="s">
        <v>42</v>
      </c>
      <c r="P507" s="94" t="s">
        <v>495</v>
      </c>
      <c r="Q507" s="94" t="s">
        <v>475</v>
      </c>
      <c r="R507" s="94" t="s">
        <v>40</v>
      </c>
      <c r="S507" s="94"/>
      <c r="T507" s="94"/>
      <c r="U507" s="94"/>
      <c r="V507" s="83"/>
      <c r="W507" s="73" t="str">
        <f t="shared" si="2"/>
        <v/>
      </c>
      <c r="X507" s="73" t="str">
        <f t="shared" si="3"/>
        <v/>
      </c>
      <c r="Y507" s="73" t="str">
        <f t="shared" si="4"/>
        <v/>
      </c>
      <c r="Z507" s="73" t="str">
        <f t="shared" si="5"/>
        <v>X</v>
      </c>
      <c r="AA507" s="73" t="s">
        <v>29</v>
      </c>
      <c r="AB507" s="73" t="str">
        <f t="shared" si="20"/>
        <v>Trim 4</v>
      </c>
      <c r="AC507" s="73">
        <f t="shared" si="7"/>
        <v>0</v>
      </c>
      <c r="AD507" s="73">
        <f t="shared" si="8"/>
        <v>0</v>
      </c>
      <c r="AE507" s="70"/>
      <c r="AF507" s="70"/>
      <c r="AG507" s="70"/>
      <c r="AH507" s="70"/>
      <c r="AI507" s="70"/>
    </row>
    <row r="508" spans="1:35" ht="15">
      <c r="A508" s="70"/>
      <c r="B508" s="70"/>
      <c r="C508" s="70"/>
      <c r="D508" s="70"/>
      <c r="E508" s="77"/>
      <c r="F508" s="84"/>
      <c r="G508" s="77"/>
      <c r="H508" s="84"/>
      <c r="I508" s="70"/>
      <c r="J508" s="70"/>
      <c r="K508" s="70"/>
      <c r="L508" s="70"/>
      <c r="M508" s="70"/>
      <c r="N508" s="70"/>
      <c r="O508" s="70"/>
      <c r="P508" s="70"/>
      <c r="Q508" s="70"/>
      <c r="R508" s="70"/>
      <c r="S508" s="85"/>
      <c r="T508" s="70"/>
      <c r="U508" s="70"/>
      <c r="V508" s="83"/>
      <c r="W508" s="70"/>
      <c r="X508" s="70"/>
      <c r="Y508" s="70"/>
      <c r="Z508" s="70"/>
      <c r="AA508" s="70"/>
      <c r="AB508" s="70"/>
      <c r="AC508" s="70"/>
      <c r="AD508" s="70"/>
      <c r="AE508" s="70"/>
      <c r="AF508" s="70"/>
      <c r="AG508" s="70"/>
      <c r="AH508" s="70"/>
      <c r="AI508" s="70"/>
    </row>
    <row r="509" spans="1:35" ht="15">
      <c r="A509" s="70"/>
      <c r="B509" s="70"/>
      <c r="C509" s="70"/>
      <c r="D509" s="70"/>
      <c r="E509" s="77"/>
      <c r="F509" s="84"/>
      <c r="G509" s="77"/>
      <c r="H509" s="84"/>
      <c r="I509" s="70"/>
      <c r="J509" s="70"/>
      <c r="K509" s="70"/>
      <c r="L509" s="70"/>
      <c r="M509" s="70"/>
      <c r="N509" s="70"/>
      <c r="O509" s="70"/>
      <c r="P509" s="70"/>
      <c r="Q509" s="70"/>
      <c r="R509" s="70"/>
      <c r="S509" s="85"/>
      <c r="T509" s="70"/>
      <c r="U509" s="70"/>
      <c r="V509" s="83"/>
      <c r="W509" s="70"/>
      <c r="X509" s="70"/>
      <c r="Y509" s="70"/>
      <c r="Z509" s="70"/>
      <c r="AA509" s="70"/>
      <c r="AB509" s="70"/>
      <c r="AC509" s="70"/>
      <c r="AD509" s="70"/>
      <c r="AE509" s="70"/>
      <c r="AF509" s="70"/>
      <c r="AG509" s="70"/>
      <c r="AH509" s="70"/>
      <c r="AI509" s="70"/>
    </row>
    <row r="510" spans="1:35" ht="15">
      <c r="A510" s="70"/>
      <c r="B510" s="70"/>
      <c r="C510" s="70"/>
      <c r="D510" s="70"/>
      <c r="E510" s="77"/>
      <c r="F510" s="84"/>
      <c r="G510" s="77"/>
      <c r="H510" s="84"/>
      <c r="I510" s="70"/>
      <c r="J510" s="70"/>
      <c r="K510" s="70"/>
      <c r="L510" s="70"/>
      <c r="M510" s="70"/>
      <c r="N510" s="70"/>
      <c r="O510" s="70"/>
      <c r="P510" s="70"/>
      <c r="Q510" s="70"/>
      <c r="R510" s="70"/>
      <c r="S510" s="85"/>
      <c r="T510" s="70"/>
      <c r="U510" s="70"/>
      <c r="V510" s="83"/>
      <c r="W510" s="70"/>
      <c r="X510" s="70"/>
      <c r="Y510" s="70"/>
      <c r="Z510" s="70"/>
      <c r="AA510" s="70"/>
      <c r="AB510" s="70"/>
      <c r="AC510" s="70"/>
      <c r="AD510" s="70"/>
      <c r="AE510" s="70"/>
      <c r="AF510" s="70"/>
      <c r="AG510" s="70"/>
      <c r="AH510" s="70"/>
      <c r="AI510" s="70"/>
    </row>
    <row r="511" spans="1:35" ht="15">
      <c r="A511" s="70"/>
      <c r="B511" s="70"/>
      <c r="C511" s="70"/>
      <c r="D511" s="70"/>
      <c r="E511" s="77"/>
      <c r="F511" s="84"/>
      <c r="G511" s="77"/>
      <c r="H511" s="84"/>
      <c r="I511" s="70"/>
      <c r="J511" s="70"/>
      <c r="K511" s="70"/>
      <c r="L511" s="70"/>
      <c r="M511" s="70"/>
      <c r="N511" s="70"/>
      <c r="O511" s="70"/>
      <c r="P511" s="70"/>
      <c r="Q511" s="70"/>
      <c r="R511" s="70"/>
      <c r="S511" s="85"/>
      <c r="T511" s="70"/>
      <c r="U511" s="70"/>
      <c r="V511" s="70"/>
      <c r="W511" s="70"/>
      <c r="X511" s="70"/>
      <c r="Y511" s="70"/>
      <c r="Z511" s="70"/>
      <c r="AA511" s="70"/>
      <c r="AB511" s="70"/>
      <c r="AC511" s="70"/>
      <c r="AD511" s="70"/>
      <c r="AE511" s="70"/>
      <c r="AF511" s="70"/>
      <c r="AG511" s="70"/>
      <c r="AH511" s="70"/>
      <c r="AI511" s="70"/>
    </row>
    <row r="512" spans="1:35" ht="15">
      <c r="A512" s="70"/>
      <c r="B512" s="70"/>
      <c r="C512" s="70"/>
      <c r="D512" s="70"/>
      <c r="E512" s="77"/>
      <c r="F512" s="84"/>
      <c r="G512" s="77"/>
      <c r="H512" s="84"/>
      <c r="I512" s="70"/>
      <c r="J512" s="70"/>
      <c r="K512" s="70"/>
      <c r="L512" s="70"/>
      <c r="M512" s="70"/>
      <c r="N512" s="70"/>
      <c r="O512" s="70"/>
      <c r="P512" s="70"/>
      <c r="Q512" s="70"/>
      <c r="R512" s="70"/>
      <c r="S512" s="85"/>
      <c r="T512" s="70"/>
      <c r="U512" s="70"/>
      <c r="V512" s="70"/>
      <c r="W512" s="70"/>
      <c r="X512" s="70"/>
      <c r="Y512" s="70"/>
      <c r="Z512" s="70"/>
      <c r="AA512" s="70"/>
      <c r="AB512" s="70"/>
      <c r="AC512" s="70"/>
      <c r="AD512" s="70"/>
      <c r="AE512" s="70"/>
      <c r="AF512" s="70"/>
      <c r="AG512" s="70"/>
      <c r="AH512" s="70"/>
      <c r="AI512" s="70"/>
    </row>
    <row r="513" spans="1:35" ht="15">
      <c r="A513" s="70"/>
      <c r="B513" s="70"/>
      <c r="C513" s="70"/>
      <c r="D513" s="70"/>
      <c r="E513" s="77"/>
      <c r="F513" s="84"/>
      <c r="G513" s="77"/>
      <c r="H513" s="84"/>
      <c r="I513" s="70"/>
      <c r="J513" s="70"/>
      <c r="K513" s="70"/>
      <c r="L513" s="70"/>
      <c r="M513" s="70"/>
      <c r="N513" s="70"/>
      <c r="O513" s="70"/>
      <c r="P513" s="70"/>
      <c r="Q513" s="70"/>
      <c r="R513" s="70"/>
      <c r="S513" s="85"/>
      <c r="T513" s="70"/>
      <c r="U513" s="70"/>
      <c r="V513" s="70"/>
      <c r="W513" s="70"/>
      <c r="X513" s="70"/>
      <c r="Y513" s="70"/>
      <c r="Z513" s="70"/>
      <c r="AA513" s="70"/>
      <c r="AB513" s="70"/>
      <c r="AC513" s="70"/>
      <c r="AD513" s="70"/>
      <c r="AE513" s="70"/>
      <c r="AF513" s="70"/>
      <c r="AG513" s="70"/>
      <c r="AH513" s="70"/>
      <c r="AI513" s="70"/>
    </row>
    <row r="514" spans="1:35" ht="15">
      <c r="A514" s="70"/>
      <c r="B514" s="70"/>
      <c r="C514" s="70"/>
      <c r="D514" s="70"/>
      <c r="E514" s="77"/>
      <c r="F514" s="84"/>
      <c r="G514" s="77"/>
      <c r="H514" s="84"/>
      <c r="I514" s="70"/>
      <c r="J514" s="70"/>
      <c r="K514" s="70"/>
      <c r="L514" s="70"/>
      <c r="M514" s="70"/>
      <c r="N514" s="70"/>
      <c r="O514" s="70"/>
      <c r="P514" s="70"/>
      <c r="Q514" s="70"/>
      <c r="R514" s="70"/>
      <c r="S514" s="85"/>
      <c r="T514" s="70"/>
      <c r="U514" s="70"/>
      <c r="V514" s="70"/>
      <c r="W514" s="70"/>
      <c r="X514" s="70"/>
      <c r="Y514" s="70"/>
      <c r="Z514" s="70"/>
      <c r="AA514" s="70"/>
      <c r="AB514" s="70"/>
      <c r="AC514" s="70"/>
      <c r="AD514" s="70"/>
      <c r="AE514" s="70"/>
      <c r="AF514" s="70"/>
      <c r="AG514" s="70"/>
      <c r="AH514" s="70"/>
      <c r="AI514" s="70"/>
    </row>
    <row r="515" spans="1:35" ht="15">
      <c r="A515" s="70"/>
      <c r="B515" s="70"/>
      <c r="C515" s="70"/>
      <c r="D515" s="70"/>
      <c r="E515" s="77"/>
      <c r="F515" s="84"/>
      <c r="G515" s="77"/>
      <c r="H515" s="84"/>
      <c r="I515" s="70"/>
      <c r="J515" s="70"/>
      <c r="K515" s="70"/>
      <c r="L515" s="70"/>
      <c r="M515" s="70"/>
      <c r="N515" s="70"/>
      <c r="O515" s="70"/>
      <c r="P515" s="70"/>
      <c r="Q515" s="70"/>
      <c r="R515" s="70"/>
      <c r="S515" s="85"/>
      <c r="T515" s="70"/>
      <c r="U515" s="70"/>
      <c r="V515" s="70"/>
      <c r="W515" s="70"/>
      <c r="X515" s="70"/>
      <c r="Y515" s="70"/>
      <c r="Z515" s="70"/>
      <c r="AA515" s="70"/>
      <c r="AB515" s="70"/>
      <c r="AC515" s="70"/>
      <c r="AD515" s="70"/>
      <c r="AE515" s="70"/>
      <c r="AF515" s="70"/>
      <c r="AG515" s="70"/>
      <c r="AH515" s="70"/>
      <c r="AI515" s="70"/>
    </row>
    <row r="516" spans="1:35" ht="15">
      <c r="A516" s="70"/>
      <c r="B516" s="70"/>
      <c r="C516" s="70"/>
      <c r="D516" s="70"/>
      <c r="E516" s="77"/>
      <c r="F516" s="84"/>
      <c r="G516" s="77"/>
      <c r="H516" s="84"/>
      <c r="I516" s="70"/>
      <c r="J516" s="70"/>
      <c r="K516" s="70"/>
      <c r="L516" s="70"/>
      <c r="M516" s="70"/>
      <c r="N516" s="70"/>
      <c r="O516" s="70"/>
      <c r="P516" s="70"/>
      <c r="Q516" s="70"/>
      <c r="R516" s="70"/>
      <c r="S516" s="85"/>
      <c r="T516" s="70"/>
      <c r="U516" s="70"/>
      <c r="V516" s="70"/>
      <c r="W516" s="70"/>
      <c r="X516" s="70"/>
      <c r="Y516" s="70"/>
      <c r="Z516" s="70"/>
      <c r="AA516" s="70"/>
      <c r="AB516" s="70"/>
      <c r="AC516" s="70"/>
      <c r="AD516" s="70"/>
      <c r="AE516" s="70"/>
      <c r="AF516" s="70"/>
      <c r="AG516" s="70"/>
      <c r="AH516" s="70"/>
      <c r="AI516" s="70"/>
    </row>
    <row r="517" spans="1:35" ht="15">
      <c r="A517" s="70"/>
      <c r="B517" s="70"/>
      <c r="C517" s="70"/>
      <c r="D517" s="70"/>
      <c r="E517" s="77"/>
      <c r="F517" s="84"/>
      <c r="G517" s="77"/>
      <c r="H517" s="84"/>
      <c r="I517" s="70"/>
      <c r="J517" s="70"/>
      <c r="K517" s="70"/>
      <c r="L517" s="70"/>
      <c r="M517" s="70"/>
      <c r="N517" s="70"/>
      <c r="O517" s="70"/>
      <c r="P517" s="70"/>
      <c r="Q517" s="70"/>
      <c r="R517" s="70"/>
      <c r="S517" s="85"/>
      <c r="T517" s="70"/>
      <c r="U517" s="70"/>
      <c r="V517" s="70"/>
      <c r="W517" s="70"/>
      <c r="X517" s="70"/>
      <c r="Y517" s="70"/>
      <c r="Z517" s="70"/>
      <c r="AA517" s="70"/>
      <c r="AB517" s="70"/>
      <c r="AC517" s="70"/>
      <c r="AD517" s="70"/>
      <c r="AE517" s="70"/>
      <c r="AF517" s="70"/>
      <c r="AG517" s="70"/>
      <c r="AH517" s="70"/>
      <c r="AI517" s="70"/>
    </row>
    <row r="518" spans="1:35" ht="15">
      <c r="A518" s="70"/>
      <c r="B518" s="70"/>
      <c r="C518" s="70"/>
      <c r="D518" s="70"/>
      <c r="E518" s="77"/>
      <c r="F518" s="84"/>
      <c r="G518" s="77"/>
      <c r="H518" s="84"/>
      <c r="I518" s="70"/>
      <c r="J518" s="70"/>
      <c r="K518" s="70"/>
      <c r="L518" s="70"/>
      <c r="M518" s="70"/>
      <c r="N518" s="70"/>
      <c r="O518" s="70"/>
      <c r="P518" s="70"/>
      <c r="Q518" s="70"/>
      <c r="R518" s="70"/>
      <c r="S518" s="85"/>
      <c r="T518" s="70"/>
      <c r="U518" s="70"/>
      <c r="V518" s="70"/>
      <c r="W518" s="70"/>
      <c r="X518" s="70"/>
      <c r="Y518" s="70"/>
      <c r="Z518" s="70"/>
      <c r="AA518" s="70"/>
      <c r="AB518" s="70"/>
      <c r="AC518" s="70"/>
      <c r="AD518" s="70"/>
      <c r="AE518" s="70"/>
      <c r="AF518" s="70"/>
      <c r="AG518" s="70"/>
      <c r="AH518" s="70"/>
      <c r="AI518" s="70"/>
    </row>
    <row r="519" spans="1:35" ht="15">
      <c r="A519" s="70"/>
      <c r="B519" s="70"/>
      <c r="C519" s="70"/>
      <c r="D519" s="70"/>
      <c r="E519" s="77"/>
      <c r="F519" s="84"/>
      <c r="G519" s="77"/>
      <c r="H519" s="84"/>
      <c r="I519" s="70"/>
      <c r="J519" s="70"/>
      <c r="K519" s="70"/>
      <c r="L519" s="70"/>
      <c r="M519" s="70"/>
      <c r="N519" s="70"/>
      <c r="O519" s="70"/>
      <c r="P519" s="70"/>
      <c r="Q519" s="70"/>
      <c r="R519" s="70"/>
      <c r="S519" s="85"/>
      <c r="T519" s="70"/>
      <c r="U519" s="70"/>
      <c r="V519" s="70"/>
      <c r="W519" s="70"/>
      <c r="X519" s="70"/>
      <c r="Y519" s="70"/>
      <c r="Z519" s="70"/>
      <c r="AA519" s="70"/>
      <c r="AB519" s="70"/>
      <c r="AC519" s="70"/>
      <c r="AD519" s="70"/>
      <c r="AE519" s="70"/>
      <c r="AF519" s="70"/>
      <c r="AG519" s="70"/>
      <c r="AH519" s="70"/>
      <c r="AI519" s="70"/>
    </row>
    <row r="520" spans="1:35" ht="15">
      <c r="A520" s="70"/>
      <c r="B520" s="70"/>
      <c r="C520" s="70"/>
      <c r="D520" s="70"/>
      <c r="E520" s="77"/>
      <c r="F520" s="84"/>
      <c r="G520" s="77"/>
      <c r="H520" s="84"/>
      <c r="I520" s="70"/>
      <c r="J520" s="70"/>
      <c r="K520" s="70"/>
      <c r="L520" s="70"/>
      <c r="M520" s="70"/>
      <c r="N520" s="70"/>
      <c r="O520" s="70"/>
      <c r="P520" s="70"/>
      <c r="Q520" s="70"/>
      <c r="R520" s="70"/>
      <c r="S520" s="85"/>
      <c r="T520" s="70"/>
      <c r="U520" s="70"/>
      <c r="V520" s="70"/>
      <c r="W520" s="70"/>
      <c r="X520" s="70"/>
      <c r="Y520" s="70"/>
      <c r="Z520" s="70"/>
      <c r="AA520" s="70"/>
      <c r="AB520" s="70"/>
      <c r="AC520" s="70"/>
      <c r="AD520" s="70"/>
      <c r="AE520" s="70"/>
      <c r="AF520" s="70"/>
      <c r="AG520" s="70"/>
      <c r="AH520" s="70"/>
      <c r="AI520" s="70"/>
    </row>
    <row r="521" spans="1:35" ht="15">
      <c r="A521" s="70"/>
      <c r="B521" s="70"/>
      <c r="C521" s="70"/>
      <c r="D521" s="70"/>
      <c r="E521" s="77"/>
      <c r="F521" s="84"/>
      <c r="G521" s="77"/>
      <c r="H521" s="84"/>
      <c r="I521" s="70"/>
      <c r="J521" s="70"/>
      <c r="K521" s="70"/>
      <c r="L521" s="70"/>
      <c r="M521" s="70"/>
      <c r="N521" s="70"/>
      <c r="O521" s="70"/>
      <c r="P521" s="70"/>
      <c r="Q521" s="70"/>
      <c r="R521" s="70"/>
      <c r="S521" s="85"/>
      <c r="T521" s="70"/>
      <c r="U521" s="70"/>
      <c r="V521" s="70"/>
      <c r="W521" s="70"/>
      <c r="X521" s="70"/>
      <c r="Y521" s="70"/>
      <c r="Z521" s="70"/>
      <c r="AA521" s="70"/>
      <c r="AB521" s="70"/>
      <c r="AC521" s="70"/>
      <c r="AD521" s="70"/>
      <c r="AE521" s="70"/>
      <c r="AF521" s="70"/>
      <c r="AG521" s="70"/>
      <c r="AH521" s="70"/>
      <c r="AI521" s="70"/>
    </row>
    <row r="522" spans="1:35" ht="15">
      <c r="A522" s="70"/>
      <c r="B522" s="70"/>
      <c r="C522" s="70"/>
      <c r="D522" s="70"/>
      <c r="E522" s="77"/>
      <c r="F522" s="84"/>
      <c r="G522" s="77"/>
      <c r="H522" s="84"/>
      <c r="I522" s="70"/>
      <c r="J522" s="70"/>
      <c r="K522" s="70"/>
      <c r="L522" s="70"/>
      <c r="M522" s="70"/>
      <c r="N522" s="70"/>
      <c r="O522" s="70"/>
      <c r="P522" s="70"/>
      <c r="Q522" s="70"/>
      <c r="R522" s="70"/>
      <c r="S522" s="85"/>
      <c r="T522" s="70"/>
      <c r="U522" s="70"/>
      <c r="V522" s="70"/>
      <c r="W522" s="70"/>
      <c r="X522" s="70"/>
      <c r="Y522" s="70"/>
      <c r="Z522" s="70"/>
      <c r="AA522" s="70"/>
      <c r="AB522" s="70"/>
      <c r="AC522" s="70"/>
      <c r="AD522" s="70"/>
      <c r="AE522" s="70"/>
      <c r="AF522" s="70"/>
      <c r="AG522" s="70"/>
      <c r="AH522" s="70"/>
      <c r="AI522" s="70"/>
    </row>
    <row r="523" spans="1:35" ht="15">
      <c r="A523" s="70"/>
      <c r="B523" s="70"/>
      <c r="C523" s="70"/>
      <c r="D523" s="70"/>
      <c r="E523" s="77"/>
      <c r="F523" s="84"/>
      <c r="G523" s="77"/>
      <c r="H523" s="84"/>
      <c r="I523" s="70"/>
      <c r="J523" s="70"/>
      <c r="K523" s="70"/>
      <c r="L523" s="70"/>
      <c r="M523" s="70"/>
      <c r="N523" s="70"/>
      <c r="O523" s="70"/>
      <c r="P523" s="70"/>
      <c r="Q523" s="70"/>
      <c r="R523" s="70"/>
      <c r="S523" s="85"/>
      <c r="T523" s="70"/>
      <c r="U523" s="70"/>
      <c r="V523" s="70"/>
      <c r="W523" s="70"/>
      <c r="X523" s="70"/>
      <c r="Y523" s="70"/>
      <c r="Z523" s="70"/>
      <c r="AA523" s="70"/>
      <c r="AB523" s="70"/>
      <c r="AC523" s="70"/>
      <c r="AD523" s="70"/>
      <c r="AE523" s="70"/>
      <c r="AF523" s="70"/>
      <c r="AG523" s="70"/>
      <c r="AH523" s="70"/>
      <c r="AI523" s="70"/>
    </row>
    <row r="524" spans="1:35" ht="15">
      <c r="A524" s="70"/>
      <c r="B524" s="70"/>
      <c r="C524" s="70"/>
      <c r="D524" s="70"/>
      <c r="E524" s="77"/>
      <c r="F524" s="84"/>
      <c r="G524" s="77"/>
      <c r="H524" s="84"/>
      <c r="I524" s="70"/>
      <c r="J524" s="70"/>
      <c r="K524" s="70"/>
      <c r="L524" s="70"/>
      <c r="M524" s="70"/>
      <c r="N524" s="70"/>
      <c r="O524" s="70"/>
      <c r="P524" s="70"/>
      <c r="Q524" s="70"/>
      <c r="R524" s="70"/>
      <c r="S524" s="85"/>
      <c r="T524" s="70"/>
      <c r="U524" s="70"/>
      <c r="V524" s="70"/>
      <c r="W524" s="70"/>
      <c r="X524" s="70"/>
      <c r="Y524" s="70"/>
      <c r="Z524" s="70"/>
      <c r="AA524" s="70"/>
      <c r="AB524" s="70"/>
      <c r="AC524" s="70"/>
      <c r="AD524" s="70"/>
      <c r="AE524" s="70"/>
      <c r="AF524" s="70"/>
      <c r="AG524" s="70"/>
      <c r="AH524" s="70"/>
      <c r="AI524" s="70"/>
    </row>
    <row r="525" spans="1:35" ht="15">
      <c r="A525" s="70"/>
      <c r="B525" s="70"/>
      <c r="C525" s="70"/>
      <c r="D525" s="70"/>
      <c r="E525" s="77"/>
      <c r="F525" s="84"/>
      <c r="G525" s="77"/>
      <c r="H525" s="84"/>
      <c r="I525" s="70"/>
      <c r="J525" s="70"/>
      <c r="K525" s="70"/>
      <c r="L525" s="70"/>
      <c r="M525" s="70"/>
      <c r="N525" s="70"/>
      <c r="O525" s="70"/>
      <c r="P525" s="70"/>
      <c r="Q525" s="70"/>
      <c r="R525" s="70"/>
      <c r="S525" s="85"/>
      <c r="T525" s="70"/>
      <c r="U525" s="70"/>
      <c r="V525" s="70"/>
      <c r="W525" s="70"/>
      <c r="X525" s="70"/>
      <c r="Y525" s="70"/>
      <c r="Z525" s="70"/>
      <c r="AA525" s="70"/>
      <c r="AB525" s="70"/>
      <c r="AC525" s="70"/>
      <c r="AD525" s="70"/>
      <c r="AE525" s="70"/>
      <c r="AF525" s="70"/>
      <c r="AG525" s="70"/>
      <c r="AH525" s="70"/>
      <c r="AI525" s="70"/>
    </row>
    <row r="526" spans="1:35" ht="15">
      <c r="A526" s="70"/>
      <c r="B526" s="70"/>
      <c r="C526" s="70"/>
      <c r="D526" s="70"/>
      <c r="E526" s="77"/>
      <c r="F526" s="84"/>
      <c r="G526" s="77"/>
      <c r="H526" s="84"/>
      <c r="I526" s="70"/>
      <c r="J526" s="70"/>
      <c r="K526" s="70"/>
      <c r="L526" s="70"/>
      <c r="M526" s="70"/>
      <c r="N526" s="70"/>
      <c r="O526" s="70"/>
      <c r="P526" s="70"/>
      <c r="Q526" s="70"/>
      <c r="R526" s="70"/>
      <c r="S526" s="85"/>
      <c r="T526" s="70"/>
      <c r="U526" s="70"/>
      <c r="V526" s="70"/>
      <c r="W526" s="70"/>
      <c r="X526" s="70"/>
      <c r="Y526" s="70"/>
      <c r="Z526" s="70"/>
      <c r="AA526" s="70"/>
      <c r="AB526" s="70"/>
      <c r="AC526" s="70"/>
      <c r="AD526" s="70"/>
      <c r="AE526" s="70"/>
      <c r="AF526" s="70"/>
      <c r="AG526" s="70"/>
      <c r="AH526" s="70"/>
      <c r="AI526" s="70"/>
    </row>
    <row r="527" spans="1:35" ht="15">
      <c r="A527" s="70"/>
      <c r="B527" s="70"/>
      <c r="C527" s="70"/>
      <c r="D527" s="70"/>
      <c r="E527" s="77"/>
      <c r="F527" s="84"/>
      <c r="G527" s="77"/>
      <c r="H527" s="84"/>
      <c r="I527" s="70"/>
      <c r="J527" s="70"/>
      <c r="K527" s="70"/>
      <c r="L527" s="70"/>
      <c r="M527" s="70"/>
      <c r="N527" s="70"/>
      <c r="O527" s="70"/>
      <c r="P527" s="70"/>
      <c r="Q527" s="70"/>
      <c r="R527" s="70"/>
      <c r="S527" s="85"/>
      <c r="T527" s="70"/>
      <c r="U527" s="70"/>
      <c r="V527" s="70"/>
      <c r="W527" s="70"/>
      <c r="X527" s="70"/>
      <c r="Y527" s="70"/>
      <c r="Z527" s="70"/>
      <c r="AA527" s="70"/>
      <c r="AB527" s="70"/>
      <c r="AC527" s="70"/>
      <c r="AD527" s="70"/>
      <c r="AE527" s="70"/>
      <c r="AF527" s="70"/>
      <c r="AG527" s="70"/>
      <c r="AH527" s="70"/>
      <c r="AI527" s="70"/>
    </row>
    <row r="528" spans="1:35" ht="15">
      <c r="A528" s="70"/>
      <c r="B528" s="70"/>
      <c r="C528" s="70"/>
      <c r="D528" s="70"/>
      <c r="E528" s="77"/>
      <c r="F528" s="84"/>
      <c r="G528" s="77"/>
      <c r="H528" s="84"/>
      <c r="I528" s="70"/>
      <c r="J528" s="70"/>
      <c r="K528" s="70"/>
      <c r="L528" s="70"/>
      <c r="M528" s="70"/>
      <c r="N528" s="70"/>
      <c r="O528" s="70"/>
      <c r="P528" s="70"/>
      <c r="Q528" s="70"/>
      <c r="R528" s="70"/>
      <c r="S528" s="85"/>
      <c r="T528" s="70"/>
      <c r="U528" s="70"/>
      <c r="V528" s="70"/>
      <c r="W528" s="70"/>
      <c r="X528" s="70"/>
      <c r="Y528" s="70"/>
      <c r="Z528" s="70"/>
      <c r="AA528" s="70"/>
      <c r="AB528" s="70"/>
      <c r="AC528" s="70"/>
      <c r="AD528" s="70"/>
      <c r="AE528" s="70"/>
      <c r="AF528" s="70"/>
      <c r="AG528" s="70"/>
      <c r="AH528" s="70"/>
      <c r="AI528" s="70"/>
    </row>
    <row r="529" spans="1:35" ht="15">
      <c r="A529" s="70"/>
      <c r="B529" s="70"/>
      <c r="C529" s="70"/>
      <c r="D529" s="70"/>
      <c r="E529" s="77"/>
      <c r="F529" s="84"/>
      <c r="G529" s="77"/>
      <c r="H529" s="84"/>
      <c r="I529" s="70"/>
      <c r="J529" s="70"/>
      <c r="K529" s="70"/>
      <c r="L529" s="70"/>
      <c r="M529" s="70"/>
      <c r="N529" s="70"/>
      <c r="O529" s="70"/>
      <c r="P529" s="70"/>
      <c r="Q529" s="70"/>
      <c r="R529" s="70"/>
      <c r="S529" s="85"/>
      <c r="T529" s="70"/>
      <c r="U529" s="70"/>
      <c r="V529" s="70"/>
      <c r="W529" s="70"/>
      <c r="X529" s="70"/>
      <c r="Y529" s="70"/>
      <c r="Z529" s="70"/>
      <c r="AA529" s="70"/>
      <c r="AB529" s="70"/>
      <c r="AC529" s="70"/>
      <c r="AD529" s="70"/>
      <c r="AE529" s="70"/>
      <c r="AF529" s="70"/>
      <c r="AG529" s="70"/>
      <c r="AH529" s="70"/>
      <c r="AI529" s="70"/>
    </row>
    <row r="530" spans="1:35" ht="15">
      <c r="A530" s="70"/>
      <c r="B530" s="70"/>
      <c r="C530" s="70"/>
      <c r="D530" s="70"/>
      <c r="E530" s="77"/>
      <c r="F530" s="84"/>
      <c r="G530" s="77"/>
      <c r="H530" s="84"/>
      <c r="I530" s="70"/>
      <c r="J530" s="70"/>
      <c r="K530" s="70"/>
      <c r="L530" s="70"/>
      <c r="M530" s="70"/>
      <c r="N530" s="70"/>
      <c r="O530" s="70"/>
      <c r="P530" s="70"/>
      <c r="Q530" s="70"/>
      <c r="R530" s="70"/>
      <c r="S530" s="85"/>
      <c r="T530" s="70"/>
      <c r="U530" s="70"/>
      <c r="V530" s="70"/>
      <c r="W530" s="70"/>
      <c r="X530" s="70"/>
      <c r="Y530" s="70"/>
      <c r="Z530" s="70"/>
      <c r="AA530" s="70"/>
      <c r="AB530" s="70"/>
      <c r="AC530" s="70"/>
      <c r="AD530" s="70"/>
      <c r="AE530" s="70"/>
      <c r="AF530" s="70"/>
      <c r="AG530" s="70"/>
      <c r="AH530" s="70"/>
      <c r="AI530" s="70"/>
    </row>
    <row r="531" spans="1:35" ht="15">
      <c r="A531" s="70"/>
      <c r="B531" s="70"/>
      <c r="C531" s="70"/>
      <c r="D531" s="70"/>
      <c r="E531" s="77"/>
      <c r="F531" s="84"/>
      <c r="G531" s="77"/>
      <c r="H531" s="84"/>
      <c r="I531" s="70"/>
      <c r="J531" s="70"/>
      <c r="K531" s="70"/>
      <c r="L531" s="70"/>
      <c r="M531" s="70"/>
      <c r="N531" s="70"/>
      <c r="O531" s="70"/>
      <c r="P531" s="70"/>
      <c r="Q531" s="70"/>
      <c r="R531" s="70"/>
      <c r="S531" s="85"/>
      <c r="T531" s="70"/>
      <c r="U531" s="70"/>
      <c r="V531" s="70"/>
      <c r="W531" s="70"/>
      <c r="X531" s="70"/>
      <c r="Y531" s="70"/>
      <c r="Z531" s="70"/>
      <c r="AA531" s="70"/>
      <c r="AB531" s="70"/>
      <c r="AC531" s="70"/>
      <c r="AD531" s="70"/>
      <c r="AE531" s="70"/>
      <c r="AF531" s="70"/>
      <c r="AG531" s="70"/>
      <c r="AH531" s="70"/>
      <c r="AI531" s="70"/>
    </row>
    <row r="532" spans="1:35" ht="15">
      <c r="A532" s="70"/>
      <c r="B532" s="70"/>
      <c r="C532" s="70"/>
      <c r="D532" s="70"/>
      <c r="E532" s="77"/>
      <c r="F532" s="84"/>
      <c r="G532" s="77"/>
      <c r="H532" s="84"/>
      <c r="I532" s="70"/>
      <c r="J532" s="70"/>
      <c r="K532" s="70"/>
      <c r="L532" s="70"/>
      <c r="M532" s="70"/>
      <c r="N532" s="70"/>
      <c r="O532" s="70"/>
      <c r="P532" s="70"/>
      <c r="Q532" s="70"/>
      <c r="R532" s="70"/>
      <c r="S532" s="85"/>
      <c r="T532" s="70"/>
      <c r="U532" s="70"/>
      <c r="V532" s="70"/>
      <c r="W532" s="70"/>
      <c r="X532" s="70"/>
      <c r="Y532" s="70"/>
      <c r="Z532" s="70"/>
      <c r="AA532" s="70"/>
      <c r="AB532" s="70"/>
      <c r="AC532" s="70"/>
      <c r="AD532" s="70"/>
      <c r="AE532" s="70"/>
      <c r="AF532" s="70"/>
      <c r="AG532" s="70"/>
      <c r="AH532" s="70"/>
      <c r="AI532" s="70"/>
    </row>
    <row r="533" spans="1:35" ht="15">
      <c r="A533" s="70"/>
      <c r="B533" s="70"/>
      <c r="C533" s="70"/>
      <c r="D533" s="70"/>
      <c r="E533" s="77"/>
      <c r="F533" s="84"/>
      <c r="G533" s="77"/>
      <c r="H533" s="84"/>
      <c r="I533" s="70"/>
      <c r="J533" s="70"/>
      <c r="K533" s="70"/>
      <c r="L533" s="70"/>
      <c r="M533" s="70"/>
      <c r="N533" s="70"/>
      <c r="O533" s="70"/>
      <c r="P533" s="70"/>
      <c r="Q533" s="70"/>
      <c r="R533" s="70"/>
      <c r="S533" s="85"/>
      <c r="T533" s="70"/>
      <c r="U533" s="70"/>
      <c r="V533" s="70"/>
      <c r="W533" s="70"/>
      <c r="X533" s="70"/>
      <c r="Y533" s="70"/>
      <c r="Z533" s="70"/>
      <c r="AA533" s="70"/>
      <c r="AB533" s="70"/>
      <c r="AC533" s="70"/>
      <c r="AD533" s="70"/>
      <c r="AE533" s="70"/>
      <c r="AF533" s="70"/>
      <c r="AG533" s="70"/>
      <c r="AH533" s="70"/>
      <c r="AI533" s="70"/>
    </row>
    <row r="534" spans="1:35" ht="15">
      <c r="A534" s="70"/>
      <c r="B534" s="70"/>
      <c r="C534" s="70"/>
      <c r="D534" s="70"/>
      <c r="E534" s="77"/>
      <c r="F534" s="84"/>
      <c r="G534" s="77"/>
      <c r="H534" s="84"/>
      <c r="I534" s="70"/>
      <c r="J534" s="70"/>
      <c r="K534" s="70"/>
      <c r="L534" s="70"/>
      <c r="M534" s="70"/>
      <c r="N534" s="70"/>
      <c r="O534" s="70"/>
      <c r="P534" s="70"/>
      <c r="Q534" s="70"/>
      <c r="R534" s="70"/>
      <c r="S534" s="85"/>
      <c r="T534" s="70"/>
      <c r="U534" s="70"/>
      <c r="V534" s="70"/>
      <c r="W534" s="70"/>
      <c r="X534" s="70"/>
      <c r="Y534" s="70"/>
      <c r="Z534" s="70"/>
      <c r="AA534" s="70"/>
      <c r="AB534" s="70"/>
      <c r="AC534" s="70"/>
      <c r="AD534" s="70"/>
      <c r="AE534" s="70"/>
      <c r="AF534" s="70"/>
      <c r="AG534" s="70"/>
      <c r="AH534" s="70"/>
      <c r="AI534" s="70"/>
    </row>
    <row r="535" spans="1:35" ht="15">
      <c r="A535" s="70"/>
      <c r="B535" s="70"/>
      <c r="C535" s="70"/>
      <c r="D535" s="70"/>
      <c r="E535" s="77"/>
      <c r="F535" s="84"/>
      <c r="G535" s="77"/>
      <c r="H535" s="84"/>
      <c r="I535" s="70"/>
      <c r="J535" s="70"/>
      <c r="K535" s="70"/>
      <c r="L535" s="70"/>
      <c r="M535" s="70"/>
      <c r="N535" s="70"/>
      <c r="O535" s="70"/>
      <c r="P535" s="70"/>
      <c r="Q535" s="70"/>
      <c r="R535" s="70"/>
      <c r="S535" s="85"/>
      <c r="T535" s="70"/>
      <c r="U535" s="70"/>
      <c r="V535" s="70"/>
      <c r="W535" s="70"/>
      <c r="X535" s="70"/>
      <c r="Y535" s="70"/>
      <c r="Z535" s="70"/>
      <c r="AA535" s="70"/>
      <c r="AB535" s="70"/>
      <c r="AC535" s="70"/>
      <c r="AD535" s="70"/>
      <c r="AE535" s="70"/>
      <c r="AF535" s="70"/>
      <c r="AG535" s="70"/>
      <c r="AH535" s="70"/>
      <c r="AI535" s="70"/>
    </row>
    <row r="536" spans="1:35" ht="15">
      <c r="A536" s="70"/>
      <c r="B536" s="70"/>
      <c r="C536" s="70"/>
      <c r="D536" s="70"/>
      <c r="E536" s="77"/>
      <c r="F536" s="84"/>
      <c r="G536" s="77"/>
      <c r="H536" s="84"/>
      <c r="I536" s="70"/>
      <c r="J536" s="70"/>
      <c r="K536" s="70"/>
      <c r="L536" s="70"/>
      <c r="M536" s="70"/>
      <c r="N536" s="70"/>
      <c r="O536" s="70"/>
      <c r="P536" s="70"/>
      <c r="Q536" s="70"/>
      <c r="R536" s="70"/>
      <c r="S536" s="85"/>
      <c r="T536" s="70"/>
      <c r="U536" s="70"/>
      <c r="V536" s="70"/>
      <c r="W536" s="70"/>
      <c r="X536" s="70"/>
      <c r="Y536" s="70"/>
      <c r="Z536" s="70"/>
      <c r="AA536" s="70"/>
      <c r="AB536" s="70"/>
      <c r="AC536" s="70"/>
      <c r="AD536" s="70"/>
      <c r="AE536" s="70"/>
      <c r="AF536" s="70"/>
      <c r="AG536" s="70"/>
      <c r="AH536" s="70"/>
      <c r="AI536" s="70"/>
    </row>
    <row r="537" spans="1:35" ht="15">
      <c r="A537" s="70"/>
      <c r="B537" s="70"/>
      <c r="C537" s="70"/>
      <c r="D537" s="70"/>
      <c r="E537" s="77"/>
      <c r="F537" s="84"/>
      <c r="G537" s="77"/>
      <c r="H537" s="84"/>
      <c r="I537" s="70"/>
      <c r="J537" s="70"/>
      <c r="K537" s="70"/>
      <c r="L537" s="70"/>
      <c r="M537" s="70"/>
      <c r="N537" s="70"/>
      <c r="O537" s="70"/>
      <c r="P537" s="70"/>
      <c r="Q537" s="70"/>
      <c r="R537" s="70"/>
      <c r="S537" s="85"/>
      <c r="T537" s="70"/>
      <c r="U537" s="70"/>
      <c r="V537" s="70"/>
      <c r="W537" s="70"/>
      <c r="X537" s="70"/>
      <c r="Y537" s="70"/>
      <c r="Z537" s="70"/>
      <c r="AA537" s="70"/>
      <c r="AB537" s="70"/>
      <c r="AC537" s="70"/>
      <c r="AD537" s="70"/>
      <c r="AE537" s="70"/>
      <c r="AF537" s="70"/>
      <c r="AG537" s="70"/>
      <c r="AH537" s="70"/>
      <c r="AI537" s="70"/>
    </row>
    <row r="538" spans="1:35" ht="15">
      <c r="A538" s="70"/>
      <c r="B538" s="70"/>
      <c r="C538" s="70"/>
      <c r="D538" s="70"/>
      <c r="E538" s="77"/>
      <c r="F538" s="84"/>
      <c r="G538" s="77"/>
      <c r="H538" s="84"/>
      <c r="I538" s="70"/>
      <c r="J538" s="70"/>
      <c r="K538" s="70"/>
      <c r="L538" s="70"/>
      <c r="M538" s="70"/>
      <c r="N538" s="70"/>
      <c r="O538" s="70"/>
      <c r="P538" s="70"/>
      <c r="Q538" s="70"/>
      <c r="R538" s="70"/>
      <c r="S538" s="85"/>
      <c r="T538" s="70"/>
      <c r="U538" s="70"/>
      <c r="V538" s="70"/>
      <c r="W538" s="70"/>
      <c r="X538" s="70"/>
      <c r="Y538" s="70"/>
      <c r="Z538" s="70"/>
      <c r="AA538" s="70"/>
      <c r="AB538" s="70"/>
      <c r="AC538" s="70"/>
      <c r="AD538" s="70"/>
      <c r="AE538" s="70"/>
      <c r="AF538" s="70"/>
      <c r="AG538" s="70"/>
      <c r="AH538" s="70"/>
      <c r="AI538" s="70"/>
    </row>
    <row r="539" spans="1:35" ht="15">
      <c r="A539" s="70"/>
      <c r="B539" s="70"/>
      <c r="C539" s="70"/>
      <c r="D539" s="70"/>
      <c r="E539" s="77"/>
      <c r="F539" s="84"/>
      <c r="G539" s="77"/>
      <c r="H539" s="84"/>
      <c r="I539" s="70"/>
      <c r="J539" s="70"/>
      <c r="K539" s="70"/>
      <c r="L539" s="70"/>
      <c r="M539" s="70"/>
      <c r="N539" s="70"/>
      <c r="O539" s="70"/>
      <c r="P539" s="70"/>
      <c r="Q539" s="70"/>
      <c r="R539" s="70"/>
      <c r="S539" s="85"/>
      <c r="T539" s="70"/>
      <c r="U539" s="70"/>
      <c r="V539" s="70"/>
      <c r="W539" s="70"/>
      <c r="X539" s="70"/>
      <c r="Y539" s="70"/>
      <c r="Z539" s="70"/>
      <c r="AA539" s="70"/>
      <c r="AB539" s="70"/>
      <c r="AC539" s="70"/>
      <c r="AD539" s="70"/>
      <c r="AE539" s="70"/>
      <c r="AF539" s="70"/>
      <c r="AG539" s="70"/>
      <c r="AH539" s="70"/>
      <c r="AI539" s="70"/>
    </row>
    <row r="540" spans="1:35" ht="15">
      <c r="A540" s="70"/>
      <c r="B540" s="70"/>
      <c r="C540" s="70"/>
      <c r="D540" s="70"/>
      <c r="E540" s="77"/>
      <c r="F540" s="84"/>
      <c r="G540" s="77"/>
      <c r="H540" s="84"/>
      <c r="I540" s="70"/>
      <c r="J540" s="70"/>
      <c r="K540" s="70"/>
      <c r="L540" s="70"/>
      <c r="M540" s="70"/>
      <c r="N540" s="70"/>
      <c r="O540" s="70"/>
      <c r="P540" s="70"/>
      <c r="Q540" s="70"/>
      <c r="R540" s="70"/>
      <c r="S540" s="85"/>
      <c r="T540" s="70"/>
      <c r="U540" s="70"/>
      <c r="V540" s="70"/>
      <c r="W540" s="70"/>
      <c r="X540" s="70"/>
      <c r="Y540" s="70"/>
      <c r="Z540" s="70"/>
      <c r="AA540" s="70"/>
      <c r="AB540" s="70"/>
      <c r="AC540" s="70"/>
      <c r="AD540" s="70"/>
      <c r="AE540" s="70"/>
      <c r="AF540" s="70"/>
      <c r="AG540" s="70"/>
      <c r="AH540" s="70"/>
      <c r="AI540" s="70"/>
    </row>
    <row r="541" spans="1:35" ht="15">
      <c r="A541" s="70"/>
      <c r="B541" s="70"/>
      <c r="C541" s="70"/>
      <c r="D541" s="70"/>
      <c r="E541" s="77"/>
      <c r="F541" s="84"/>
      <c r="G541" s="77"/>
      <c r="H541" s="84"/>
      <c r="I541" s="70"/>
      <c r="J541" s="70"/>
      <c r="K541" s="70"/>
      <c r="L541" s="70"/>
      <c r="M541" s="70"/>
      <c r="N541" s="70"/>
      <c r="O541" s="70"/>
      <c r="P541" s="70"/>
      <c r="Q541" s="70"/>
      <c r="R541" s="70"/>
      <c r="S541" s="85"/>
      <c r="T541" s="70"/>
      <c r="U541" s="70"/>
      <c r="V541" s="70"/>
      <c r="W541" s="70"/>
      <c r="X541" s="70"/>
      <c r="Y541" s="70"/>
      <c r="Z541" s="70"/>
      <c r="AA541" s="70"/>
      <c r="AB541" s="70"/>
      <c r="AC541" s="70"/>
      <c r="AD541" s="70"/>
      <c r="AE541" s="70"/>
      <c r="AF541" s="70"/>
      <c r="AG541" s="70"/>
      <c r="AH541" s="70"/>
      <c r="AI541" s="70"/>
    </row>
    <row r="542" spans="1:35" ht="15">
      <c r="A542" s="70"/>
      <c r="B542" s="70"/>
      <c r="C542" s="70"/>
      <c r="D542" s="70"/>
      <c r="E542" s="77"/>
      <c r="F542" s="84"/>
      <c r="G542" s="77"/>
      <c r="H542" s="84"/>
      <c r="I542" s="70"/>
      <c r="J542" s="70"/>
      <c r="K542" s="70"/>
      <c r="L542" s="70"/>
      <c r="M542" s="70"/>
      <c r="N542" s="70"/>
      <c r="O542" s="70"/>
      <c r="P542" s="70"/>
      <c r="Q542" s="70"/>
      <c r="R542" s="70"/>
      <c r="S542" s="85"/>
      <c r="T542" s="70"/>
      <c r="U542" s="70"/>
      <c r="V542" s="70"/>
      <c r="W542" s="70"/>
      <c r="X542" s="70"/>
      <c r="Y542" s="70"/>
      <c r="Z542" s="70"/>
      <c r="AA542" s="70"/>
      <c r="AB542" s="70"/>
      <c r="AC542" s="70"/>
      <c r="AD542" s="70"/>
      <c r="AE542" s="70"/>
      <c r="AF542" s="70"/>
      <c r="AG542" s="70"/>
      <c r="AH542" s="70"/>
      <c r="AI542" s="70"/>
    </row>
    <row r="543" spans="1:35" ht="15">
      <c r="A543" s="70"/>
      <c r="B543" s="70"/>
      <c r="C543" s="70"/>
      <c r="D543" s="70"/>
      <c r="E543" s="77"/>
      <c r="F543" s="84"/>
      <c r="G543" s="77"/>
      <c r="H543" s="84"/>
      <c r="I543" s="70"/>
      <c r="J543" s="70"/>
      <c r="K543" s="70"/>
      <c r="L543" s="70"/>
      <c r="M543" s="70"/>
      <c r="N543" s="70"/>
      <c r="O543" s="70"/>
      <c r="P543" s="70"/>
      <c r="Q543" s="70"/>
      <c r="R543" s="70"/>
      <c r="S543" s="85"/>
      <c r="T543" s="70"/>
      <c r="U543" s="70"/>
      <c r="V543" s="70"/>
      <c r="W543" s="70"/>
      <c r="X543" s="70"/>
      <c r="Y543" s="70"/>
      <c r="Z543" s="70"/>
      <c r="AA543" s="70"/>
      <c r="AB543" s="70"/>
      <c r="AC543" s="70"/>
      <c r="AD543" s="70"/>
      <c r="AE543" s="70"/>
      <c r="AF543" s="70"/>
      <c r="AG543" s="70"/>
      <c r="AH543" s="70"/>
      <c r="AI543" s="70"/>
    </row>
    <row r="544" spans="1:35" ht="15">
      <c r="A544" s="70"/>
      <c r="B544" s="70"/>
      <c r="C544" s="70"/>
      <c r="D544" s="70"/>
      <c r="E544" s="77"/>
      <c r="F544" s="84"/>
      <c r="G544" s="77"/>
      <c r="H544" s="84"/>
      <c r="I544" s="70"/>
      <c r="J544" s="70"/>
      <c r="K544" s="70"/>
      <c r="L544" s="70"/>
      <c r="M544" s="70"/>
      <c r="N544" s="70"/>
      <c r="O544" s="70"/>
      <c r="P544" s="70"/>
      <c r="Q544" s="70"/>
      <c r="R544" s="70"/>
      <c r="S544" s="85"/>
      <c r="T544" s="70"/>
      <c r="U544" s="70"/>
      <c r="V544" s="70"/>
      <c r="W544" s="70"/>
      <c r="X544" s="70"/>
      <c r="Y544" s="70"/>
      <c r="Z544" s="70"/>
      <c r="AA544" s="70"/>
      <c r="AB544" s="70"/>
      <c r="AC544" s="70"/>
      <c r="AD544" s="70"/>
      <c r="AE544" s="70"/>
      <c r="AF544" s="70"/>
      <c r="AG544" s="70"/>
      <c r="AH544" s="70"/>
      <c r="AI544" s="70"/>
    </row>
    <row r="545" spans="1:35" ht="15">
      <c r="A545" s="70"/>
      <c r="B545" s="70"/>
      <c r="C545" s="70"/>
      <c r="D545" s="70"/>
      <c r="E545" s="77"/>
      <c r="F545" s="84"/>
      <c r="G545" s="77"/>
      <c r="H545" s="84"/>
      <c r="I545" s="70"/>
      <c r="J545" s="70"/>
      <c r="K545" s="70"/>
      <c r="L545" s="70"/>
      <c r="M545" s="70"/>
      <c r="N545" s="70"/>
      <c r="O545" s="70"/>
      <c r="P545" s="70"/>
      <c r="Q545" s="70"/>
      <c r="R545" s="70"/>
      <c r="S545" s="85"/>
      <c r="T545" s="70"/>
      <c r="U545" s="70"/>
      <c r="V545" s="70"/>
      <c r="W545" s="70"/>
      <c r="X545" s="70"/>
      <c r="Y545" s="70"/>
      <c r="Z545" s="70"/>
      <c r="AA545" s="70"/>
      <c r="AB545" s="70"/>
      <c r="AC545" s="70"/>
      <c r="AD545" s="70"/>
      <c r="AE545" s="70"/>
      <c r="AF545" s="70"/>
      <c r="AG545" s="70"/>
      <c r="AH545" s="70"/>
      <c r="AI545" s="70"/>
    </row>
    <row r="546" spans="1:35" ht="15">
      <c r="A546" s="70"/>
      <c r="B546" s="70"/>
      <c r="C546" s="70"/>
      <c r="D546" s="70"/>
      <c r="E546" s="77"/>
      <c r="F546" s="84"/>
      <c r="G546" s="77"/>
      <c r="H546" s="84"/>
      <c r="I546" s="70"/>
      <c r="J546" s="70"/>
      <c r="K546" s="70"/>
      <c r="L546" s="70"/>
      <c r="M546" s="70"/>
      <c r="N546" s="70"/>
      <c r="O546" s="70"/>
      <c r="P546" s="70"/>
      <c r="Q546" s="70"/>
      <c r="R546" s="70"/>
      <c r="S546" s="85"/>
      <c r="T546" s="70"/>
      <c r="U546" s="70"/>
      <c r="V546" s="70"/>
      <c r="W546" s="70"/>
      <c r="X546" s="70"/>
      <c r="Y546" s="70"/>
      <c r="Z546" s="70"/>
      <c r="AA546" s="70"/>
      <c r="AB546" s="70"/>
      <c r="AC546" s="70"/>
      <c r="AD546" s="70"/>
      <c r="AE546" s="70"/>
      <c r="AF546" s="70"/>
      <c r="AG546" s="70"/>
      <c r="AH546" s="70"/>
      <c r="AI546" s="70"/>
    </row>
    <row r="547" spans="1:35" ht="15">
      <c r="A547" s="70"/>
      <c r="B547" s="70"/>
      <c r="C547" s="70"/>
      <c r="D547" s="70"/>
      <c r="E547" s="77"/>
      <c r="F547" s="84"/>
      <c r="G547" s="77"/>
      <c r="H547" s="84"/>
      <c r="I547" s="70"/>
      <c r="J547" s="70"/>
      <c r="K547" s="70"/>
      <c r="L547" s="70"/>
      <c r="M547" s="70"/>
      <c r="N547" s="70"/>
      <c r="O547" s="70"/>
      <c r="P547" s="70"/>
      <c r="Q547" s="70"/>
      <c r="R547" s="70"/>
      <c r="S547" s="85"/>
      <c r="T547" s="70"/>
      <c r="U547" s="70"/>
      <c r="V547" s="70"/>
      <c r="W547" s="70"/>
      <c r="X547" s="70"/>
      <c r="Y547" s="70"/>
      <c r="Z547" s="70"/>
      <c r="AA547" s="70"/>
      <c r="AB547" s="70"/>
      <c r="AC547" s="70"/>
      <c r="AD547" s="70"/>
      <c r="AE547" s="70"/>
      <c r="AF547" s="70"/>
      <c r="AG547" s="70"/>
      <c r="AH547" s="70"/>
      <c r="AI547" s="70"/>
    </row>
    <row r="548" spans="1:35" ht="15">
      <c r="A548" s="70"/>
      <c r="B548" s="70"/>
      <c r="C548" s="70"/>
      <c r="D548" s="70"/>
      <c r="E548" s="77"/>
      <c r="F548" s="84"/>
      <c r="G548" s="77"/>
      <c r="H548" s="84"/>
      <c r="I548" s="70"/>
      <c r="J548" s="70"/>
      <c r="K548" s="70"/>
      <c r="L548" s="70"/>
      <c r="M548" s="70"/>
      <c r="N548" s="70"/>
      <c r="O548" s="70"/>
      <c r="P548" s="70"/>
      <c r="Q548" s="70"/>
      <c r="R548" s="70"/>
      <c r="S548" s="85"/>
      <c r="T548" s="70"/>
      <c r="U548" s="70"/>
      <c r="V548" s="70"/>
      <c r="W548" s="70"/>
      <c r="X548" s="70"/>
      <c r="Y548" s="70"/>
      <c r="Z548" s="70"/>
      <c r="AA548" s="70"/>
      <c r="AB548" s="70"/>
      <c r="AC548" s="70"/>
      <c r="AD548" s="70"/>
      <c r="AE548" s="70"/>
      <c r="AF548" s="70"/>
      <c r="AG548" s="70"/>
      <c r="AH548" s="70"/>
      <c r="AI548" s="70"/>
    </row>
    <row r="549" spans="1:35" ht="15">
      <c r="A549" s="70"/>
      <c r="B549" s="70"/>
      <c r="C549" s="70"/>
      <c r="D549" s="70"/>
      <c r="E549" s="77"/>
      <c r="F549" s="84"/>
      <c r="G549" s="77"/>
      <c r="H549" s="84"/>
      <c r="I549" s="70"/>
      <c r="J549" s="70"/>
      <c r="K549" s="70"/>
      <c r="L549" s="70"/>
      <c r="M549" s="70"/>
      <c r="N549" s="70"/>
      <c r="O549" s="70"/>
      <c r="P549" s="70"/>
      <c r="Q549" s="70"/>
      <c r="R549" s="70"/>
      <c r="S549" s="85"/>
      <c r="T549" s="70"/>
      <c r="U549" s="70"/>
      <c r="V549" s="70"/>
      <c r="W549" s="70"/>
      <c r="X549" s="70"/>
      <c r="Y549" s="70"/>
      <c r="Z549" s="70"/>
      <c r="AA549" s="70"/>
      <c r="AB549" s="70"/>
      <c r="AC549" s="70"/>
      <c r="AD549" s="70"/>
      <c r="AE549" s="70"/>
      <c r="AF549" s="70"/>
      <c r="AG549" s="70"/>
      <c r="AH549" s="70"/>
      <c r="AI549" s="70"/>
    </row>
    <row r="550" spans="1:35" ht="15">
      <c r="A550" s="70"/>
      <c r="B550" s="70"/>
      <c r="C550" s="70"/>
      <c r="D550" s="70"/>
      <c r="E550" s="77"/>
      <c r="F550" s="84"/>
      <c r="G550" s="77"/>
      <c r="H550" s="84"/>
      <c r="I550" s="70"/>
      <c r="J550" s="70"/>
      <c r="K550" s="70"/>
      <c r="L550" s="70"/>
      <c r="M550" s="70"/>
      <c r="N550" s="70"/>
      <c r="O550" s="70"/>
      <c r="P550" s="70"/>
      <c r="Q550" s="70"/>
      <c r="R550" s="70"/>
      <c r="S550" s="85"/>
      <c r="T550" s="70"/>
      <c r="U550" s="70"/>
      <c r="V550" s="70"/>
      <c r="W550" s="70"/>
      <c r="X550" s="70"/>
      <c r="Y550" s="70"/>
      <c r="Z550" s="70"/>
      <c r="AA550" s="70"/>
      <c r="AB550" s="70"/>
      <c r="AC550" s="70"/>
      <c r="AD550" s="70"/>
      <c r="AE550" s="70"/>
      <c r="AF550" s="70"/>
      <c r="AG550" s="70"/>
      <c r="AH550" s="70"/>
      <c r="AI550" s="70"/>
    </row>
    <row r="551" spans="1:35" ht="15">
      <c r="A551" s="70"/>
      <c r="B551" s="70"/>
      <c r="C551" s="70"/>
      <c r="D551" s="70"/>
      <c r="E551" s="77"/>
      <c r="F551" s="84"/>
      <c r="G551" s="77"/>
      <c r="H551" s="84"/>
      <c r="I551" s="70"/>
      <c r="J551" s="70"/>
      <c r="K551" s="70"/>
      <c r="L551" s="70"/>
      <c r="M551" s="70"/>
      <c r="N551" s="70"/>
      <c r="O551" s="70"/>
      <c r="P551" s="70"/>
      <c r="Q551" s="70"/>
      <c r="R551" s="70"/>
      <c r="S551" s="85"/>
      <c r="T551" s="70"/>
      <c r="U551" s="70"/>
      <c r="V551" s="70"/>
      <c r="W551" s="70"/>
      <c r="X551" s="70"/>
      <c r="Y551" s="70"/>
      <c r="Z551" s="70"/>
      <c r="AA551" s="70"/>
      <c r="AB551" s="70"/>
      <c r="AC551" s="70"/>
      <c r="AD551" s="70"/>
      <c r="AE551" s="70"/>
      <c r="AF551" s="70"/>
      <c r="AG551" s="70"/>
      <c r="AH551" s="70"/>
      <c r="AI551" s="70"/>
    </row>
    <row r="552" spans="1:35" ht="15">
      <c r="A552" s="70"/>
      <c r="B552" s="70"/>
      <c r="C552" s="70"/>
      <c r="D552" s="70"/>
      <c r="E552" s="77"/>
      <c r="F552" s="84"/>
      <c r="G552" s="77"/>
      <c r="H552" s="84"/>
      <c r="I552" s="70"/>
      <c r="J552" s="70"/>
      <c r="K552" s="70"/>
      <c r="L552" s="70"/>
      <c r="M552" s="70"/>
      <c r="N552" s="70"/>
      <c r="O552" s="70"/>
      <c r="P552" s="70"/>
      <c r="Q552" s="70"/>
      <c r="R552" s="70"/>
      <c r="S552" s="85"/>
      <c r="T552" s="70"/>
      <c r="U552" s="70"/>
      <c r="V552" s="70"/>
      <c r="W552" s="70"/>
      <c r="X552" s="70"/>
      <c r="Y552" s="70"/>
      <c r="Z552" s="70"/>
      <c r="AA552" s="70"/>
      <c r="AB552" s="70"/>
      <c r="AC552" s="70"/>
      <c r="AD552" s="70"/>
      <c r="AE552" s="70"/>
      <c r="AF552" s="70"/>
      <c r="AG552" s="70"/>
      <c r="AH552" s="70"/>
      <c r="AI552" s="70"/>
    </row>
    <row r="553" spans="1:35" ht="15">
      <c r="A553" s="70"/>
      <c r="B553" s="70"/>
      <c r="C553" s="70"/>
      <c r="D553" s="70"/>
      <c r="E553" s="77"/>
      <c r="F553" s="84"/>
      <c r="G553" s="77"/>
      <c r="H553" s="84"/>
      <c r="I553" s="70"/>
      <c r="J553" s="70"/>
      <c r="K553" s="70"/>
      <c r="L553" s="70"/>
      <c r="M553" s="70"/>
      <c r="N553" s="70"/>
      <c r="O553" s="70"/>
      <c r="P553" s="70"/>
      <c r="Q553" s="70"/>
      <c r="R553" s="70"/>
      <c r="S553" s="85"/>
      <c r="T553" s="70"/>
      <c r="U553" s="70"/>
      <c r="V553" s="70"/>
      <c r="W553" s="70"/>
      <c r="X553" s="70"/>
      <c r="Y553" s="70"/>
      <c r="Z553" s="70"/>
      <c r="AA553" s="70"/>
      <c r="AB553" s="70"/>
      <c r="AC553" s="70"/>
      <c r="AD553" s="70"/>
      <c r="AE553" s="70"/>
      <c r="AF553" s="70"/>
      <c r="AG553" s="70"/>
      <c r="AH553" s="70"/>
      <c r="AI553" s="70"/>
    </row>
    <row r="554" spans="1:35" ht="15">
      <c r="A554" s="70"/>
      <c r="B554" s="70"/>
      <c r="C554" s="70"/>
      <c r="D554" s="70"/>
      <c r="E554" s="77"/>
      <c r="F554" s="84"/>
      <c r="G554" s="77"/>
      <c r="H554" s="84"/>
      <c r="I554" s="70"/>
      <c r="J554" s="70"/>
      <c r="K554" s="70"/>
      <c r="L554" s="70"/>
      <c r="M554" s="70"/>
      <c r="N554" s="70"/>
      <c r="O554" s="70"/>
      <c r="P554" s="70"/>
      <c r="Q554" s="70"/>
      <c r="R554" s="70"/>
      <c r="S554" s="85"/>
      <c r="T554" s="70"/>
      <c r="U554" s="70"/>
      <c r="V554" s="70"/>
      <c r="W554" s="70"/>
      <c r="X554" s="70"/>
      <c r="Y554" s="70"/>
      <c r="Z554" s="70"/>
      <c r="AA554" s="70"/>
      <c r="AB554" s="70"/>
      <c r="AC554" s="70"/>
      <c r="AD554" s="70"/>
      <c r="AE554" s="70"/>
      <c r="AF554" s="70"/>
      <c r="AG554" s="70"/>
      <c r="AH554" s="70"/>
      <c r="AI554" s="70"/>
    </row>
    <row r="555" spans="1:35" ht="15">
      <c r="A555" s="70"/>
      <c r="B555" s="70"/>
      <c r="C555" s="70"/>
      <c r="D555" s="70"/>
      <c r="E555" s="77"/>
      <c r="F555" s="84"/>
      <c r="G555" s="77"/>
      <c r="H555" s="84"/>
      <c r="I555" s="70"/>
      <c r="J555" s="70"/>
      <c r="K555" s="70"/>
      <c r="L555" s="70"/>
      <c r="M555" s="70"/>
      <c r="N555" s="70"/>
      <c r="O555" s="70"/>
      <c r="P555" s="70"/>
      <c r="Q555" s="70"/>
      <c r="R555" s="70"/>
      <c r="S555" s="85"/>
      <c r="T555" s="70"/>
      <c r="U555" s="70"/>
      <c r="V555" s="70"/>
      <c r="W555" s="70"/>
      <c r="X555" s="70"/>
      <c r="Y555" s="70"/>
      <c r="Z555" s="70"/>
      <c r="AA555" s="70"/>
      <c r="AB555" s="70"/>
      <c r="AC555" s="70"/>
      <c r="AD555" s="70"/>
      <c r="AE555" s="70"/>
      <c r="AF555" s="70"/>
      <c r="AG555" s="70"/>
      <c r="AH555" s="70"/>
      <c r="AI555" s="70"/>
    </row>
    <row r="556" spans="1:35" ht="15">
      <c r="A556" s="70"/>
      <c r="B556" s="70"/>
      <c r="C556" s="70"/>
      <c r="D556" s="70"/>
      <c r="E556" s="77"/>
      <c r="F556" s="84"/>
      <c r="G556" s="77"/>
      <c r="H556" s="84"/>
      <c r="I556" s="70"/>
      <c r="J556" s="70"/>
      <c r="K556" s="70"/>
      <c r="L556" s="70"/>
      <c r="M556" s="70"/>
      <c r="N556" s="70"/>
      <c r="O556" s="70"/>
      <c r="P556" s="70"/>
      <c r="Q556" s="70"/>
      <c r="R556" s="70"/>
      <c r="S556" s="85"/>
      <c r="T556" s="70"/>
      <c r="U556" s="70"/>
      <c r="V556" s="70"/>
      <c r="W556" s="70"/>
      <c r="X556" s="70"/>
      <c r="Y556" s="70"/>
      <c r="Z556" s="70"/>
      <c r="AA556" s="70"/>
      <c r="AB556" s="70"/>
      <c r="AC556" s="70"/>
      <c r="AD556" s="70"/>
      <c r="AE556" s="70"/>
      <c r="AF556" s="70"/>
      <c r="AG556" s="70"/>
      <c r="AH556" s="70"/>
      <c r="AI556" s="70"/>
    </row>
    <row r="557" spans="1:35" ht="15">
      <c r="A557" s="70"/>
      <c r="B557" s="70"/>
      <c r="C557" s="70"/>
      <c r="D557" s="70"/>
      <c r="E557" s="77"/>
      <c r="F557" s="84"/>
      <c r="G557" s="77"/>
      <c r="H557" s="84"/>
      <c r="I557" s="70"/>
      <c r="J557" s="70"/>
      <c r="K557" s="70"/>
      <c r="L557" s="70"/>
      <c r="M557" s="70"/>
      <c r="N557" s="70"/>
      <c r="O557" s="70"/>
      <c r="P557" s="70"/>
      <c r="Q557" s="70"/>
      <c r="R557" s="70"/>
      <c r="S557" s="85"/>
      <c r="T557" s="70"/>
      <c r="U557" s="70"/>
      <c r="V557" s="70"/>
      <c r="W557" s="70"/>
      <c r="X557" s="70"/>
      <c r="Y557" s="70"/>
      <c r="Z557" s="70"/>
      <c r="AA557" s="70"/>
      <c r="AB557" s="70"/>
      <c r="AC557" s="70"/>
      <c r="AD557" s="70"/>
      <c r="AE557" s="70"/>
      <c r="AF557" s="70"/>
      <c r="AG557" s="70"/>
      <c r="AH557" s="70"/>
      <c r="AI557" s="70"/>
    </row>
    <row r="558" spans="1:35" ht="15">
      <c r="A558" s="70"/>
      <c r="B558" s="70"/>
      <c r="C558" s="70"/>
      <c r="D558" s="70"/>
      <c r="E558" s="77"/>
      <c r="F558" s="84"/>
      <c r="G558" s="77"/>
      <c r="H558" s="84"/>
      <c r="I558" s="70"/>
      <c r="J558" s="70"/>
      <c r="K558" s="70"/>
      <c r="L558" s="70"/>
      <c r="M558" s="70"/>
      <c r="N558" s="70"/>
      <c r="O558" s="70"/>
      <c r="P558" s="70"/>
      <c r="Q558" s="70"/>
      <c r="R558" s="70"/>
      <c r="S558" s="85"/>
      <c r="T558" s="70"/>
      <c r="U558" s="70"/>
      <c r="V558" s="70"/>
      <c r="W558" s="70"/>
      <c r="X558" s="70"/>
      <c r="Y558" s="70"/>
      <c r="Z558" s="70"/>
      <c r="AA558" s="70"/>
      <c r="AB558" s="70"/>
      <c r="AC558" s="70"/>
      <c r="AD558" s="70"/>
      <c r="AE558" s="70"/>
      <c r="AF558" s="70"/>
      <c r="AG558" s="70"/>
      <c r="AH558" s="70"/>
      <c r="AI558" s="70"/>
    </row>
    <row r="559" spans="1:35" ht="15">
      <c r="A559" s="70"/>
      <c r="B559" s="70"/>
      <c r="C559" s="70"/>
      <c r="D559" s="70"/>
      <c r="E559" s="77"/>
      <c r="F559" s="84"/>
      <c r="G559" s="77"/>
      <c r="H559" s="84"/>
      <c r="I559" s="70"/>
      <c r="J559" s="70"/>
      <c r="K559" s="70"/>
      <c r="L559" s="70"/>
      <c r="M559" s="70"/>
      <c r="N559" s="70"/>
      <c r="O559" s="70"/>
      <c r="P559" s="70"/>
      <c r="Q559" s="70"/>
      <c r="R559" s="70"/>
      <c r="S559" s="85"/>
      <c r="T559" s="70"/>
      <c r="U559" s="70"/>
      <c r="V559" s="70"/>
      <c r="W559" s="70"/>
      <c r="X559" s="70"/>
      <c r="Y559" s="70"/>
      <c r="Z559" s="70"/>
      <c r="AA559" s="70"/>
      <c r="AB559" s="70"/>
      <c r="AC559" s="70"/>
      <c r="AD559" s="70"/>
      <c r="AE559" s="70"/>
      <c r="AF559" s="70"/>
      <c r="AG559" s="70"/>
      <c r="AH559" s="70"/>
      <c r="AI559" s="70"/>
    </row>
    <row r="560" spans="1:35" ht="15">
      <c r="A560" s="70"/>
      <c r="B560" s="70"/>
      <c r="C560" s="70"/>
      <c r="D560" s="70"/>
      <c r="E560" s="77"/>
      <c r="F560" s="84"/>
      <c r="G560" s="77"/>
      <c r="H560" s="84"/>
      <c r="I560" s="70"/>
      <c r="J560" s="70"/>
      <c r="K560" s="70"/>
      <c r="L560" s="70"/>
      <c r="M560" s="70"/>
      <c r="N560" s="70"/>
      <c r="O560" s="70"/>
      <c r="P560" s="70"/>
      <c r="Q560" s="70"/>
      <c r="R560" s="70"/>
      <c r="S560" s="85"/>
      <c r="T560" s="70"/>
      <c r="U560" s="70"/>
      <c r="V560" s="70"/>
      <c r="W560" s="70"/>
      <c r="X560" s="70"/>
      <c r="Y560" s="70"/>
      <c r="Z560" s="70"/>
      <c r="AA560" s="70"/>
      <c r="AB560" s="70"/>
      <c r="AC560" s="70"/>
      <c r="AD560" s="70"/>
      <c r="AE560" s="70"/>
      <c r="AF560" s="70"/>
      <c r="AG560" s="70"/>
      <c r="AH560" s="70"/>
      <c r="AI560" s="70"/>
    </row>
    <row r="561" spans="1:35" ht="15">
      <c r="A561" s="70"/>
      <c r="B561" s="70"/>
      <c r="C561" s="70"/>
      <c r="D561" s="70"/>
      <c r="E561" s="77"/>
      <c r="F561" s="84"/>
      <c r="G561" s="77"/>
      <c r="H561" s="84"/>
      <c r="I561" s="70"/>
      <c r="J561" s="70"/>
      <c r="K561" s="70"/>
      <c r="L561" s="70"/>
      <c r="M561" s="70"/>
      <c r="N561" s="70"/>
      <c r="O561" s="70"/>
      <c r="P561" s="70"/>
      <c r="Q561" s="70"/>
      <c r="R561" s="70"/>
      <c r="S561" s="85"/>
      <c r="T561" s="70"/>
      <c r="U561" s="70"/>
      <c r="V561" s="70"/>
      <c r="W561" s="70"/>
      <c r="X561" s="70"/>
      <c r="Y561" s="70"/>
      <c r="Z561" s="70"/>
      <c r="AA561" s="70"/>
      <c r="AB561" s="70"/>
      <c r="AC561" s="70"/>
      <c r="AD561" s="70"/>
      <c r="AE561" s="70"/>
      <c r="AF561" s="70"/>
      <c r="AG561" s="70"/>
      <c r="AH561" s="70"/>
      <c r="AI561" s="70"/>
    </row>
    <row r="562" spans="1:35" ht="15">
      <c r="A562" s="70"/>
      <c r="B562" s="70"/>
      <c r="C562" s="70"/>
      <c r="D562" s="70"/>
      <c r="E562" s="77"/>
      <c r="F562" s="84"/>
      <c r="G562" s="77"/>
      <c r="H562" s="84"/>
      <c r="I562" s="70"/>
      <c r="J562" s="70"/>
      <c r="K562" s="70"/>
      <c r="L562" s="70"/>
      <c r="M562" s="70"/>
      <c r="N562" s="70"/>
      <c r="O562" s="70"/>
      <c r="P562" s="70"/>
      <c r="Q562" s="70"/>
      <c r="R562" s="70"/>
      <c r="S562" s="85"/>
      <c r="T562" s="70"/>
      <c r="U562" s="70"/>
      <c r="V562" s="70"/>
      <c r="W562" s="70"/>
      <c r="X562" s="70"/>
      <c r="Y562" s="70"/>
      <c r="Z562" s="70"/>
      <c r="AA562" s="70"/>
      <c r="AB562" s="70"/>
      <c r="AC562" s="70"/>
      <c r="AD562" s="70"/>
      <c r="AE562" s="70"/>
      <c r="AF562" s="70"/>
      <c r="AG562" s="70"/>
      <c r="AH562" s="70"/>
      <c r="AI562" s="70"/>
    </row>
    <row r="563" spans="1:35" ht="15">
      <c r="A563" s="70"/>
      <c r="B563" s="70"/>
      <c r="C563" s="70"/>
      <c r="D563" s="70"/>
      <c r="E563" s="77"/>
      <c r="F563" s="84"/>
      <c r="G563" s="77"/>
      <c r="H563" s="84"/>
      <c r="I563" s="70"/>
      <c r="J563" s="70"/>
      <c r="K563" s="70"/>
      <c r="L563" s="70"/>
      <c r="M563" s="70"/>
      <c r="N563" s="70"/>
      <c r="O563" s="70"/>
      <c r="P563" s="70"/>
      <c r="Q563" s="70"/>
      <c r="R563" s="70"/>
      <c r="S563" s="85"/>
      <c r="T563" s="70"/>
      <c r="U563" s="70"/>
      <c r="V563" s="70"/>
      <c r="W563" s="70"/>
      <c r="X563" s="70"/>
      <c r="Y563" s="70"/>
      <c r="Z563" s="70"/>
      <c r="AA563" s="70"/>
      <c r="AB563" s="70"/>
      <c r="AC563" s="70"/>
      <c r="AD563" s="70"/>
      <c r="AE563" s="70"/>
      <c r="AF563" s="70"/>
      <c r="AG563" s="70"/>
      <c r="AH563" s="70"/>
      <c r="AI563" s="70"/>
    </row>
    <row r="564" spans="1:35" ht="15">
      <c r="A564" s="70"/>
      <c r="B564" s="70"/>
      <c r="C564" s="70"/>
      <c r="D564" s="70"/>
      <c r="E564" s="77"/>
      <c r="F564" s="84"/>
      <c r="G564" s="77"/>
      <c r="H564" s="84"/>
      <c r="I564" s="70"/>
      <c r="J564" s="70"/>
      <c r="K564" s="70"/>
      <c r="L564" s="70"/>
      <c r="M564" s="70"/>
      <c r="N564" s="70"/>
      <c r="O564" s="70"/>
      <c r="P564" s="70"/>
      <c r="Q564" s="70"/>
      <c r="R564" s="70"/>
      <c r="S564" s="85"/>
      <c r="T564" s="70"/>
      <c r="U564" s="70"/>
      <c r="V564" s="70"/>
      <c r="W564" s="70"/>
      <c r="X564" s="70"/>
      <c r="Y564" s="70"/>
      <c r="Z564" s="70"/>
      <c r="AA564" s="70"/>
      <c r="AB564" s="70"/>
      <c r="AC564" s="70"/>
      <c r="AD564" s="70"/>
      <c r="AE564" s="70"/>
      <c r="AF564" s="70"/>
      <c r="AG564" s="70"/>
      <c r="AH564" s="70"/>
      <c r="AI564" s="70"/>
    </row>
    <row r="565" spans="1:35" ht="15">
      <c r="A565" s="70"/>
      <c r="B565" s="70"/>
      <c r="C565" s="70"/>
      <c r="D565" s="70"/>
      <c r="E565" s="77"/>
      <c r="F565" s="84"/>
      <c r="G565" s="77"/>
      <c r="H565" s="84"/>
      <c r="I565" s="70"/>
      <c r="J565" s="70"/>
      <c r="K565" s="70"/>
      <c r="L565" s="70"/>
      <c r="M565" s="70"/>
      <c r="N565" s="70"/>
      <c r="O565" s="70"/>
      <c r="P565" s="70"/>
      <c r="Q565" s="70"/>
      <c r="R565" s="70"/>
      <c r="S565" s="85"/>
      <c r="T565" s="70"/>
      <c r="U565" s="70"/>
      <c r="V565" s="70"/>
      <c r="W565" s="70"/>
      <c r="X565" s="70"/>
      <c r="Y565" s="70"/>
      <c r="Z565" s="70"/>
      <c r="AA565" s="70"/>
      <c r="AB565" s="70"/>
      <c r="AC565" s="70"/>
      <c r="AD565" s="70"/>
      <c r="AE565" s="70"/>
      <c r="AF565" s="70"/>
      <c r="AG565" s="70"/>
      <c r="AH565" s="70"/>
      <c r="AI565" s="70"/>
    </row>
    <row r="566" spans="1:35" ht="15">
      <c r="A566" s="70"/>
      <c r="B566" s="70"/>
      <c r="C566" s="70"/>
      <c r="D566" s="70"/>
      <c r="E566" s="77"/>
      <c r="F566" s="84"/>
      <c r="G566" s="77"/>
      <c r="H566" s="84"/>
      <c r="I566" s="70"/>
      <c r="J566" s="70"/>
      <c r="K566" s="70"/>
      <c r="L566" s="70"/>
      <c r="M566" s="70"/>
      <c r="N566" s="70"/>
      <c r="O566" s="70"/>
      <c r="P566" s="70"/>
      <c r="Q566" s="70"/>
      <c r="R566" s="70"/>
      <c r="S566" s="85"/>
      <c r="T566" s="70"/>
      <c r="U566" s="70"/>
      <c r="V566" s="70"/>
      <c r="W566" s="70"/>
      <c r="X566" s="70"/>
      <c r="Y566" s="70"/>
      <c r="Z566" s="70"/>
      <c r="AA566" s="70"/>
      <c r="AB566" s="70"/>
      <c r="AC566" s="70"/>
      <c r="AD566" s="70"/>
      <c r="AE566" s="70"/>
      <c r="AF566" s="70"/>
      <c r="AG566" s="70"/>
      <c r="AH566" s="70"/>
      <c r="AI566" s="70"/>
    </row>
    <row r="567" spans="1:35" ht="15">
      <c r="A567" s="70"/>
      <c r="B567" s="70"/>
      <c r="C567" s="70"/>
      <c r="D567" s="70"/>
      <c r="E567" s="77"/>
      <c r="F567" s="84"/>
      <c r="G567" s="77"/>
      <c r="H567" s="84"/>
      <c r="I567" s="70"/>
      <c r="J567" s="70"/>
      <c r="K567" s="70"/>
      <c r="L567" s="70"/>
      <c r="M567" s="70"/>
      <c r="N567" s="70"/>
      <c r="O567" s="70"/>
      <c r="P567" s="70"/>
      <c r="Q567" s="70"/>
      <c r="R567" s="70"/>
      <c r="S567" s="85"/>
      <c r="T567" s="70"/>
      <c r="U567" s="70"/>
      <c r="V567" s="70"/>
      <c r="W567" s="70"/>
      <c r="X567" s="70"/>
      <c r="Y567" s="70"/>
      <c r="Z567" s="70"/>
      <c r="AA567" s="70"/>
      <c r="AB567" s="70"/>
      <c r="AC567" s="70"/>
      <c r="AD567" s="70"/>
      <c r="AE567" s="70"/>
      <c r="AF567" s="70"/>
      <c r="AG567" s="70"/>
      <c r="AH567" s="70"/>
      <c r="AI567" s="70"/>
    </row>
    <row r="568" spans="1:35" ht="15">
      <c r="A568" s="70"/>
      <c r="B568" s="70"/>
      <c r="C568" s="70"/>
      <c r="D568" s="70"/>
      <c r="E568" s="77"/>
      <c r="F568" s="84"/>
      <c r="G568" s="77"/>
      <c r="H568" s="84"/>
      <c r="I568" s="70"/>
      <c r="J568" s="70"/>
      <c r="K568" s="70"/>
      <c r="L568" s="70"/>
      <c r="M568" s="70"/>
      <c r="N568" s="70"/>
      <c r="O568" s="70"/>
      <c r="P568" s="70"/>
      <c r="Q568" s="70"/>
      <c r="R568" s="70"/>
      <c r="S568" s="85"/>
      <c r="T568" s="70"/>
      <c r="U568" s="70"/>
      <c r="V568" s="70"/>
      <c r="W568" s="70"/>
      <c r="X568" s="70"/>
      <c r="Y568" s="70"/>
      <c r="Z568" s="70"/>
      <c r="AA568" s="70"/>
      <c r="AB568" s="70"/>
      <c r="AC568" s="70"/>
      <c r="AD568" s="70"/>
      <c r="AE568" s="70"/>
      <c r="AF568" s="70"/>
      <c r="AG568" s="70"/>
      <c r="AH568" s="70"/>
      <c r="AI568" s="70"/>
    </row>
    <row r="569" spans="1:35" ht="15">
      <c r="A569" s="70"/>
      <c r="B569" s="70"/>
      <c r="C569" s="70"/>
      <c r="D569" s="70"/>
      <c r="E569" s="77"/>
      <c r="F569" s="84"/>
      <c r="G569" s="77"/>
      <c r="H569" s="84"/>
      <c r="I569" s="70"/>
      <c r="J569" s="70"/>
      <c r="K569" s="70"/>
      <c r="L569" s="70"/>
      <c r="M569" s="70"/>
      <c r="N569" s="70"/>
      <c r="O569" s="70"/>
      <c r="P569" s="70"/>
      <c r="Q569" s="70"/>
      <c r="R569" s="70"/>
      <c r="S569" s="85"/>
      <c r="T569" s="70"/>
      <c r="U569" s="70"/>
      <c r="V569" s="70"/>
      <c r="W569" s="70"/>
      <c r="X569" s="70"/>
      <c r="Y569" s="70"/>
      <c r="Z569" s="70"/>
      <c r="AA569" s="70"/>
      <c r="AB569" s="70"/>
      <c r="AC569" s="70"/>
      <c r="AD569" s="70"/>
      <c r="AE569" s="70"/>
      <c r="AF569" s="70"/>
      <c r="AG569" s="70"/>
      <c r="AH569" s="70"/>
      <c r="AI569" s="70"/>
    </row>
    <row r="570" spans="1:35" ht="15">
      <c r="A570" s="70"/>
      <c r="B570" s="70"/>
      <c r="C570" s="70"/>
      <c r="D570" s="70"/>
      <c r="E570" s="77"/>
      <c r="F570" s="84"/>
      <c r="G570" s="77"/>
      <c r="H570" s="84"/>
      <c r="I570" s="70"/>
      <c r="J570" s="70"/>
      <c r="K570" s="70"/>
      <c r="L570" s="70"/>
      <c r="M570" s="70"/>
      <c r="N570" s="70"/>
      <c r="O570" s="70"/>
      <c r="P570" s="70"/>
      <c r="Q570" s="70"/>
      <c r="R570" s="70"/>
      <c r="S570" s="85"/>
      <c r="T570" s="70"/>
      <c r="U570" s="70"/>
      <c r="V570" s="70"/>
      <c r="W570" s="70"/>
      <c r="X570" s="70"/>
      <c r="Y570" s="70"/>
      <c r="Z570" s="70"/>
      <c r="AA570" s="70"/>
      <c r="AB570" s="70"/>
      <c r="AC570" s="70"/>
      <c r="AD570" s="70"/>
      <c r="AE570" s="70"/>
      <c r="AF570" s="70"/>
      <c r="AG570" s="70"/>
      <c r="AH570" s="70"/>
      <c r="AI570" s="70"/>
    </row>
    <row r="571" spans="1:35" ht="15">
      <c r="A571" s="70"/>
      <c r="B571" s="70"/>
      <c r="C571" s="70"/>
      <c r="D571" s="70"/>
      <c r="E571" s="77"/>
      <c r="F571" s="84"/>
      <c r="G571" s="77"/>
      <c r="H571" s="84"/>
      <c r="I571" s="70"/>
      <c r="J571" s="70"/>
      <c r="K571" s="70"/>
      <c r="L571" s="70"/>
      <c r="M571" s="70"/>
      <c r="N571" s="70"/>
      <c r="O571" s="70"/>
      <c r="P571" s="70"/>
      <c r="Q571" s="70"/>
      <c r="R571" s="70"/>
      <c r="S571" s="85"/>
      <c r="T571" s="70"/>
      <c r="U571" s="70"/>
      <c r="V571" s="70"/>
      <c r="W571" s="70"/>
      <c r="X571" s="70"/>
      <c r="Y571" s="70"/>
      <c r="Z571" s="70"/>
      <c r="AA571" s="70"/>
      <c r="AB571" s="70"/>
      <c r="AC571" s="70"/>
      <c r="AD571" s="70"/>
      <c r="AE571" s="70"/>
      <c r="AF571" s="70"/>
      <c r="AG571" s="70"/>
      <c r="AH571" s="70"/>
      <c r="AI571" s="70"/>
    </row>
    <row r="572" spans="1:35" ht="15">
      <c r="A572" s="70"/>
      <c r="B572" s="70"/>
      <c r="C572" s="70"/>
      <c r="D572" s="70"/>
      <c r="E572" s="77"/>
      <c r="F572" s="84"/>
      <c r="G572" s="77"/>
      <c r="H572" s="84"/>
      <c r="I572" s="70"/>
      <c r="J572" s="70"/>
      <c r="K572" s="70"/>
      <c r="L572" s="70"/>
      <c r="M572" s="70"/>
      <c r="N572" s="70"/>
      <c r="O572" s="70"/>
      <c r="P572" s="70"/>
      <c r="Q572" s="70"/>
      <c r="R572" s="70"/>
      <c r="S572" s="85"/>
      <c r="T572" s="70"/>
      <c r="U572" s="70"/>
      <c r="V572" s="70"/>
      <c r="W572" s="70"/>
      <c r="X572" s="70"/>
      <c r="Y572" s="70"/>
      <c r="Z572" s="70"/>
      <c r="AA572" s="70"/>
      <c r="AB572" s="70"/>
      <c r="AC572" s="70"/>
      <c r="AD572" s="70"/>
      <c r="AE572" s="70"/>
      <c r="AF572" s="70"/>
      <c r="AG572" s="70"/>
      <c r="AH572" s="70"/>
      <c r="AI572" s="70"/>
    </row>
    <row r="573" spans="1:35" ht="15">
      <c r="A573" s="70"/>
      <c r="B573" s="70"/>
      <c r="C573" s="70"/>
      <c r="D573" s="70"/>
      <c r="E573" s="77"/>
      <c r="F573" s="84"/>
      <c r="G573" s="77"/>
      <c r="H573" s="84"/>
      <c r="I573" s="70"/>
      <c r="J573" s="70"/>
      <c r="K573" s="70"/>
      <c r="L573" s="70"/>
      <c r="M573" s="70"/>
      <c r="N573" s="70"/>
      <c r="O573" s="70"/>
      <c r="P573" s="70"/>
      <c r="Q573" s="70"/>
      <c r="R573" s="70"/>
      <c r="S573" s="85"/>
      <c r="T573" s="70"/>
      <c r="U573" s="70"/>
      <c r="V573" s="70"/>
      <c r="W573" s="70"/>
      <c r="X573" s="70"/>
      <c r="Y573" s="70"/>
      <c r="Z573" s="70"/>
      <c r="AA573" s="70"/>
      <c r="AB573" s="70"/>
      <c r="AC573" s="70"/>
      <c r="AD573" s="70"/>
      <c r="AE573" s="70"/>
      <c r="AF573" s="70"/>
      <c r="AG573" s="70"/>
      <c r="AH573" s="70"/>
      <c r="AI573" s="70"/>
    </row>
    <row r="574" spans="1:35" ht="15">
      <c r="A574" s="70"/>
      <c r="B574" s="70"/>
      <c r="C574" s="70"/>
      <c r="D574" s="70"/>
      <c r="E574" s="77"/>
      <c r="F574" s="84"/>
      <c r="G574" s="77"/>
      <c r="H574" s="84"/>
      <c r="I574" s="70"/>
      <c r="J574" s="70"/>
      <c r="K574" s="70"/>
      <c r="L574" s="70"/>
      <c r="M574" s="70"/>
      <c r="N574" s="70"/>
      <c r="O574" s="70"/>
      <c r="P574" s="70"/>
      <c r="Q574" s="70"/>
      <c r="R574" s="70"/>
      <c r="S574" s="85"/>
      <c r="T574" s="70"/>
      <c r="U574" s="70"/>
      <c r="V574" s="70"/>
      <c r="W574" s="70"/>
      <c r="X574" s="70"/>
      <c r="Y574" s="70"/>
      <c r="Z574" s="70"/>
      <c r="AA574" s="70"/>
      <c r="AB574" s="70"/>
      <c r="AC574" s="70"/>
      <c r="AD574" s="70"/>
      <c r="AE574" s="70"/>
      <c r="AF574" s="70"/>
      <c r="AG574" s="70"/>
      <c r="AH574" s="70"/>
      <c r="AI574" s="70"/>
    </row>
    <row r="575" spans="1:35" ht="15">
      <c r="A575" s="70"/>
      <c r="B575" s="70"/>
      <c r="C575" s="70"/>
      <c r="D575" s="70"/>
      <c r="E575" s="77"/>
      <c r="F575" s="84"/>
      <c r="G575" s="77"/>
      <c r="H575" s="84"/>
      <c r="I575" s="70"/>
      <c r="J575" s="70"/>
      <c r="K575" s="70"/>
      <c r="L575" s="70"/>
      <c r="M575" s="70"/>
      <c r="N575" s="70"/>
      <c r="O575" s="70"/>
      <c r="P575" s="70"/>
      <c r="Q575" s="70"/>
      <c r="R575" s="70"/>
      <c r="S575" s="85"/>
      <c r="T575" s="70"/>
      <c r="U575" s="70"/>
      <c r="V575" s="70"/>
      <c r="W575" s="70"/>
      <c r="X575" s="70"/>
      <c r="Y575" s="70"/>
      <c r="Z575" s="70"/>
      <c r="AA575" s="70"/>
      <c r="AB575" s="70"/>
      <c r="AC575" s="70"/>
      <c r="AD575" s="70"/>
      <c r="AE575" s="70"/>
      <c r="AF575" s="70"/>
      <c r="AG575" s="70"/>
      <c r="AH575" s="70"/>
      <c r="AI575" s="70"/>
    </row>
    <row r="576" spans="1:35" ht="15">
      <c r="A576" s="70"/>
      <c r="B576" s="70"/>
      <c r="C576" s="70"/>
      <c r="D576" s="70"/>
      <c r="E576" s="77"/>
      <c r="F576" s="84"/>
      <c r="G576" s="77"/>
      <c r="H576" s="84"/>
      <c r="I576" s="70"/>
      <c r="J576" s="70"/>
      <c r="K576" s="70"/>
      <c r="L576" s="70"/>
      <c r="M576" s="70"/>
      <c r="N576" s="70"/>
      <c r="O576" s="70"/>
      <c r="P576" s="70"/>
      <c r="Q576" s="70"/>
      <c r="R576" s="70"/>
      <c r="S576" s="85"/>
      <c r="T576" s="70"/>
      <c r="U576" s="70"/>
      <c r="V576" s="70"/>
      <c r="W576" s="70"/>
      <c r="X576" s="70"/>
      <c r="Y576" s="70"/>
      <c r="Z576" s="70"/>
      <c r="AA576" s="70"/>
      <c r="AB576" s="70"/>
      <c r="AC576" s="70"/>
      <c r="AD576" s="70"/>
      <c r="AE576" s="70"/>
      <c r="AF576" s="70"/>
      <c r="AG576" s="70"/>
      <c r="AH576" s="70"/>
      <c r="AI576" s="70"/>
    </row>
    <row r="577" spans="1:35" ht="15">
      <c r="A577" s="70"/>
      <c r="B577" s="70"/>
      <c r="C577" s="70"/>
      <c r="D577" s="70"/>
      <c r="E577" s="77"/>
      <c r="F577" s="84"/>
      <c r="G577" s="77"/>
      <c r="H577" s="84"/>
      <c r="I577" s="70"/>
      <c r="J577" s="70"/>
      <c r="K577" s="70"/>
      <c r="L577" s="70"/>
      <c r="M577" s="70"/>
      <c r="N577" s="70"/>
      <c r="O577" s="70"/>
      <c r="P577" s="70"/>
      <c r="Q577" s="70"/>
      <c r="R577" s="70"/>
      <c r="S577" s="85"/>
      <c r="T577" s="70"/>
      <c r="U577" s="70"/>
      <c r="V577" s="70"/>
      <c r="W577" s="70"/>
      <c r="X577" s="70"/>
      <c r="Y577" s="70"/>
      <c r="Z577" s="70"/>
      <c r="AA577" s="70"/>
      <c r="AB577" s="70"/>
      <c r="AC577" s="70"/>
      <c r="AD577" s="70"/>
      <c r="AE577" s="70"/>
      <c r="AF577" s="70"/>
      <c r="AG577" s="70"/>
      <c r="AH577" s="70"/>
      <c r="AI577" s="70"/>
    </row>
    <row r="578" spans="1:35" ht="15">
      <c r="A578" s="70"/>
      <c r="B578" s="70"/>
      <c r="C578" s="70"/>
      <c r="D578" s="70"/>
      <c r="E578" s="77"/>
      <c r="F578" s="84"/>
      <c r="G578" s="77"/>
      <c r="H578" s="84"/>
      <c r="I578" s="70"/>
      <c r="J578" s="70"/>
      <c r="K578" s="70"/>
      <c r="L578" s="70"/>
      <c r="M578" s="70"/>
      <c r="N578" s="70"/>
      <c r="O578" s="70"/>
      <c r="P578" s="70"/>
      <c r="Q578" s="70"/>
      <c r="R578" s="70"/>
      <c r="S578" s="85"/>
      <c r="T578" s="70"/>
      <c r="U578" s="70"/>
      <c r="V578" s="70"/>
      <c r="W578" s="70"/>
      <c r="X578" s="70"/>
      <c r="Y578" s="70"/>
      <c r="Z578" s="70"/>
      <c r="AA578" s="70"/>
      <c r="AB578" s="70"/>
      <c r="AC578" s="70"/>
      <c r="AD578" s="70"/>
      <c r="AE578" s="70"/>
      <c r="AF578" s="70"/>
      <c r="AG578" s="70"/>
      <c r="AH578" s="70"/>
      <c r="AI578" s="70"/>
    </row>
    <row r="579" spans="1:35" ht="15">
      <c r="A579" s="70"/>
      <c r="B579" s="70"/>
      <c r="C579" s="70"/>
      <c r="D579" s="70"/>
      <c r="E579" s="77"/>
      <c r="F579" s="84"/>
      <c r="G579" s="77"/>
      <c r="H579" s="84"/>
      <c r="I579" s="70"/>
      <c r="J579" s="70"/>
      <c r="K579" s="70"/>
      <c r="L579" s="70"/>
      <c r="M579" s="70"/>
      <c r="N579" s="70"/>
      <c r="O579" s="70"/>
      <c r="P579" s="70"/>
      <c r="Q579" s="70"/>
      <c r="R579" s="70"/>
      <c r="S579" s="85"/>
      <c r="T579" s="70"/>
      <c r="U579" s="70"/>
      <c r="V579" s="70"/>
      <c r="W579" s="70"/>
      <c r="X579" s="70"/>
      <c r="Y579" s="70"/>
      <c r="Z579" s="70"/>
      <c r="AA579" s="70"/>
      <c r="AB579" s="70"/>
      <c r="AC579" s="70"/>
      <c r="AD579" s="70"/>
      <c r="AE579" s="70"/>
      <c r="AF579" s="70"/>
      <c r="AG579" s="70"/>
      <c r="AH579" s="70"/>
      <c r="AI579" s="70"/>
    </row>
    <row r="580" spans="1:35" ht="15">
      <c r="A580" s="70"/>
      <c r="B580" s="70"/>
      <c r="C580" s="70"/>
      <c r="D580" s="70"/>
      <c r="E580" s="77"/>
      <c r="F580" s="84"/>
      <c r="G580" s="77"/>
      <c r="H580" s="84"/>
      <c r="I580" s="70"/>
      <c r="J580" s="70"/>
      <c r="K580" s="70"/>
      <c r="L580" s="70"/>
      <c r="M580" s="70"/>
      <c r="N580" s="70"/>
      <c r="O580" s="70"/>
      <c r="P580" s="70"/>
      <c r="Q580" s="70"/>
      <c r="R580" s="70"/>
      <c r="S580" s="85"/>
      <c r="T580" s="70"/>
      <c r="U580" s="70"/>
      <c r="V580" s="70"/>
      <c r="W580" s="70"/>
      <c r="X580" s="70"/>
      <c r="Y580" s="70"/>
      <c r="Z580" s="70"/>
      <c r="AA580" s="70"/>
      <c r="AB580" s="70"/>
      <c r="AC580" s="70"/>
      <c r="AD580" s="70"/>
      <c r="AE580" s="70"/>
      <c r="AF580" s="70"/>
      <c r="AG580" s="70"/>
      <c r="AH580" s="70"/>
      <c r="AI580" s="70"/>
    </row>
    <row r="581" spans="1:35" ht="15">
      <c r="A581" s="70"/>
      <c r="B581" s="70"/>
      <c r="C581" s="70"/>
      <c r="D581" s="70"/>
      <c r="E581" s="77"/>
      <c r="F581" s="84"/>
      <c r="G581" s="77"/>
      <c r="H581" s="84"/>
      <c r="I581" s="70"/>
      <c r="J581" s="70"/>
      <c r="K581" s="70"/>
      <c r="L581" s="70"/>
      <c r="M581" s="70"/>
      <c r="N581" s="70"/>
      <c r="O581" s="70"/>
      <c r="P581" s="70"/>
      <c r="Q581" s="70"/>
      <c r="R581" s="70"/>
      <c r="S581" s="85"/>
      <c r="T581" s="70"/>
      <c r="U581" s="70"/>
      <c r="V581" s="70"/>
      <c r="W581" s="70"/>
      <c r="X581" s="70"/>
      <c r="Y581" s="70"/>
      <c r="Z581" s="70"/>
      <c r="AA581" s="70"/>
      <c r="AB581" s="70"/>
      <c r="AC581" s="70"/>
      <c r="AD581" s="70"/>
      <c r="AE581" s="70"/>
      <c r="AF581" s="70"/>
      <c r="AG581" s="70"/>
      <c r="AH581" s="70"/>
      <c r="AI581" s="70"/>
    </row>
    <row r="582" spans="1:35" ht="15">
      <c r="A582" s="70"/>
      <c r="B582" s="70"/>
      <c r="C582" s="70"/>
      <c r="D582" s="70"/>
      <c r="E582" s="77"/>
      <c r="F582" s="84"/>
      <c r="G582" s="77"/>
      <c r="H582" s="84"/>
      <c r="I582" s="70"/>
      <c r="J582" s="70"/>
      <c r="K582" s="70"/>
      <c r="L582" s="70"/>
      <c r="M582" s="70"/>
      <c r="N582" s="70"/>
      <c r="O582" s="70"/>
      <c r="P582" s="70"/>
      <c r="Q582" s="70"/>
      <c r="R582" s="70"/>
      <c r="S582" s="85"/>
      <c r="T582" s="70"/>
      <c r="U582" s="70"/>
      <c r="V582" s="70"/>
      <c r="W582" s="70"/>
      <c r="X582" s="70"/>
      <c r="Y582" s="70"/>
      <c r="Z582" s="70"/>
      <c r="AA582" s="70"/>
      <c r="AB582" s="70"/>
      <c r="AC582" s="70"/>
      <c r="AD582" s="70"/>
      <c r="AE582" s="70"/>
      <c r="AF582" s="70"/>
      <c r="AG582" s="70"/>
      <c r="AH582" s="70"/>
      <c r="AI582" s="70"/>
    </row>
    <row r="583" spans="1:35" ht="15">
      <c r="A583" s="70"/>
      <c r="B583" s="70"/>
      <c r="C583" s="70"/>
      <c r="D583" s="70"/>
      <c r="E583" s="77"/>
      <c r="F583" s="84"/>
      <c r="G583" s="77"/>
      <c r="H583" s="84"/>
      <c r="I583" s="70"/>
      <c r="J583" s="70"/>
      <c r="K583" s="70"/>
      <c r="L583" s="70"/>
      <c r="M583" s="70"/>
      <c r="N583" s="70"/>
      <c r="O583" s="70"/>
      <c r="P583" s="70"/>
      <c r="Q583" s="70"/>
      <c r="R583" s="70"/>
      <c r="S583" s="85"/>
      <c r="T583" s="70"/>
      <c r="U583" s="70"/>
      <c r="V583" s="70"/>
      <c r="W583" s="70"/>
      <c r="X583" s="70"/>
      <c r="Y583" s="70"/>
      <c r="Z583" s="70"/>
      <c r="AA583" s="70"/>
      <c r="AB583" s="70"/>
      <c r="AC583" s="70"/>
      <c r="AD583" s="70"/>
      <c r="AE583" s="70"/>
      <c r="AF583" s="70"/>
      <c r="AG583" s="70"/>
      <c r="AH583" s="70"/>
      <c r="AI583" s="70"/>
    </row>
    <row r="584" spans="1:35" ht="15">
      <c r="A584" s="70"/>
      <c r="B584" s="70"/>
      <c r="C584" s="70"/>
      <c r="D584" s="70"/>
      <c r="E584" s="77"/>
      <c r="F584" s="84"/>
      <c r="G584" s="77"/>
      <c r="H584" s="84"/>
      <c r="I584" s="70"/>
      <c r="J584" s="70"/>
      <c r="K584" s="70"/>
      <c r="L584" s="70"/>
      <c r="M584" s="70"/>
      <c r="N584" s="70"/>
      <c r="O584" s="70"/>
      <c r="P584" s="70"/>
      <c r="Q584" s="70"/>
      <c r="R584" s="70"/>
      <c r="S584" s="85"/>
      <c r="T584" s="70"/>
      <c r="U584" s="70"/>
      <c r="V584" s="70"/>
      <c r="W584" s="70"/>
      <c r="X584" s="70"/>
      <c r="Y584" s="70"/>
      <c r="Z584" s="70"/>
      <c r="AA584" s="70"/>
      <c r="AB584" s="70"/>
      <c r="AC584" s="70"/>
      <c r="AD584" s="70"/>
      <c r="AE584" s="70"/>
      <c r="AF584" s="70"/>
      <c r="AG584" s="70"/>
      <c r="AH584" s="70"/>
      <c r="AI584" s="70"/>
    </row>
    <row r="585" spans="1:35" ht="15">
      <c r="A585" s="70"/>
      <c r="B585" s="70"/>
      <c r="C585" s="70"/>
      <c r="D585" s="70"/>
      <c r="E585" s="77"/>
      <c r="F585" s="84"/>
      <c r="G585" s="77"/>
      <c r="H585" s="84"/>
      <c r="I585" s="70"/>
      <c r="J585" s="70"/>
      <c r="K585" s="70"/>
      <c r="L585" s="70"/>
      <c r="M585" s="70"/>
      <c r="N585" s="70"/>
      <c r="O585" s="70"/>
      <c r="P585" s="70"/>
      <c r="Q585" s="70"/>
      <c r="R585" s="70"/>
      <c r="S585" s="85"/>
      <c r="T585" s="70"/>
      <c r="U585" s="70"/>
      <c r="V585" s="70"/>
      <c r="W585" s="70"/>
      <c r="X585" s="70"/>
      <c r="Y585" s="70"/>
      <c r="Z585" s="70"/>
      <c r="AA585" s="70"/>
      <c r="AB585" s="70"/>
      <c r="AC585" s="70"/>
      <c r="AD585" s="70"/>
      <c r="AE585" s="70"/>
      <c r="AF585" s="70"/>
      <c r="AG585" s="70"/>
      <c r="AH585" s="70"/>
      <c r="AI585" s="70"/>
    </row>
    <row r="586" spans="1:35" ht="15">
      <c r="A586" s="70"/>
      <c r="B586" s="70"/>
      <c r="C586" s="70"/>
      <c r="D586" s="70"/>
      <c r="E586" s="77"/>
      <c r="F586" s="84"/>
      <c r="G586" s="77"/>
      <c r="H586" s="84"/>
      <c r="I586" s="70"/>
      <c r="J586" s="70"/>
      <c r="K586" s="70"/>
      <c r="L586" s="70"/>
      <c r="M586" s="70"/>
      <c r="N586" s="70"/>
      <c r="O586" s="70"/>
      <c r="P586" s="70"/>
      <c r="Q586" s="70"/>
      <c r="R586" s="70"/>
      <c r="S586" s="85"/>
      <c r="T586" s="70"/>
      <c r="U586" s="70"/>
      <c r="V586" s="70"/>
      <c r="W586" s="70"/>
      <c r="X586" s="70"/>
      <c r="Y586" s="70"/>
      <c r="Z586" s="70"/>
      <c r="AA586" s="70"/>
      <c r="AB586" s="70"/>
      <c r="AC586" s="70"/>
      <c r="AD586" s="70"/>
      <c r="AE586" s="70"/>
      <c r="AF586" s="70"/>
      <c r="AG586" s="70"/>
      <c r="AH586" s="70"/>
      <c r="AI586" s="70"/>
    </row>
    <row r="587" spans="1:35" ht="15">
      <c r="A587" s="70"/>
      <c r="B587" s="70"/>
      <c r="C587" s="70"/>
      <c r="D587" s="70"/>
      <c r="E587" s="77"/>
      <c r="F587" s="84"/>
      <c r="G587" s="77"/>
      <c r="H587" s="84"/>
      <c r="I587" s="70"/>
      <c r="J587" s="70"/>
      <c r="K587" s="70"/>
      <c r="L587" s="70"/>
      <c r="M587" s="70"/>
      <c r="N587" s="70"/>
      <c r="O587" s="70"/>
      <c r="P587" s="70"/>
      <c r="Q587" s="70"/>
      <c r="R587" s="70"/>
      <c r="S587" s="85"/>
      <c r="T587" s="70"/>
      <c r="U587" s="70"/>
      <c r="V587" s="70"/>
      <c r="W587" s="70"/>
      <c r="X587" s="70"/>
      <c r="Y587" s="70"/>
      <c r="Z587" s="70"/>
      <c r="AA587" s="70"/>
      <c r="AB587" s="70"/>
      <c r="AC587" s="70"/>
      <c r="AD587" s="70"/>
      <c r="AE587" s="70"/>
      <c r="AF587" s="70"/>
      <c r="AG587" s="70"/>
      <c r="AH587" s="70"/>
      <c r="AI587" s="70"/>
    </row>
    <row r="588" spans="1:35" ht="15">
      <c r="A588" s="70"/>
      <c r="B588" s="70"/>
      <c r="C588" s="70"/>
      <c r="D588" s="70"/>
      <c r="E588" s="77"/>
      <c r="F588" s="84"/>
      <c r="G588" s="77"/>
      <c r="H588" s="84"/>
      <c r="I588" s="70"/>
      <c r="J588" s="70"/>
      <c r="K588" s="70"/>
      <c r="L588" s="70"/>
      <c r="M588" s="70"/>
      <c r="N588" s="70"/>
      <c r="O588" s="70"/>
      <c r="P588" s="70"/>
      <c r="Q588" s="70"/>
      <c r="R588" s="70"/>
      <c r="S588" s="85"/>
      <c r="T588" s="70"/>
      <c r="U588" s="70"/>
      <c r="V588" s="70"/>
      <c r="W588" s="70"/>
      <c r="X588" s="70"/>
      <c r="Y588" s="70"/>
      <c r="Z588" s="70"/>
      <c r="AA588" s="70"/>
      <c r="AB588" s="70"/>
      <c r="AC588" s="70"/>
      <c r="AD588" s="70"/>
      <c r="AE588" s="70"/>
      <c r="AF588" s="70"/>
      <c r="AG588" s="70"/>
      <c r="AH588" s="70"/>
      <c r="AI588" s="70"/>
    </row>
    <row r="589" spans="1:35" ht="15">
      <c r="A589" s="70"/>
      <c r="B589" s="70"/>
      <c r="C589" s="70"/>
      <c r="D589" s="70"/>
      <c r="E589" s="77"/>
      <c r="F589" s="84"/>
      <c r="G589" s="77"/>
      <c r="H589" s="84"/>
      <c r="I589" s="70"/>
      <c r="J589" s="70"/>
      <c r="K589" s="70"/>
      <c r="L589" s="70"/>
      <c r="M589" s="70"/>
      <c r="N589" s="70"/>
      <c r="O589" s="70"/>
      <c r="P589" s="70"/>
      <c r="Q589" s="70"/>
      <c r="R589" s="70"/>
      <c r="S589" s="85"/>
      <c r="T589" s="70"/>
      <c r="U589" s="70"/>
      <c r="V589" s="70"/>
      <c r="W589" s="70"/>
      <c r="X589" s="70"/>
      <c r="Y589" s="70"/>
      <c r="Z589" s="70"/>
      <c r="AA589" s="70"/>
      <c r="AB589" s="70"/>
      <c r="AC589" s="70"/>
      <c r="AD589" s="70"/>
      <c r="AE589" s="70"/>
      <c r="AF589" s="70"/>
      <c r="AG589" s="70"/>
      <c r="AH589" s="70"/>
      <c r="AI589" s="70"/>
    </row>
    <row r="590" spans="1:35" ht="15">
      <c r="A590" s="70"/>
      <c r="B590" s="70"/>
      <c r="C590" s="70"/>
      <c r="D590" s="70"/>
      <c r="E590" s="77"/>
      <c r="F590" s="84"/>
      <c r="G590" s="77"/>
      <c r="H590" s="84"/>
      <c r="I590" s="70"/>
      <c r="J590" s="70"/>
      <c r="K590" s="70"/>
      <c r="L590" s="70"/>
      <c r="M590" s="70"/>
      <c r="N590" s="70"/>
      <c r="O590" s="70"/>
      <c r="P590" s="70"/>
      <c r="Q590" s="70"/>
      <c r="R590" s="70"/>
      <c r="S590" s="85"/>
      <c r="T590" s="70"/>
      <c r="U590" s="70"/>
      <c r="V590" s="70"/>
      <c r="W590" s="70"/>
      <c r="X590" s="70"/>
      <c r="Y590" s="70"/>
      <c r="Z590" s="70"/>
      <c r="AA590" s="70"/>
      <c r="AB590" s="70"/>
      <c r="AC590" s="70"/>
      <c r="AD590" s="70"/>
      <c r="AE590" s="70"/>
      <c r="AF590" s="70"/>
      <c r="AG590" s="70"/>
      <c r="AH590" s="70"/>
      <c r="AI590" s="70"/>
    </row>
    <row r="591" spans="1:35" ht="15">
      <c r="A591" s="70"/>
      <c r="B591" s="70"/>
      <c r="C591" s="70"/>
      <c r="D591" s="70"/>
      <c r="E591" s="77"/>
      <c r="F591" s="84"/>
      <c r="G591" s="77"/>
      <c r="H591" s="84"/>
      <c r="I591" s="70"/>
      <c r="J591" s="70"/>
      <c r="K591" s="70"/>
      <c r="L591" s="70"/>
      <c r="M591" s="70"/>
      <c r="N591" s="70"/>
      <c r="O591" s="70"/>
      <c r="P591" s="70"/>
      <c r="Q591" s="70"/>
      <c r="R591" s="70"/>
      <c r="S591" s="85"/>
      <c r="T591" s="70"/>
      <c r="U591" s="70"/>
      <c r="V591" s="70"/>
      <c r="W591" s="70"/>
      <c r="X591" s="70"/>
      <c r="Y591" s="70"/>
      <c r="Z591" s="70"/>
      <c r="AA591" s="70"/>
      <c r="AB591" s="70"/>
      <c r="AC591" s="70"/>
      <c r="AD591" s="70"/>
      <c r="AE591" s="70"/>
      <c r="AF591" s="70"/>
      <c r="AG591" s="70"/>
      <c r="AH591" s="70"/>
      <c r="AI591" s="70"/>
    </row>
    <row r="592" spans="1:35" ht="15">
      <c r="A592" s="70"/>
      <c r="B592" s="70"/>
      <c r="C592" s="70"/>
      <c r="D592" s="70"/>
      <c r="E592" s="77"/>
      <c r="F592" s="84"/>
      <c r="G592" s="77"/>
      <c r="H592" s="84"/>
      <c r="I592" s="70"/>
      <c r="J592" s="70"/>
      <c r="K592" s="70"/>
      <c r="L592" s="70"/>
      <c r="M592" s="70"/>
      <c r="N592" s="70"/>
      <c r="O592" s="70"/>
      <c r="P592" s="70"/>
      <c r="Q592" s="70"/>
      <c r="R592" s="70"/>
      <c r="S592" s="85"/>
      <c r="T592" s="70"/>
      <c r="U592" s="70"/>
      <c r="V592" s="70"/>
      <c r="W592" s="70"/>
      <c r="X592" s="70"/>
      <c r="Y592" s="70"/>
      <c r="Z592" s="70"/>
      <c r="AA592" s="70"/>
      <c r="AB592" s="70"/>
      <c r="AC592" s="70"/>
      <c r="AD592" s="70"/>
      <c r="AE592" s="70"/>
      <c r="AF592" s="70"/>
      <c r="AG592" s="70"/>
      <c r="AH592" s="70"/>
      <c r="AI592" s="70"/>
    </row>
    <row r="593" spans="1:35" ht="15">
      <c r="A593" s="70"/>
      <c r="B593" s="70"/>
      <c r="C593" s="70"/>
      <c r="D593" s="70"/>
      <c r="E593" s="77"/>
      <c r="F593" s="84"/>
      <c r="G593" s="77"/>
      <c r="H593" s="84"/>
      <c r="I593" s="70"/>
      <c r="J593" s="70"/>
      <c r="K593" s="70"/>
      <c r="L593" s="70"/>
      <c r="M593" s="70"/>
      <c r="N593" s="70"/>
      <c r="O593" s="70"/>
      <c r="P593" s="70"/>
      <c r="Q593" s="70"/>
      <c r="R593" s="70"/>
      <c r="S593" s="85"/>
      <c r="T593" s="70"/>
      <c r="U593" s="70"/>
      <c r="V593" s="70"/>
      <c r="W593" s="70"/>
      <c r="X593" s="70"/>
      <c r="Y593" s="70"/>
      <c r="Z593" s="70"/>
      <c r="AA593" s="70"/>
      <c r="AB593" s="70"/>
      <c r="AC593" s="70"/>
      <c r="AD593" s="70"/>
      <c r="AE593" s="70"/>
      <c r="AF593" s="70"/>
      <c r="AG593" s="70"/>
      <c r="AH593" s="70"/>
      <c r="AI593" s="70"/>
    </row>
    <row r="594" spans="1:35" ht="15">
      <c r="A594" s="70"/>
      <c r="B594" s="70"/>
      <c r="C594" s="70"/>
      <c r="D594" s="70"/>
      <c r="E594" s="77"/>
      <c r="F594" s="84"/>
      <c r="G594" s="77"/>
      <c r="H594" s="84"/>
      <c r="I594" s="70"/>
      <c r="J594" s="70"/>
      <c r="K594" s="70"/>
      <c r="L594" s="70"/>
      <c r="M594" s="70"/>
      <c r="N594" s="70"/>
      <c r="O594" s="70"/>
      <c r="P594" s="70"/>
      <c r="Q594" s="70"/>
      <c r="R594" s="70"/>
      <c r="S594" s="85"/>
      <c r="T594" s="70"/>
      <c r="U594" s="70"/>
      <c r="V594" s="70"/>
      <c r="W594" s="70"/>
      <c r="X594" s="70"/>
      <c r="Y594" s="70"/>
      <c r="Z594" s="70"/>
      <c r="AA594" s="70"/>
      <c r="AB594" s="70"/>
      <c r="AC594" s="70"/>
      <c r="AD594" s="70"/>
      <c r="AE594" s="70"/>
      <c r="AF594" s="70"/>
      <c r="AG594" s="70"/>
      <c r="AH594" s="70"/>
      <c r="AI594" s="70"/>
    </row>
    <row r="595" spans="1:35" ht="15">
      <c r="A595" s="70"/>
      <c r="B595" s="70"/>
      <c r="C595" s="70"/>
      <c r="D595" s="70"/>
      <c r="E595" s="77"/>
      <c r="F595" s="84"/>
      <c r="G595" s="77"/>
      <c r="H595" s="84"/>
      <c r="I595" s="70"/>
      <c r="J595" s="70"/>
      <c r="K595" s="70"/>
      <c r="L595" s="70"/>
      <c r="M595" s="70"/>
      <c r="N595" s="70"/>
      <c r="O595" s="70"/>
      <c r="P595" s="70"/>
      <c r="Q595" s="70"/>
      <c r="R595" s="70"/>
      <c r="S595" s="85"/>
      <c r="T595" s="70"/>
      <c r="U595" s="70"/>
      <c r="V595" s="70"/>
      <c r="W595" s="70"/>
      <c r="X595" s="70"/>
      <c r="Y595" s="70"/>
      <c r="Z595" s="70"/>
      <c r="AA595" s="70"/>
      <c r="AB595" s="70"/>
      <c r="AC595" s="70"/>
      <c r="AD595" s="70"/>
      <c r="AE595" s="70"/>
      <c r="AF595" s="70"/>
      <c r="AG595" s="70"/>
      <c r="AH595" s="70"/>
      <c r="AI595" s="70"/>
    </row>
    <row r="596" spans="1:35" ht="15">
      <c r="A596" s="70"/>
      <c r="B596" s="70"/>
      <c r="C596" s="70"/>
      <c r="D596" s="70"/>
      <c r="E596" s="77"/>
      <c r="F596" s="84"/>
      <c r="G596" s="77"/>
      <c r="H596" s="84"/>
      <c r="I596" s="70"/>
      <c r="J596" s="70"/>
      <c r="K596" s="70"/>
      <c r="L596" s="70"/>
      <c r="M596" s="70"/>
      <c r="N596" s="70"/>
      <c r="O596" s="70"/>
      <c r="P596" s="70"/>
      <c r="Q596" s="70"/>
      <c r="R596" s="70"/>
      <c r="S596" s="85"/>
      <c r="T596" s="70"/>
      <c r="U596" s="70"/>
      <c r="V596" s="70"/>
      <c r="W596" s="70"/>
      <c r="X596" s="70"/>
      <c r="Y596" s="70"/>
      <c r="Z596" s="70"/>
      <c r="AA596" s="70"/>
      <c r="AB596" s="70"/>
      <c r="AC596" s="70"/>
      <c r="AD596" s="70"/>
      <c r="AE596" s="70"/>
      <c r="AF596" s="70"/>
      <c r="AG596" s="70"/>
      <c r="AH596" s="70"/>
      <c r="AI596" s="70"/>
    </row>
    <row r="597" spans="1:35" ht="15">
      <c r="A597" s="70"/>
      <c r="B597" s="70"/>
      <c r="C597" s="70"/>
      <c r="D597" s="70"/>
      <c r="E597" s="77"/>
      <c r="F597" s="84"/>
      <c r="G597" s="77"/>
      <c r="H597" s="84"/>
      <c r="I597" s="70"/>
      <c r="J597" s="70"/>
      <c r="K597" s="70"/>
      <c r="L597" s="70"/>
      <c r="M597" s="70"/>
      <c r="N597" s="70"/>
      <c r="O597" s="70"/>
      <c r="P597" s="70"/>
      <c r="Q597" s="70"/>
      <c r="R597" s="70"/>
      <c r="S597" s="85"/>
      <c r="T597" s="70"/>
      <c r="U597" s="70"/>
      <c r="V597" s="70"/>
      <c r="W597" s="70"/>
      <c r="X597" s="70"/>
      <c r="Y597" s="70"/>
      <c r="Z597" s="70"/>
      <c r="AA597" s="70"/>
      <c r="AB597" s="70"/>
      <c r="AC597" s="70"/>
      <c r="AD597" s="70"/>
      <c r="AE597" s="70"/>
      <c r="AF597" s="70"/>
      <c r="AG597" s="70"/>
      <c r="AH597" s="70"/>
      <c r="AI597" s="70"/>
    </row>
    <row r="598" spans="1:35" ht="15">
      <c r="A598" s="70"/>
      <c r="B598" s="70"/>
      <c r="C598" s="70"/>
      <c r="D598" s="70"/>
      <c r="E598" s="77"/>
      <c r="F598" s="84"/>
      <c r="G598" s="77"/>
      <c r="H598" s="84"/>
      <c r="I598" s="70"/>
      <c r="J598" s="70"/>
      <c r="K598" s="70"/>
      <c r="L598" s="70"/>
      <c r="M598" s="70"/>
      <c r="N598" s="70"/>
      <c r="O598" s="70"/>
      <c r="P598" s="70"/>
      <c r="Q598" s="70"/>
      <c r="R598" s="70"/>
      <c r="S598" s="85"/>
      <c r="T598" s="70"/>
      <c r="U598" s="70"/>
      <c r="V598" s="70"/>
      <c r="W598" s="70"/>
      <c r="X598" s="70"/>
      <c r="Y598" s="70"/>
      <c r="Z598" s="70"/>
      <c r="AA598" s="70"/>
      <c r="AB598" s="70"/>
      <c r="AC598" s="70"/>
      <c r="AD598" s="70"/>
      <c r="AE598" s="70"/>
      <c r="AF598" s="70"/>
      <c r="AG598" s="70"/>
      <c r="AH598" s="70"/>
      <c r="AI598" s="70"/>
    </row>
    <row r="599" spans="1:35" ht="15">
      <c r="A599" s="70"/>
      <c r="B599" s="70"/>
      <c r="C599" s="70"/>
      <c r="D599" s="70"/>
      <c r="E599" s="77"/>
      <c r="F599" s="84"/>
      <c r="G599" s="77"/>
      <c r="H599" s="84"/>
      <c r="I599" s="70"/>
      <c r="J599" s="70"/>
      <c r="K599" s="70"/>
      <c r="L599" s="70"/>
      <c r="M599" s="70"/>
      <c r="N599" s="70"/>
      <c r="O599" s="70"/>
      <c r="P599" s="70"/>
      <c r="Q599" s="70"/>
      <c r="R599" s="70"/>
      <c r="S599" s="85"/>
      <c r="T599" s="70"/>
      <c r="U599" s="70"/>
      <c r="V599" s="70"/>
      <c r="W599" s="70"/>
      <c r="X599" s="70"/>
      <c r="Y599" s="70"/>
      <c r="Z599" s="70"/>
      <c r="AA599" s="70"/>
      <c r="AB599" s="70"/>
      <c r="AC599" s="70"/>
      <c r="AD599" s="70"/>
      <c r="AE599" s="70"/>
      <c r="AF599" s="70"/>
      <c r="AG599" s="70"/>
      <c r="AH599" s="70"/>
      <c r="AI599" s="70"/>
    </row>
    <row r="600" spans="1:35" ht="15">
      <c r="A600" s="70"/>
      <c r="B600" s="70"/>
      <c r="C600" s="70"/>
      <c r="D600" s="70"/>
      <c r="E600" s="77"/>
      <c r="F600" s="84"/>
      <c r="G600" s="77"/>
      <c r="H600" s="84"/>
      <c r="I600" s="70"/>
      <c r="J600" s="70"/>
      <c r="K600" s="70"/>
      <c r="L600" s="70"/>
      <c r="M600" s="70"/>
      <c r="N600" s="70"/>
      <c r="O600" s="70"/>
      <c r="P600" s="70"/>
      <c r="Q600" s="70"/>
      <c r="R600" s="70"/>
      <c r="S600" s="85"/>
      <c r="T600" s="70"/>
      <c r="U600" s="70"/>
      <c r="V600" s="70"/>
      <c r="W600" s="70"/>
      <c r="X600" s="70"/>
      <c r="Y600" s="70"/>
      <c r="Z600" s="70"/>
      <c r="AA600" s="70"/>
      <c r="AB600" s="70"/>
      <c r="AC600" s="70"/>
      <c r="AD600" s="70"/>
      <c r="AE600" s="70"/>
      <c r="AF600" s="70"/>
      <c r="AG600" s="70"/>
      <c r="AH600" s="70"/>
      <c r="AI600" s="70"/>
    </row>
    <row r="601" spans="1:35" ht="15">
      <c r="A601" s="70"/>
      <c r="B601" s="70"/>
      <c r="C601" s="70"/>
      <c r="D601" s="70"/>
      <c r="E601" s="77"/>
      <c r="F601" s="84"/>
      <c r="G601" s="77"/>
      <c r="H601" s="84"/>
      <c r="I601" s="70"/>
      <c r="J601" s="70"/>
      <c r="K601" s="70"/>
      <c r="L601" s="70"/>
      <c r="M601" s="70"/>
      <c r="N601" s="70"/>
      <c r="O601" s="70"/>
      <c r="P601" s="70"/>
      <c r="Q601" s="70"/>
      <c r="R601" s="70"/>
      <c r="S601" s="85"/>
      <c r="T601" s="70"/>
      <c r="U601" s="70"/>
      <c r="V601" s="70"/>
      <c r="W601" s="70"/>
      <c r="X601" s="70"/>
      <c r="Y601" s="70"/>
      <c r="Z601" s="70"/>
      <c r="AA601" s="70"/>
      <c r="AB601" s="70"/>
      <c r="AC601" s="70"/>
      <c r="AD601" s="70"/>
      <c r="AE601" s="70"/>
      <c r="AF601" s="70"/>
      <c r="AG601" s="70"/>
      <c r="AH601" s="70"/>
      <c r="AI601" s="70"/>
    </row>
    <row r="602" spans="1:35" ht="15">
      <c r="A602" s="70"/>
      <c r="B602" s="70"/>
      <c r="C602" s="70"/>
      <c r="D602" s="70"/>
      <c r="E602" s="77"/>
      <c r="F602" s="84"/>
      <c r="G602" s="77"/>
      <c r="H602" s="84"/>
      <c r="I602" s="70"/>
      <c r="J602" s="70"/>
      <c r="K602" s="70"/>
      <c r="L602" s="70"/>
      <c r="M602" s="70"/>
      <c r="N602" s="70"/>
      <c r="O602" s="70"/>
      <c r="P602" s="70"/>
      <c r="Q602" s="70"/>
      <c r="R602" s="70"/>
      <c r="S602" s="85"/>
      <c r="T602" s="70"/>
      <c r="U602" s="70"/>
      <c r="V602" s="70"/>
      <c r="W602" s="70"/>
      <c r="X602" s="70"/>
      <c r="Y602" s="70"/>
      <c r="Z602" s="70"/>
      <c r="AA602" s="70"/>
      <c r="AB602" s="70"/>
      <c r="AC602" s="70"/>
      <c r="AD602" s="70"/>
      <c r="AE602" s="70"/>
      <c r="AF602" s="70"/>
      <c r="AG602" s="70"/>
      <c r="AH602" s="70"/>
      <c r="AI602" s="70"/>
    </row>
    <row r="603" spans="1:35" ht="15">
      <c r="A603" s="70"/>
      <c r="B603" s="70"/>
      <c r="C603" s="70"/>
      <c r="D603" s="70"/>
      <c r="E603" s="77"/>
      <c r="F603" s="84"/>
      <c r="G603" s="77"/>
      <c r="H603" s="84"/>
      <c r="I603" s="70"/>
      <c r="J603" s="70"/>
      <c r="K603" s="70"/>
      <c r="L603" s="70"/>
      <c r="M603" s="70"/>
      <c r="N603" s="70"/>
      <c r="O603" s="70"/>
      <c r="P603" s="70"/>
      <c r="Q603" s="70"/>
      <c r="R603" s="70"/>
      <c r="S603" s="85"/>
      <c r="T603" s="70"/>
      <c r="U603" s="70"/>
      <c r="V603" s="70"/>
      <c r="W603" s="70"/>
      <c r="X603" s="70"/>
      <c r="Y603" s="70"/>
      <c r="Z603" s="70"/>
      <c r="AA603" s="70"/>
      <c r="AB603" s="70"/>
      <c r="AC603" s="70"/>
      <c r="AD603" s="70"/>
      <c r="AE603" s="70"/>
      <c r="AF603" s="70"/>
      <c r="AG603" s="70"/>
      <c r="AH603" s="70"/>
      <c r="AI603" s="70"/>
    </row>
    <row r="604" spans="1:35" ht="15">
      <c r="A604" s="70"/>
      <c r="B604" s="70"/>
      <c r="C604" s="70"/>
      <c r="D604" s="70"/>
      <c r="E604" s="77"/>
      <c r="F604" s="84"/>
      <c r="G604" s="77"/>
      <c r="H604" s="84"/>
      <c r="I604" s="70"/>
      <c r="J604" s="70"/>
      <c r="K604" s="70"/>
      <c r="L604" s="70"/>
      <c r="M604" s="70"/>
      <c r="N604" s="70"/>
      <c r="O604" s="70"/>
      <c r="P604" s="70"/>
      <c r="Q604" s="70"/>
      <c r="R604" s="70"/>
      <c r="S604" s="85"/>
      <c r="T604" s="70"/>
      <c r="U604" s="70"/>
      <c r="V604" s="70"/>
      <c r="W604" s="70"/>
      <c r="X604" s="70"/>
      <c r="Y604" s="70"/>
      <c r="Z604" s="70"/>
      <c r="AA604" s="70"/>
      <c r="AB604" s="70"/>
      <c r="AC604" s="70"/>
      <c r="AD604" s="70"/>
      <c r="AE604" s="70"/>
      <c r="AF604" s="70"/>
      <c r="AG604" s="70"/>
      <c r="AH604" s="70"/>
      <c r="AI604" s="70"/>
    </row>
    <row r="605" spans="1:35" ht="15">
      <c r="A605" s="70"/>
      <c r="B605" s="70"/>
      <c r="C605" s="70"/>
      <c r="D605" s="70"/>
      <c r="E605" s="77"/>
      <c r="F605" s="84"/>
      <c r="G605" s="77"/>
      <c r="H605" s="84"/>
      <c r="I605" s="70"/>
      <c r="J605" s="70"/>
      <c r="K605" s="70"/>
      <c r="L605" s="70"/>
      <c r="M605" s="70"/>
      <c r="N605" s="70"/>
      <c r="O605" s="70"/>
      <c r="P605" s="70"/>
      <c r="Q605" s="70"/>
      <c r="R605" s="70"/>
      <c r="S605" s="85"/>
      <c r="T605" s="70"/>
      <c r="U605" s="70"/>
      <c r="V605" s="70"/>
      <c r="W605" s="70"/>
      <c r="X605" s="70"/>
      <c r="Y605" s="70"/>
      <c r="Z605" s="70"/>
      <c r="AA605" s="70"/>
      <c r="AB605" s="70"/>
      <c r="AC605" s="70"/>
      <c r="AD605" s="70"/>
      <c r="AE605" s="70"/>
      <c r="AF605" s="70"/>
      <c r="AG605" s="70"/>
      <c r="AH605" s="70"/>
      <c r="AI605" s="70"/>
    </row>
    <row r="606" spans="1:35" ht="15">
      <c r="A606" s="70"/>
      <c r="B606" s="70"/>
      <c r="C606" s="70"/>
      <c r="D606" s="70"/>
      <c r="E606" s="77"/>
      <c r="F606" s="84"/>
      <c r="G606" s="77"/>
      <c r="H606" s="84"/>
      <c r="I606" s="70"/>
      <c r="J606" s="70"/>
      <c r="K606" s="70"/>
      <c r="L606" s="70"/>
      <c r="M606" s="70"/>
      <c r="N606" s="70"/>
      <c r="O606" s="70"/>
      <c r="P606" s="70"/>
      <c r="Q606" s="70"/>
      <c r="R606" s="70"/>
      <c r="S606" s="85"/>
      <c r="T606" s="70"/>
      <c r="U606" s="70"/>
      <c r="V606" s="70"/>
      <c r="W606" s="70"/>
      <c r="X606" s="70"/>
      <c r="Y606" s="70"/>
      <c r="Z606" s="70"/>
      <c r="AA606" s="70"/>
      <c r="AB606" s="70"/>
      <c r="AC606" s="70"/>
      <c r="AD606" s="70"/>
      <c r="AE606" s="70"/>
      <c r="AF606" s="70"/>
      <c r="AG606" s="70"/>
      <c r="AH606" s="70"/>
      <c r="AI606" s="70"/>
    </row>
    <row r="607" spans="1:35" ht="15">
      <c r="A607" s="70"/>
      <c r="B607" s="70"/>
      <c r="C607" s="70"/>
      <c r="D607" s="70"/>
      <c r="E607" s="77"/>
      <c r="F607" s="84"/>
      <c r="G607" s="77"/>
      <c r="H607" s="84"/>
      <c r="I607" s="70"/>
      <c r="J607" s="70"/>
      <c r="K607" s="70"/>
      <c r="L607" s="70"/>
      <c r="M607" s="70"/>
      <c r="N607" s="70"/>
      <c r="O607" s="70"/>
      <c r="P607" s="70"/>
      <c r="Q607" s="70"/>
      <c r="R607" s="70"/>
      <c r="S607" s="85"/>
      <c r="T607" s="70"/>
      <c r="U607" s="70"/>
      <c r="V607" s="70"/>
      <c r="W607" s="70"/>
      <c r="X607" s="70"/>
      <c r="Y607" s="70"/>
      <c r="Z607" s="70"/>
      <c r="AA607" s="70"/>
      <c r="AB607" s="70"/>
      <c r="AC607" s="70"/>
      <c r="AD607" s="70"/>
      <c r="AE607" s="70"/>
      <c r="AF607" s="70"/>
      <c r="AG607" s="70"/>
      <c r="AH607" s="70"/>
      <c r="AI607" s="70"/>
    </row>
    <row r="608" spans="1:35" ht="15">
      <c r="A608" s="70"/>
      <c r="B608" s="70"/>
      <c r="C608" s="70"/>
      <c r="D608" s="70"/>
      <c r="E608" s="77"/>
      <c r="F608" s="84"/>
      <c r="G608" s="77"/>
      <c r="H608" s="84"/>
      <c r="I608" s="70"/>
      <c r="J608" s="70"/>
      <c r="K608" s="70"/>
      <c r="L608" s="70"/>
      <c r="M608" s="70"/>
      <c r="N608" s="70"/>
      <c r="O608" s="70"/>
      <c r="P608" s="70"/>
      <c r="Q608" s="70"/>
      <c r="R608" s="70"/>
      <c r="S608" s="85"/>
      <c r="T608" s="70"/>
      <c r="U608" s="70"/>
      <c r="V608" s="70"/>
      <c r="W608" s="70"/>
      <c r="X608" s="70"/>
      <c r="Y608" s="70"/>
      <c r="Z608" s="70"/>
      <c r="AA608" s="70"/>
      <c r="AB608" s="70"/>
      <c r="AC608" s="70"/>
      <c r="AD608" s="70"/>
      <c r="AE608" s="70"/>
      <c r="AF608" s="70"/>
      <c r="AG608" s="70"/>
      <c r="AH608" s="70"/>
      <c r="AI608" s="70"/>
    </row>
    <row r="609" spans="1:35" ht="15">
      <c r="A609" s="70"/>
      <c r="B609" s="70"/>
      <c r="C609" s="70"/>
      <c r="D609" s="70"/>
      <c r="E609" s="77"/>
      <c r="F609" s="84"/>
      <c r="G609" s="77"/>
      <c r="H609" s="84"/>
      <c r="I609" s="70"/>
      <c r="J609" s="70"/>
      <c r="K609" s="70"/>
      <c r="L609" s="70"/>
      <c r="M609" s="70"/>
      <c r="N609" s="70"/>
      <c r="O609" s="70"/>
      <c r="P609" s="70"/>
      <c r="Q609" s="70"/>
      <c r="R609" s="70"/>
      <c r="S609" s="85"/>
      <c r="T609" s="70"/>
      <c r="U609" s="70"/>
      <c r="V609" s="70"/>
      <c r="W609" s="70"/>
      <c r="X609" s="70"/>
      <c r="Y609" s="70"/>
      <c r="Z609" s="70"/>
      <c r="AA609" s="70"/>
      <c r="AB609" s="70"/>
      <c r="AC609" s="70"/>
      <c r="AD609" s="70"/>
      <c r="AE609" s="70"/>
      <c r="AF609" s="70"/>
      <c r="AG609" s="70"/>
      <c r="AH609" s="70"/>
      <c r="AI609" s="70"/>
    </row>
    <row r="610" spans="1:35" ht="15">
      <c r="A610" s="70"/>
      <c r="B610" s="70"/>
      <c r="C610" s="70"/>
      <c r="D610" s="70"/>
      <c r="E610" s="77"/>
      <c r="F610" s="84"/>
      <c r="G610" s="77"/>
      <c r="H610" s="84"/>
      <c r="I610" s="70"/>
      <c r="J610" s="70"/>
      <c r="K610" s="70"/>
      <c r="L610" s="70"/>
      <c r="M610" s="70"/>
      <c r="N610" s="70"/>
      <c r="O610" s="70"/>
      <c r="P610" s="70"/>
      <c r="Q610" s="70"/>
      <c r="R610" s="70"/>
      <c r="S610" s="85"/>
      <c r="T610" s="70"/>
      <c r="U610" s="70"/>
      <c r="V610" s="70"/>
      <c r="W610" s="70"/>
      <c r="X610" s="70"/>
      <c r="Y610" s="70"/>
      <c r="Z610" s="70"/>
      <c r="AA610" s="70"/>
      <c r="AB610" s="70"/>
      <c r="AC610" s="70"/>
      <c r="AD610" s="70"/>
      <c r="AE610" s="70"/>
      <c r="AF610" s="70"/>
      <c r="AG610" s="70"/>
      <c r="AH610" s="70"/>
      <c r="AI610" s="70"/>
    </row>
    <row r="611" spans="1:35" ht="15">
      <c r="A611" s="70"/>
      <c r="B611" s="70"/>
      <c r="C611" s="70"/>
      <c r="D611" s="70"/>
      <c r="E611" s="77"/>
      <c r="F611" s="84"/>
      <c r="G611" s="77"/>
      <c r="H611" s="84"/>
      <c r="I611" s="70"/>
      <c r="J611" s="70"/>
      <c r="K611" s="70"/>
      <c r="L611" s="70"/>
      <c r="M611" s="70"/>
      <c r="N611" s="70"/>
      <c r="O611" s="70"/>
      <c r="P611" s="70"/>
      <c r="Q611" s="70"/>
      <c r="R611" s="70"/>
      <c r="S611" s="85"/>
      <c r="T611" s="70"/>
      <c r="U611" s="70"/>
      <c r="V611" s="70"/>
      <c r="W611" s="70"/>
      <c r="X611" s="70"/>
      <c r="Y611" s="70"/>
      <c r="Z611" s="70"/>
      <c r="AA611" s="70"/>
      <c r="AB611" s="70"/>
      <c r="AC611" s="70"/>
      <c r="AD611" s="70"/>
      <c r="AE611" s="70"/>
      <c r="AF611" s="70"/>
      <c r="AG611" s="70"/>
      <c r="AH611" s="70"/>
      <c r="AI611" s="70"/>
    </row>
    <row r="612" spans="1:35" ht="15">
      <c r="A612" s="70"/>
      <c r="B612" s="70"/>
      <c r="C612" s="70"/>
      <c r="D612" s="70"/>
      <c r="E612" s="77"/>
      <c r="F612" s="84"/>
      <c r="G612" s="77"/>
      <c r="H612" s="84"/>
      <c r="I612" s="70"/>
      <c r="J612" s="70"/>
      <c r="K612" s="70"/>
      <c r="L612" s="70"/>
      <c r="M612" s="70"/>
      <c r="N612" s="70"/>
      <c r="O612" s="70"/>
      <c r="P612" s="70"/>
      <c r="Q612" s="70"/>
      <c r="R612" s="70"/>
      <c r="S612" s="85"/>
      <c r="T612" s="70"/>
      <c r="U612" s="70"/>
      <c r="V612" s="70"/>
      <c r="W612" s="70"/>
      <c r="X612" s="70"/>
      <c r="Y612" s="70"/>
      <c r="Z612" s="70"/>
      <c r="AA612" s="70"/>
      <c r="AB612" s="70"/>
      <c r="AC612" s="70"/>
      <c r="AD612" s="70"/>
      <c r="AE612" s="70"/>
      <c r="AF612" s="70"/>
      <c r="AG612" s="70"/>
      <c r="AH612" s="70"/>
      <c r="AI612" s="70"/>
    </row>
    <row r="613" spans="1:35" ht="15">
      <c r="A613" s="70"/>
      <c r="B613" s="70"/>
      <c r="C613" s="70"/>
      <c r="D613" s="70"/>
      <c r="E613" s="77"/>
      <c r="F613" s="84"/>
      <c r="G613" s="77"/>
      <c r="H613" s="84"/>
      <c r="I613" s="70"/>
      <c r="J613" s="70"/>
      <c r="K613" s="70"/>
      <c r="L613" s="70"/>
      <c r="M613" s="70"/>
      <c r="N613" s="70"/>
      <c r="O613" s="70"/>
      <c r="P613" s="70"/>
      <c r="Q613" s="70"/>
      <c r="R613" s="70"/>
      <c r="S613" s="85"/>
      <c r="T613" s="70"/>
      <c r="U613" s="70"/>
      <c r="V613" s="70"/>
      <c r="W613" s="70"/>
      <c r="X613" s="70"/>
      <c r="Y613" s="70"/>
      <c r="Z613" s="70"/>
      <c r="AA613" s="70"/>
      <c r="AB613" s="70"/>
      <c r="AC613" s="70"/>
      <c r="AD613" s="70"/>
      <c r="AE613" s="70"/>
      <c r="AF613" s="70"/>
      <c r="AG613" s="70"/>
      <c r="AH613" s="70"/>
      <c r="AI613" s="70"/>
    </row>
    <row r="614" spans="1:35" ht="15">
      <c r="A614" s="70"/>
      <c r="B614" s="70"/>
      <c r="C614" s="70"/>
      <c r="D614" s="70"/>
      <c r="E614" s="77"/>
      <c r="F614" s="84"/>
      <c r="G614" s="77"/>
      <c r="H614" s="84"/>
      <c r="I614" s="70"/>
      <c r="J614" s="70"/>
      <c r="K614" s="70"/>
      <c r="L614" s="70"/>
      <c r="M614" s="70"/>
      <c r="N614" s="70"/>
      <c r="O614" s="70"/>
      <c r="P614" s="70"/>
      <c r="Q614" s="70"/>
      <c r="R614" s="70"/>
      <c r="S614" s="85"/>
      <c r="T614" s="70"/>
      <c r="U614" s="70"/>
      <c r="V614" s="70"/>
      <c r="W614" s="70"/>
      <c r="X614" s="70"/>
      <c r="Y614" s="70"/>
      <c r="Z614" s="70"/>
      <c r="AA614" s="70"/>
      <c r="AB614" s="70"/>
      <c r="AC614" s="70"/>
      <c r="AD614" s="70"/>
      <c r="AE614" s="70"/>
      <c r="AF614" s="70"/>
      <c r="AG614" s="70"/>
      <c r="AH614" s="70"/>
      <c r="AI614" s="70"/>
    </row>
    <row r="615" spans="1:35" ht="15">
      <c r="A615" s="70"/>
      <c r="B615" s="70"/>
      <c r="C615" s="70"/>
      <c r="D615" s="70"/>
      <c r="E615" s="77"/>
      <c r="F615" s="84"/>
      <c r="G615" s="77"/>
      <c r="H615" s="84"/>
      <c r="I615" s="70"/>
      <c r="J615" s="70"/>
      <c r="K615" s="70"/>
      <c r="L615" s="70"/>
      <c r="M615" s="70"/>
      <c r="N615" s="70"/>
      <c r="O615" s="70"/>
      <c r="P615" s="70"/>
      <c r="Q615" s="70"/>
      <c r="R615" s="70"/>
      <c r="S615" s="85"/>
      <c r="T615" s="70"/>
      <c r="U615" s="70"/>
      <c r="V615" s="70"/>
      <c r="W615" s="70"/>
      <c r="X615" s="70"/>
      <c r="Y615" s="70"/>
      <c r="Z615" s="70"/>
      <c r="AA615" s="70"/>
      <c r="AB615" s="70"/>
      <c r="AC615" s="70"/>
      <c r="AD615" s="70"/>
      <c r="AE615" s="70"/>
      <c r="AF615" s="70"/>
      <c r="AG615" s="70"/>
      <c r="AH615" s="70"/>
      <c r="AI615" s="70"/>
    </row>
    <row r="616" spans="1:35" ht="15">
      <c r="A616" s="70"/>
      <c r="B616" s="70"/>
      <c r="C616" s="70"/>
      <c r="D616" s="70"/>
      <c r="E616" s="77"/>
      <c r="F616" s="84"/>
      <c r="G616" s="77"/>
      <c r="H616" s="84"/>
      <c r="I616" s="70"/>
      <c r="J616" s="70"/>
      <c r="K616" s="70"/>
      <c r="L616" s="70"/>
      <c r="M616" s="70"/>
      <c r="N616" s="70"/>
      <c r="O616" s="70"/>
      <c r="P616" s="70"/>
      <c r="Q616" s="70"/>
      <c r="R616" s="70"/>
      <c r="S616" s="85"/>
      <c r="T616" s="70"/>
      <c r="U616" s="70"/>
      <c r="V616" s="70"/>
      <c r="W616" s="70"/>
      <c r="X616" s="70"/>
      <c r="Y616" s="70"/>
      <c r="Z616" s="70"/>
      <c r="AA616" s="70"/>
      <c r="AB616" s="70"/>
      <c r="AC616" s="70"/>
      <c r="AD616" s="70"/>
      <c r="AE616" s="70"/>
      <c r="AF616" s="70"/>
      <c r="AG616" s="70"/>
      <c r="AH616" s="70"/>
      <c r="AI616" s="70"/>
    </row>
    <row r="617" spans="1:35" ht="15">
      <c r="A617" s="70"/>
      <c r="B617" s="70"/>
      <c r="C617" s="70"/>
      <c r="D617" s="70"/>
      <c r="E617" s="77"/>
      <c r="F617" s="84"/>
      <c r="G617" s="77"/>
      <c r="H617" s="84"/>
      <c r="I617" s="70"/>
      <c r="J617" s="70"/>
      <c r="K617" s="70"/>
      <c r="L617" s="70"/>
      <c r="M617" s="70"/>
      <c r="N617" s="70"/>
      <c r="O617" s="70"/>
      <c r="P617" s="70"/>
      <c r="Q617" s="70"/>
      <c r="R617" s="70"/>
      <c r="S617" s="85"/>
      <c r="T617" s="70"/>
      <c r="U617" s="70"/>
      <c r="V617" s="70"/>
      <c r="W617" s="70"/>
      <c r="X617" s="70"/>
      <c r="Y617" s="70"/>
      <c r="Z617" s="70"/>
      <c r="AA617" s="70"/>
      <c r="AB617" s="70"/>
      <c r="AC617" s="70"/>
      <c r="AD617" s="70"/>
      <c r="AE617" s="70"/>
      <c r="AF617" s="70"/>
      <c r="AG617" s="70"/>
      <c r="AH617" s="70"/>
      <c r="AI617" s="70"/>
    </row>
    <row r="618" spans="1:35" ht="15">
      <c r="A618" s="70"/>
      <c r="B618" s="70"/>
      <c r="C618" s="70"/>
      <c r="D618" s="70"/>
      <c r="E618" s="77"/>
      <c r="F618" s="84"/>
      <c r="G618" s="77"/>
      <c r="H618" s="84"/>
      <c r="I618" s="70"/>
      <c r="J618" s="70"/>
      <c r="K618" s="70"/>
      <c r="L618" s="70"/>
      <c r="M618" s="70"/>
      <c r="N618" s="70"/>
      <c r="O618" s="70"/>
      <c r="P618" s="70"/>
      <c r="Q618" s="70"/>
      <c r="R618" s="70"/>
      <c r="S618" s="85"/>
      <c r="T618" s="70"/>
      <c r="U618" s="70"/>
      <c r="V618" s="70"/>
      <c r="W618" s="70"/>
      <c r="X618" s="70"/>
      <c r="Y618" s="70"/>
      <c r="Z618" s="70"/>
      <c r="AA618" s="70"/>
      <c r="AB618" s="70"/>
      <c r="AC618" s="70"/>
      <c r="AD618" s="70"/>
      <c r="AE618" s="70"/>
      <c r="AF618" s="70"/>
      <c r="AG618" s="70"/>
      <c r="AH618" s="70"/>
      <c r="AI618" s="70"/>
    </row>
    <row r="619" spans="1:35" ht="15">
      <c r="A619" s="70"/>
      <c r="B619" s="70"/>
      <c r="C619" s="70"/>
      <c r="D619" s="70"/>
      <c r="E619" s="77"/>
      <c r="F619" s="84"/>
      <c r="G619" s="77"/>
      <c r="H619" s="84"/>
      <c r="I619" s="70"/>
      <c r="J619" s="70"/>
      <c r="K619" s="70"/>
      <c r="L619" s="70"/>
      <c r="M619" s="70"/>
      <c r="N619" s="70"/>
      <c r="O619" s="70"/>
      <c r="P619" s="70"/>
      <c r="Q619" s="70"/>
      <c r="R619" s="70"/>
      <c r="S619" s="85"/>
      <c r="T619" s="70"/>
      <c r="U619" s="70"/>
      <c r="V619" s="70"/>
      <c r="W619" s="70"/>
      <c r="X619" s="70"/>
      <c r="Y619" s="70"/>
      <c r="Z619" s="70"/>
      <c r="AA619" s="70"/>
      <c r="AB619" s="70"/>
      <c r="AC619" s="70"/>
      <c r="AD619" s="70"/>
      <c r="AE619" s="70"/>
      <c r="AF619" s="70"/>
      <c r="AG619" s="70"/>
      <c r="AH619" s="70"/>
      <c r="AI619" s="70"/>
    </row>
    <row r="620" spans="1:35" ht="15">
      <c r="A620" s="70"/>
      <c r="B620" s="70"/>
      <c r="C620" s="70"/>
      <c r="D620" s="70"/>
      <c r="E620" s="77"/>
      <c r="F620" s="84"/>
      <c r="G620" s="77"/>
      <c r="H620" s="84"/>
      <c r="I620" s="70"/>
      <c r="J620" s="70"/>
      <c r="K620" s="70"/>
      <c r="L620" s="70"/>
      <c r="M620" s="70"/>
      <c r="N620" s="70"/>
      <c r="O620" s="70"/>
      <c r="P620" s="70"/>
      <c r="Q620" s="70"/>
      <c r="R620" s="70"/>
      <c r="S620" s="85"/>
      <c r="T620" s="70"/>
      <c r="U620" s="70"/>
      <c r="V620" s="70"/>
      <c r="W620" s="70"/>
      <c r="X620" s="70"/>
      <c r="Y620" s="70"/>
      <c r="Z620" s="70"/>
      <c r="AA620" s="70"/>
      <c r="AB620" s="70"/>
      <c r="AC620" s="70"/>
      <c r="AD620" s="70"/>
      <c r="AE620" s="70"/>
      <c r="AF620" s="70"/>
      <c r="AG620" s="70"/>
      <c r="AH620" s="70"/>
      <c r="AI620" s="70"/>
    </row>
    <row r="621" spans="1:35" ht="15">
      <c r="A621" s="70"/>
      <c r="B621" s="70"/>
      <c r="C621" s="70"/>
      <c r="D621" s="70"/>
      <c r="E621" s="77"/>
      <c r="F621" s="84"/>
      <c r="G621" s="77"/>
      <c r="H621" s="84"/>
      <c r="I621" s="70"/>
      <c r="J621" s="70"/>
      <c r="K621" s="70"/>
      <c r="L621" s="70"/>
      <c r="M621" s="70"/>
      <c r="N621" s="70"/>
      <c r="O621" s="70"/>
      <c r="P621" s="70"/>
      <c r="Q621" s="70"/>
      <c r="R621" s="70"/>
      <c r="S621" s="85"/>
      <c r="T621" s="70"/>
      <c r="U621" s="70"/>
      <c r="V621" s="70"/>
      <c r="W621" s="70"/>
      <c r="X621" s="70"/>
      <c r="Y621" s="70"/>
      <c r="Z621" s="70"/>
      <c r="AA621" s="70"/>
      <c r="AB621" s="70"/>
      <c r="AC621" s="70"/>
      <c r="AD621" s="70"/>
      <c r="AE621" s="70"/>
      <c r="AF621" s="70"/>
      <c r="AG621" s="70"/>
      <c r="AH621" s="70"/>
      <c r="AI621" s="70"/>
    </row>
    <row r="622" spans="1:35" ht="15">
      <c r="A622" s="70"/>
      <c r="B622" s="70"/>
      <c r="C622" s="70"/>
      <c r="D622" s="77"/>
      <c r="E622" s="77"/>
      <c r="F622" s="84"/>
      <c r="G622" s="77"/>
      <c r="H622" s="84"/>
      <c r="I622" s="70"/>
      <c r="J622" s="70"/>
      <c r="K622" s="70"/>
      <c r="L622" s="70"/>
      <c r="M622" s="70"/>
      <c r="N622" s="70"/>
      <c r="O622" s="70"/>
      <c r="P622" s="70"/>
      <c r="Q622" s="70"/>
      <c r="R622" s="70"/>
      <c r="S622" s="85"/>
      <c r="T622" s="70"/>
      <c r="U622" s="70"/>
      <c r="V622" s="70"/>
      <c r="W622" s="70"/>
      <c r="X622" s="70"/>
      <c r="Y622" s="70"/>
      <c r="Z622" s="70"/>
      <c r="AA622" s="70"/>
      <c r="AB622" s="70"/>
      <c r="AC622" s="70"/>
      <c r="AD622" s="70"/>
      <c r="AE622" s="70"/>
      <c r="AF622" s="70"/>
      <c r="AG622" s="70"/>
      <c r="AH622" s="70"/>
      <c r="AI622" s="70"/>
    </row>
    <row r="623" spans="1:35" ht="15">
      <c r="A623" s="70"/>
      <c r="B623" s="70"/>
      <c r="C623" s="70"/>
      <c r="D623" s="77"/>
      <c r="E623" s="77"/>
      <c r="F623" s="84"/>
      <c r="G623" s="77"/>
      <c r="H623" s="84"/>
      <c r="I623" s="70"/>
      <c r="J623" s="70"/>
      <c r="K623" s="70"/>
      <c r="L623" s="70"/>
      <c r="M623" s="70"/>
      <c r="N623" s="70"/>
      <c r="O623" s="70"/>
      <c r="P623" s="70"/>
      <c r="Q623" s="70"/>
      <c r="R623" s="70"/>
      <c r="S623" s="85"/>
      <c r="T623" s="70"/>
      <c r="U623" s="70"/>
      <c r="V623" s="70"/>
      <c r="W623" s="70"/>
      <c r="X623" s="70"/>
      <c r="Y623" s="70"/>
      <c r="Z623" s="70"/>
      <c r="AA623" s="70"/>
      <c r="AB623" s="70"/>
      <c r="AC623" s="70"/>
      <c r="AD623" s="70"/>
      <c r="AE623" s="70"/>
      <c r="AF623" s="70"/>
      <c r="AG623" s="70"/>
      <c r="AH623" s="70"/>
      <c r="AI623" s="70"/>
    </row>
    <row r="624" spans="1:35" ht="15">
      <c r="A624" s="70"/>
      <c r="B624" s="70"/>
      <c r="C624" s="70"/>
      <c r="D624" s="77"/>
      <c r="E624" s="77"/>
      <c r="F624" s="84"/>
      <c r="G624" s="77"/>
      <c r="H624" s="84"/>
      <c r="I624" s="70"/>
      <c r="J624" s="70"/>
      <c r="K624" s="70"/>
      <c r="L624" s="70"/>
      <c r="M624" s="70"/>
      <c r="N624" s="70"/>
      <c r="O624" s="70"/>
      <c r="P624" s="70"/>
      <c r="Q624" s="70"/>
      <c r="R624" s="70"/>
      <c r="S624" s="85"/>
      <c r="T624" s="70"/>
      <c r="U624" s="70"/>
      <c r="V624" s="70"/>
      <c r="W624" s="70"/>
      <c r="X624" s="70"/>
      <c r="Y624" s="70"/>
      <c r="Z624" s="70"/>
      <c r="AA624" s="70"/>
      <c r="AB624" s="70"/>
      <c r="AC624" s="70"/>
      <c r="AD624" s="70"/>
      <c r="AE624" s="70"/>
      <c r="AF624" s="70"/>
      <c r="AG624" s="70"/>
      <c r="AH624" s="70"/>
      <c r="AI624" s="70"/>
    </row>
    <row r="625" spans="1:35" ht="15">
      <c r="A625" s="70"/>
      <c r="B625" s="70"/>
      <c r="C625" s="70"/>
      <c r="D625" s="77"/>
      <c r="E625" s="77"/>
      <c r="F625" s="84"/>
      <c r="G625" s="77"/>
      <c r="H625" s="84"/>
      <c r="I625" s="70"/>
      <c r="J625" s="70"/>
      <c r="K625" s="70"/>
      <c r="L625" s="70"/>
      <c r="M625" s="70"/>
      <c r="N625" s="70"/>
      <c r="O625" s="70"/>
      <c r="P625" s="70"/>
      <c r="Q625" s="70"/>
      <c r="R625" s="70"/>
      <c r="S625" s="85"/>
      <c r="T625" s="70"/>
      <c r="U625" s="70"/>
      <c r="V625" s="70"/>
      <c r="W625" s="70"/>
      <c r="X625" s="70"/>
      <c r="Y625" s="70"/>
      <c r="Z625" s="70"/>
      <c r="AA625" s="70"/>
      <c r="AB625" s="70"/>
      <c r="AC625" s="70"/>
      <c r="AD625" s="70"/>
      <c r="AE625" s="70"/>
      <c r="AF625" s="70"/>
      <c r="AG625" s="70"/>
      <c r="AH625" s="70"/>
      <c r="AI625" s="70"/>
    </row>
    <row r="626" spans="1:35" ht="15">
      <c r="A626" s="70"/>
      <c r="B626" s="70"/>
      <c r="C626" s="70"/>
      <c r="D626" s="77"/>
      <c r="E626" s="77"/>
      <c r="F626" s="84"/>
      <c r="G626" s="77"/>
      <c r="H626" s="84"/>
      <c r="I626" s="70"/>
      <c r="J626" s="70"/>
      <c r="K626" s="70"/>
      <c r="L626" s="70"/>
      <c r="M626" s="70"/>
      <c r="N626" s="70"/>
      <c r="O626" s="70"/>
      <c r="P626" s="70"/>
      <c r="Q626" s="70"/>
      <c r="R626" s="70"/>
      <c r="S626" s="85"/>
      <c r="T626" s="70"/>
      <c r="U626" s="70"/>
      <c r="V626" s="70"/>
      <c r="W626" s="70"/>
      <c r="X626" s="70"/>
      <c r="Y626" s="70"/>
      <c r="Z626" s="70"/>
      <c r="AA626" s="70"/>
      <c r="AB626" s="70"/>
      <c r="AC626" s="70"/>
      <c r="AD626" s="70"/>
      <c r="AE626" s="70"/>
      <c r="AF626" s="70"/>
      <c r="AG626" s="70"/>
      <c r="AH626" s="70"/>
      <c r="AI626" s="70"/>
    </row>
    <row r="627" spans="1:35" ht="15">
      <c r="A627" s="70"/>
      <c r="B627" s="70"/>
      <c r="C627" s="70"/>
      <c r="D627" s="77"/>
      <c r="E627" s="77"/>
      <c r="F627" s="84"/>
      <c r="G627" s="77"/>
      <c r="H627" s="84"/>
      <c r="I627" s="70"/>
      <c r="J627" s="70"/>
      <c r="K627" s="70"/>
      <c r="L627" s="70"/>
      <c r="M627" s="70"/>
      <c r="N627" s="70"/>
      <c r="O627" s="70"/>
      <c r="P627" s="70"/>
      <c r="Q627" s="70"/>
      <c r="R627" s="70"/>
      <c r="S627" s="85"/>
      <c r="T627" s="70"/>
      <c r="U627" s="70"/>
      <c r="V627" s="70"/>
      <c r="W627" s="70"/>
      <c r="X627" s="70"/>
      <c r="Y627" s="70"/>
      <c r="Z627" s="70"/>
      <c r="AA627" s="70"/>
      <c r="AB627" s="70"/>
      <c r="AC627" s="70"/>
      <c r="AD627" s="70"/>
      <c r="AE627" s="70"/>
      <c r="AF627" s="70"/>
      <c r="AG627" s="70"/>
      <c r="AH627" s="70"/>
      <c r="AI627" s="70"/>
    </row>
    <row r="628" spans="1:35" ht="15">
      <c r="A628" s="70"/>
      <c r="B628" s="70"/>
      <c r="C628" s="70"/>
      <c r="D628" s="77"/>
      <c r="E628" s="77"/>
      <c r="F628" s="84"/>
      <c r="G628" s="77"/>
      <c r="H628" s="84"/>
      <c r="I628" s="70"/>
      <c r="J628" s="70"/>
      <c r="K628" s="70"/>
      <c r="L628" s="70"/>
      <c r="M628" s="70"/>
      <c r="N628" s="70"/>
      <c r="O628" s="70"/>
      <c r="P628" s="70"/>
      <c r="Q628" s="70"/>
      <c r="R628" s="70"/>
      <c r="S628" s="85"/>
      <c r="T628" s="70"/>
      <c r="U628" s="70"/>
      <c r="V628" s="70"/>
      <c r="W628" s="70"/>
      <c r="X628" s="70"/>
      <c r="Y628" s="70"/>
      <c r="Z628" s="70"/>
      <c r="AA628" s="70"/>
      <c r="AB628" s="70"/>
      <c r="AC628" s="70"/>
      <c r="AD628" s="70"/>
      <c r="AE628" s="70"/>
      <c r="AF628" s="70"/>
      <c r="AG628" s="70"/>
      <c r="AH628" s="70"/>
      <c r="AI628" s="70"/>
    </row>
    <row r="629" spans="1:35" ht="15">
      <c r="A629" s="70"/>
      <c r="B629" s="70"/>
      <c r="C629" s="70"/>
      <c r="D629" s="77"/>
      <c r="E629" s="77"/>
      <c r="F629" s="84"/>
      <c r="G629" s="77"/>
      <c r="H629" s="84"/>
      <c r="I629" s="70"/>
      <c r="J629" s="70"/>
      <c r="K629" s="70"/>
      <c r="L629" s="70"/>
      <c r="M629" s="70"/>
      <c r="N629" s="70"/>
      <c r="O629" s="70"/>
      <c r="P629" s="70"/>
      <c r="Q629" s="70"/>
      <c r="R629" s="70"/>
      <c r="S629" s="85"/>
      <c r="T629" s="70"/>
      <c r="U629" s="70"/>
      <c r="V629" s="70"/>
      <c r="W629" s="70"/>
      <c r="X629" s="70"/>
      <c r="Y629" s="70"/>
      <c r="Z629" s="70"/>
      <c r="AA629" s="70"/>
      <c r="AB629" s="70"/>
      <c r="AC629" s="70"/>
      <c r="AD629" s="70"/>
      <c r="AE629" s="70"/>
      <c r="AF629" s="70"/>
      <c r="AG629" s="70"/>
      <c r="AH629" s="70"/>
      <c r="AI629" s="70"/>
    </row>
    <row r="630" spans="1:35" ht="15">
      <c r="A630" s="70"/>
      <c r="B630" s="70"/>
      <c r="C630" s="70"/>
      <c r="D630" s="77"/>
      <c r="E630" s="77"/>
      <c r="F630" s="84"/>
      <c r="G630" s="77"/>
      <c r="H630" s="84"/>
      <c r="I630" s="70"/>
      <c r="J630" s="70"/>
      <c r="K630" s="70"/>
      <c r="L630" s="70"/>
      <c r="M630" s="70"/>
      <c r="N630" s="70"/>
      <c r="O630" s="70"/>
      <c r="P630" s="70"/>
      <c r="Q630" s="70"/>
      <c r="R630" s="70"/>
      <c r="S630" s="85"/>
      <c r="T630" s="70"/>
      <c r="U630" s="70"/>
      <c r="V630" s="70"/>
      <c r="W630" s="70"/>
      <c r="X630" s="70"/>
      <c r="Y630" s="70"/>
      <c r="Z630" s="70"/>
      <c r="AA630" s="70"/>
      <c r="AB630" s="70"/>
      <c r="AC630" s="70"/>
      <c r="AD630" s="70"/>
      <c r="AE630" s="70"/>
      <c r="AF630" s="70"/>
      <c r="AG630" s="70"/>
      <c r="AH630" s="70"/>
      <c r="AI630" s="70"/>
    </row>
    <row r="631" spans="1:35" ht="15">
      <c r="A631" s="70"/>
      <c r="B631" s="70"/>
      <c r="C631" s="70"/>
      <c r="D631" s="77"/>
      <c r="E631" s="77"/>
      <c r="F631" s="84"/>
      <c r="G631" s="77"/>
      <c r="H631" s="84"/>
      <c r="I631" s="70"/>
      <c r="J631" s="70"/>
      <c r="K631" s="70"/>
      <c r="L631" s="70"/>
      <c r="M631" s="70"/>
      <c r="N631" s="70"/>
      <c r="O631" s="70"/>
      <c r="P631" s="70"/>
      <c r="Q631" s="70"/>
      <c r="R631" s="70"/>
      <c r="S631" s="85"/>
      <c r="T631" s="70"/>
      <c r="U631" s="70"/>
      <c r="V631" s="70"/>
      <c r="W631" s="70"/>
      <c r="X631" s="70"/>
      <c r="Y631" s="70"/>
      <c r="Z631" s="70"/>
      <c r="AA631" s="70"/>
      <c r="AB631" s="70"/>
      <c r="AC631" s="70"/>
      <c r="AD631" s="70"/>
      <c r="AE631" s="70"/>
      <c r="AF631" s="70"/>
      <c r="AG631" s="70"/>
      <c r="AH631" s="70"/>
      <c r="AI631" s="70"/>
    </row>
    <row r="632" spans="1:35" ht="15">
      <c r="A632" s="70"/>
      <c r="B632" s="70"/>
      <c r="C632" s="70"/>
      <c r="D632" s="77"/>
      <c r="E632" s="77"/>
      <c r="F632" s="84"/>
      <c r="G632" s="77"/>
      <c r="H632" s="84"/>
      <c r="I632" s="70"/>
      <c r="J632" s="70"/>
      <c r="K632" s="70"/>
      <c r="L632" s="70"/>
      <c r="M632" s="70"/>
      <c r="N632" s="70"/>
      <c r="O632" s="70"/>
      <c r="P632" s="70"/>
      <c r="Q632" s="70"/>
      <c r="R632" s="70"/>
      <c r="S632" s="85"/>
      <c r="T632" s="70"/>
      <c r="U632" s="70"/>
      <c r="V632" s="70"/>
      <c r="W632" s="70"/>
      <c r="X632" s="70"/>
      <c r="Y632" s="70"/>
      <c r="Z632" s="70"/>
      <c r="AA632" s="70"/>
      <c r="AB632" s="70"/>
      <c r="AC632" s="70"/>
      <c r="AD632" s="70"/>
      <c r="AE632" s="70"/>
      <c r="AF632" s="70"/>
      <c r="AG632" s="70"/>
      <c r="AH632" s="70"/>
      <c r="AI632" s="70"/>
    </row>
    <row r="633" spans="1:35" ht="15">
      <c r="A633" s="70"/>
      <c r="B633" s="70"/>
      <c r="C633" s="70"/>
      <c r="D633" s="77"/>
      <c r="E633" s="77"/>
      <c r="F633" s="84"/>
      <c r="G633" s="77"/>
      <c r="H633" s="84"/>
      <c r="I633" s="70"/>
      <c r="J633" s="70"/>
      <c r="K633" s="70"/>
      <c r="L633" s="70"/>
      <c r="M633" s="70"/>
      <c r="N633" s="70"/>
      <c r="O633" s="70"/>
      <c r="P633" s="70"/>
      <c r="Q633" s="70"/>
      <c r="R633" s="70"/>
      <c r="S633" s="85"/>
      <c r="T633" s="70"/>
      <c r="U633" s="70"/>
      <c r="V633" s="70"/>
      <c r="W633" s="70"/>
      <c r="X633" s="70"/>
      <c r="Y633" s="70"/>
      <c r="Z633" s="70"/>
      <c r="AA633" s="70"/>
      <c r="AB633" s="70"/>
      <c r="AC633" s="70"/>
      <c r="AD633" s="70"/>
      <c r="AE633" s="70"/>
      <c r="AF633" s="70"/>
      <c r="AG633" s="70"/>
      <c r="AH633" s="70"/>
      <c r="AI633" s="70"/>
    </row>
    <row r="634" spans="1:35" ht="15">
      <c r="A634" s="70"/>
      <c r="B634" s="70"/>
      <c r="C634" s="70"/>
      <c r="D634" s="77"/>
      <c r="E634" s="77"/>
      <c r="F634" s="84"/>
      <c r="G634" s="77"/>
      <c r="H634" s="84"/>
      <c r="I634" s="70"/>
      <c r="J634" s="70"/>
      <c r="K634" s="70"/>
      <c r="L634" s="70"/>
      <c r="M634" s="70"/>
      <c r="N634" s="70"/>
      <c r="O634" s="70"/>
      <c r="P634" s="70"/>
      <c r="Q634" s="70"/>
      <c r="R634" s="70"/>
      <c r="S634" s="85"/>
      <c r="T634" s="70"/>
      <c r="U634" s="70"/>
      <c r="V634" s="70"/>
      <c r="W634" s="70"/>
      <c r="X634" s="70"/>
      <c r="Y634" s="70"/>
      <c r="Z634" s="70"/>
      <c r="AA634" s="70"/>
      <c r="AB634" s="70"/>
      <c r="AC634" s="70"/>
      <c r="AD634" s="70"/>
      <c r="AE634" s="70"/>
      <c r="AF634" s="70"/>
      <c r="AG634" s="70"/>
      <c r="AH634" s="70"/>
      <c r="AI634" s="70"/>
    </row>
    <row r="635" spans="1:35" ht="15">
      <c r="A635" s="70"/>
      <c r="B635" s="70"/>
      <c r="C635" s="70"/>
      <c r="D635" s="77"/>
      <c r="E635" s="77"/>
      <c r="F635" s="84"/>
      <c r="G635" s="77"/>
      <c r="H635" s="84"/>
      <c r="I635" s="70"/>
      <c r="J635" s="70"/>
      <c r="K635" s="70"/>
      <c r="L635" s="70"/>
      <c r="M635" s="70"/>
      <c r="N635" s="70"/>
      <c r="O635" s="70"/>
      <c r="P635" s="70"/>
      <c r="Q635" s="70"/>
      <c r="R635" s="70"/>
      <c r="S635" s="85"/>
      <c r="T635" s="70"/>
      <c r="U635" s="70"/>
      <c r="V635" s="70"/>
      <c r="W635" s="70"/>
      <c r="X635" s="70"/>
      <c r="Y635" s="70"/>
      <c r="Z635" s="70"/>
      <c r="AA635" s="70"/>
      <c r="AB635" s="70"/>
      <c r="AC635" s="70"/>
      <c r="AD635" s="70"/>
      <c r="AE635" s="70"/>
      <c r="AF635" s="70"/>
      <c r="AG635" s="70"/>
      <c r="AH635" s="70"/>
      <c r="AI635" s="70"/>
    </row>
    <row r="636" spans="1:35" ht="15">
      <c r="A636" s="70"/>
      <c r="B636" s="70"/>
      <c r="C636" s="70"/>
      <c r="D636" s="77"/>
      <c r="E636" s="77"/>
      <c r="F636" s="84"/>
      <c r="G636" s="77"/>
      <c r="H636" s="84"/>
      <c r="I636" s="70"/>
      <c r="J636" s="70"/>
      <c r="K636" s="70"/>
      <c r="L636" s="70"/>
      <c r="M636" s="70"/>
      <c r="N636" s="70"/>
      <c r="O636" s="70"/>
      <c r="P636" s="70"/>
      <c r="Q636" s="70"/>
      <c r="R636" s="70"/>
      <c r="S636" s="85"/>
      <c r="T636" s="70"/>
      <c r="U636" s="70"/>
      <c r="V636" s="70"/>
      <c r="W636" s="70"/>
      <c r="X636" s="70"/>
      <c r="Y636" s="70"/>
      <c r="Z636" s="70"/>
      <c r="AA636" s="70"/>
      <c r="AB636" s="70"/>
      <c r="AC636" s="70"/>
      <c r="AD636" s="70"/>
      <c r="AE636" s="70"/>
      <c r="AF636" s="70"/>
      <c r="AG636" s="70"/>
      <c r="AH636" s="70"/>
      <c r="AI636" s="70"/>
    </row>
    <row r="637" spans="1:35" ht="15">
      <c r="A637" s="70"/>
      <c r="B637" s="70"/>
      <c r="C637" s="70"/>
      <c r="D637" s="77"/>
      <c r="E637" s="77"/>
      <c r="F637" s="84"/>
      <c r="G637" s="77"/>
      <c r="H637" s="84"/>
      <c r="I637" s="70"/>
      <c r="J637" s="70"/>
      <c r="K637" s="70"/>
      <c r="L637" s="70"/>
      <c r="M637" s="70"/>
      <c r="N637" s="70"/>
      <c r="O637" s="70"/>
      <c r="P637" s="70"/>
      <c r="Q637" s="70"/>
      <c r="R637" s="70"/>
      <c r="S637" s="85"/>
      <c r="T637" s="70"/>
      <c r="U637" s="70"/>
      <c r="V637" s="70"/>
      <c r="W637" s="70"/>
      <c r="X637" s="70"/>
      <c r="Y637" s="70"/>
      <c r="Z637" s="70"/>
      <c r="AA637" s="70"/>
      <c r="AB637" s="70"/>
      <c r="AC637" s="70"/>
      <c r="AD637" s="70"/>
      <c r="AE637" s="70"/>
      <c r="AF637" s="70"/>
      <c r="AG637" s="70"/>
      <c r="AH637" s="70"/>
      <c r="AI637" s="70"/>
    </row>
    <row r="638" spans="1:35" ht="15">
      <c r="A638" s="70"/>
      <c r="B638" s="70"/>
      <c r="C638" s="70"/>
      <c r="D638" s="77"/>
      <c r="E638" s="77"/>
      <c r="F638" s="84"/>
      <c r="G638" s="77"/>
      <c r="H638" s="84"/>
      <c r="I638" s="70"/>
      <c r="J638" s="70"/>
      <c r="K638" s="70"/>
      <c r="L638" s="70"/>
      <c r="M638" s="70"/>
      <c r="N638" s="70"/>
      <c r="O638" s="70"/>
      <c r="P638" s="70"/>
      <c r="Q638" s="70"/>
      <c r="R638" s="70"/>
      <c r="S638" s="85"/>
      <c r="T638" s="70"/>
      <c r="U638" s="70"/>
      <c r="V638" s="70"/>
      <c r="W638" s="70"/>
      <c r="X638" s="70"/>
      <c r="Y638" s="70"/>
      <c r="Z638" s="70"/>
      <c r="AA638" s="70"/>
      <c r="AB638" s="70"/>
      <c r="AC638" s="70"/>
      <c r="AD638" s="70"/>
      <c r="AE638" s="70"/>
      <c r="AF638" s="70"/>
      <c r="AG638" s="70"/>
      <c r="AH638" s="70"/>
      <c r="AI638" s="70"/>
    </row>
    <row r="639" spans="1:35" ht="15">
      <c r="A639" s="70"/>
      <c r="B639" s="70"/>
      <c r="C639" s="70"/>
      <c r="D639" s="77"/>
      <c r="E639" s="77"/>
      <c r="F639" s="84"/>
      <c r="G639" s="77"/>
      <c r="H639" s="84"/>
      <c r="I639" s="70"/>
      <c r="J639" s="70"/>
      <c r="K639" s="70"/>
      <c r="L639" s="70"/>
      <c r="M639" s="70"/>
      <c r="N639" s="70"/>
      <c r="O639" s="70"/>
      <c r="P639" s="70"/>
      <c r="Q639" s="70"/>
      <c r="R639" s="70"/>
      <c r="S639" s="85"/>
      <c r="T639" s="70"/>
      <c r="U639" s="70"/>
      <c r="V639" s="70"/>
      <c r="W639" s="70"/>
      <c r="X639" s="70"/>
      <c r="Y639" s="70"/>
      <c r="Z639" s="70"/>
      <c r="AA639" s="70"/>
      <c r="AB639" s="70"/>
      <c r="AC639" s="70"/>
      <c r="AD639" s="70"/>
      <c r="AE639" s="70"/>
      <c r="AF639" s="70"/>
      <c r="AG639" s="70"/>
      <c r="AH639" s="70"/>
      <c r="AI639" s="70"/>
    </row>
    <row r="640" spans="1:35" ht="15">
      <c r="A640" s="70"/>
      <c r="B640" s="70"/>
      <c r="C640" s="70"/>
      <c r="D640" s="77"/>
      <c r="E640" s="77"/>
      <c r="F640" s="84"/>
      <c r="G640" s="77"/>
      <c r="H640" s="84"/>
      <c r="I640" s="70"/>
      <c r="J640" s="70"/>
      <c r="K640" s="70"/>
      <c r="L640" s="70"/>
      <c r="M640" s="70"/>
      <c r="N640" s="70"/>
      <c r="O640" s="70"/>
      <c r="P640" s="70"/>
      <c r="Q640" s="70"/>
      <c r="R640" s="70"/>
      <c r="S640" s="85"/>
      <c r="T640" s="70"/>
      <c r="U640" s="70"/>
      <c r="V640" s="70"/>
      <c r="W640" s="70"/>
      <c r="X640" s="70"/>
      <c r="Y640" s="70"/>
      <c r="Z640" s="70"/>
      <c r="AA640" s="70"/>
      <c r="AB640" s="70"/>
      <c r="AC640" s="70"/>
      <c r="AD640" s="70"/>
      <c r="AE640" s="70"/>
      <c r="AF640" s="70"/>
      <c r="AG640" s="70"/>
      <c r="AH640" s="70"/>
      <c r="AI640" s="70"/>
    </row>
    <row r="641" spans="1:35" ht="15">
      <c r="A641" s="70"/>
      <c r="B641" s="70"/>
      <c r="C641" s="70"/>
      <c r="D641" s="77"/>
      <c r="E641" s="77"/>
      <c r="F641" s="84"/>
      <c r="G641" s="77"/>
      <c r="H641" s="84"/>
      <c r="I641" s="70"/>
      <c r="J641" s="70"/>
      <c r="K641" s="70"/>
      <c r="L641" s="70"/>
      <c r="M641" s="70"/>
      <c r="N641" s="70"/>
      <c r="O641" s="70"/>
      <c r="P641" s="70"/>
      <c r="Q641" s="70"/>
      <c r="R641" s="70"/>
      <c r="S641" s="85"/>
      <c r="T641" s="70"/>
      <c r="U641" s="70"/>
      <c r="V641" s="70"/>
      <c r="W641" s="70"/>
      <c r="X641" s="70"/>
      <c r="Y641" s="70"/>
      <c r="Z641" s="70"/>
      <c r="AA641" s="70"/>
      <c r="AB641" s="70"/>
      <c r="AC641" s="70"/>
      <c r="AD641" s="70"/>
      <c r="AE641" s="70"/>
      <c r="AF641" s="70"/>
      <c r="AG641" s="70"/>
      <c r="AH641" s="70"/>
      <c r="AI641" s="70"/>
    </row>
    <row r="642" spans="1:35" ht="15">
      <c r="A642" s="70"/>
      <c r="B642" s="70"/>
      <c r="C642" s="70"/>
      <c r="D642" s="77"/>
      <c r="E642" s="77"/>
      <c r="F642" s="84"/>
      <c r="G642" s="77"/>
      <c r="H642" s="84"/>
      <c r="I642" s="70"/>
      <c r="J642" s="70"/>
      <c r="K642" s="70"/>
      <c r="L642" s="70"/>
      <c r="M642" s="70"/>
      <c r="N642" s="70"/>
      <c r="O642" s="70"/>
      <c r="P642" s="70"/>
      <c r="Q642" s="70"/>
      <c r="R642" s="70"/>
      <c r="S642" s="85"/>
      <c r="T642" s="70"/>
      <c r="U642" s="70"/>
      <c r="V642" s="70"/>
      <c r="W642" s="70"/>
      <c r="X642" s="70"/>
      <c r="Y642" s="70"/>
      <c r="Z642" s="70"/>
      <c r="AA642" s="70"/>
      <c r="AB642" s="70"/>
      <c r="AC642" s="70"/>
      <c r="AD642" s="70"/>
      <c r="AE642" s="70"/>
      <c r="AF642" s="70"/>
      <c r="AG642" s="70"/>
      <c r="AH642" s="70"/>
      <c r="AI642" s="70"/>
    </row>
    <row r="643" spans="1:35" ht="15">
      <c r="A643" s="70"/>
      <c r="B643" s="70"/>
      <c r="C643" s="70"/>
      <c r="D643" s="77"/>
      <c r="E643" s="77"/>
      <c r="F643" s="84"/>
      <c r="G643" s="77"/>
      <c r="H643" s="84"/>
      <c r="I643" s="70"/>
      <c r="J643" s="70"/>
      <c r="K643" s="70"/>
      <c r="L643" s="70"/>
      <c r="M643" s="70"/>
      <c r="N643" s="70"/>
      <c r="O643" s="70"/>
      <c r="P643" s="70"/>
      <c r="Q643" s="70"/>
      <c r="R643" s="70"/>
      <c r="S643" s="85"/>
      <c r="T643" s="70"/>
      <c r="U643" s="70"/>
      <c r="V643" s="70"/>
      <c r="W643" s="70"/>
      <c r="X643" s="70"/>
      <c r="Y643" s="70"/>
      <c r="Z643" s="70"/>
      <c r="AA643" s="70"/>
      <c r="AB643" s="70"/>
      <c r="AC643" s="70"/>
      <c r="AD643" s="70"/>
      <c r="AE643" s="70"/>
      <c r="AF643" s="70"/>
      <c r="AG643" s="70"/>
      <c r="AH643" s="70"/>
      <c r="AI643" s="70"/>
    </row>
    <row r="644" spans="1:35" ht="15">
      <c r="A644" s="70"/>
      <c r="B644" s="70"/>
      <c r="C644" s="70"/>
      <c r="D644" s="77"/>
      <c r="E644" s="77"/>
      <c r="F644" s="84"/>
      <c r="G644" s="77"/>
      <c r="H644" s="84"/>
      <c r="I644" s="70"/>
      <c r="J644" s="70"/>
      <c r="K644" s="70"/>
      <c r="L644" s="70"/>
      <c r="M644" s="70"/>
      <c r="N644" s="70"/>
      <c r="O644" s="70"/>
      <c r="P644" s="70"/>
      <c r="Q644" s="70"/>
      <c r="R644" s="70"/>
      <c r="S644" s="85"/>
      <c r="T644" s="70"/>
      <c r="U644" s="70"/>
      <c r="V644" s="70"/>
      <c r="W644" s="70"/>
      <c r="X644" s="70"/>
      <c r="Y644" s="70"/>
      <c r="Z644" s="70"/>
      <c r="AA644" s="70"/>
      <c r="AB644" s="70"/>
      <c r="AC644" s="70"/>
      <c r="AD644" s="70"/>
      <c r="AE644" s="70"/>
      <c r="AF644" s="70"/>
      <c r="AG644" s="70"/>
      <c r="AH644" s="70"/>
      <c r="AI644" s="70"/>
    </row>
    <row r="645" spans="1:35" ht="15">
      <c r="A645" s="70"/>
      <c r="B645" s="70"/>
      <c r="C645" s="70"/>
      <c r="D645" s="77"/>
      <c r="E645" s="77"/>
      <c r="F645" s="84"/>
      <c r="G645" s="77"/>
      <c r="H645" s="84"/>
      <c r="I645" s="70"/>
      <c r="J645" s="70"/>
      <c r="K645" s="70"/>
      <c r="L645" s="70"/>
      <c r="M645" s="70"/>
      <c r="N645" s="70"/>
      <c r="O645" s="70"/>
      <c r="P645" s="70"/>
      <c r="Q645" s="70"/>
      <c r="R645" s="70"/>
      <c r="S645" s="85"/>
      <c r="T645" s="70"/>
      <c r="U645" s="70"/>
      <c r="V645" s="70"/>
      <c r="W645" s="70"/>
      <c r="X645" s="70"/>
      <c r="Y645" s="70"/>
      <c r="Z645" s="70"/>
      <c r="AA645" s="70"/>
      <c r="AB645" s="70"/>
      <c r="AC645" s="70"/>
      <c r="AD645" s="70"/>
      <c r="AE645" s="70"/>
      <c r="AF645" s="70"/>
      <c r="AG645" s="70"/>
      <c r="AH645" s="70"/>
      <c r="AI645" s="70"/>
    </row>
    <row r="646" spans="1:35" ht="15">
      <c r="A646" s="70"/>
      <c r="B646" s="70"/>
      <c r="C646" s="70"/>
      <c r="D646" s="77"/>
      <c r="E646" s="77"/>
      <c r="F646" s="84"/>
      <c r="G646" s="77"/>
      <c r="H646" s="84"/>
      <c r="I646" s="70"/>
      <c r="J646" s="70"/>
      <c r="K646" s="70"/>
      <c r="L646" s="70"/>
      <c r="M646" s="70"/>
      <c r="N646" s="70"/>
      <c r="O646" s="70"/>
      <c r="P646" s="70"/>
      <c r="Q646" s="70"/>
      <c r="R646" s="70"/>
      <c r="S646" s="85"/>
      <c r="T646" s="70"/>
      <c r="U646" s="70"/>
      <c r="V646" s="70"/>
      <c r="W646" s="70"/>
      <c r="X646" s="70"/>
      <c r="Y646" s="70"/>
      <c r="Z646" s="70"/>
      <c r="AA646" s="70"/>
      <c r="AB646" s="70"/>
      <c r="AC646" s="70"/>
      <c r="AD646" s="70"/>
      <c r="AE646" s="70"/>
      <c r="AF646" s="70"/>
      <c r="AG646" s="70"/>
      <c r="AH646" s="70"/>
      <c r="AI646" s="70"/>
    </row>
    <row r="647" spans="1:35" ht="15">
      <c r="A647" s="70"/>
      <c r="B647" s="70"/>
      <c r="C647" s="70"/>
      <c r="D647" s="77"/>
      <c r="E647" s="77"/>
      <c r="F647" s="84"/>
      <c r="G647" s="77"/>
      <c r="H647" s="84"/>
      <c r="I647" s="70"/>
      <c r="J647" s="70"/>
      <c r="K647" s="70"/>
      <c r="L647" s="70"/>
      <c r="M647" s="70"/>
      <c r="N647" s="70"/>
      <c r="O647" s="70"/>
      <c r="P647" s="70"/>
      <c r="Q647" s="70"/>
      <c r="R647" s="70"/>
      <c r="S647" s="85"/>
      <c r="T647" s="70"/>
      <c r="U647" s="70"/>
      <c r="V647" s="70"/>
      <c r="W647" s="70"/>
      <c r="X647" s="70"/>
      <c r="Y647" s="70"/>
      <c r="Z647" s="70"/>
      <c r="AA647" s="70"/>
      <c r="AB647" s="70"/>
      <c r="AC647" s="70"/>
      <c r="AD647" s="70"/>
      <c r="AE647" s="70"/>
      <c r="AF647" s="70"/>
      <c r="AG647" s="70"/>
      <c r="AH647" s="70"/>
      <c r="AI647" s="70"/>
    </row>
    <row r="648" spans="1:35" ht="15">
      <c r="A648" s="70"/>
      <c r="B648" s="70"/>
      <c r="C648" s="70"/>
      <c r="D648" s="77"/>
      <c r="E648" s="77"/>
      <c r="F648" s="84"/>
      <c r="G648" s="77"/>
      <c r="H648" s="84"/>
      <c r="I648" s="70"/>
      <c r="J648" s="70"/>
      <c r="K648" s="70"/>
      <c r="L648" s="70"/>
      <c r="M648" s="70"/>
      <c r="N648" s="70"/>
      <c r="O648" s="70"/>
      <c r="P648" s="70"/>
      <c r="Q648" s="70"/>
      <c r="R648" s="70"/>
      <c r="S648" s="85"/>
      <c r="T648" s="70"/>
      <c r="U648" s="70"/>
      <c r="V648" s="70"/>
      <c r="W648" s="70"/>
      <c r="X648" s="70"/>
      <c r="Y648" s="70"/>
      <c r="Z648" s="70"/>
      <c r="AA648" s="70"/>
      <c r="AB648" s="70"/>
      <c r="AC648" s="70"/>
      <c r="AD648" s="70"/>
      <c r="AE648" s="70"/>
      <c r="AF648" s="70"/>
      <c r="AG648" s="70"/>
      <c r="AH648" s="70"/>
      <c r="AI648" s="70"/>
    </row>
    <row r="649" spans="1:35" ht="15">
      <c r="A649" s="70"/>
      <c r="B649" s="70"/>
      <c r="C649" s="70"/>
      <c r="D649" s="77"/>
      <c r="E649" s="77"/>
      <c r="F649" s="84"/>
      <c r="G649" s="77"/>
      <c r="H649" s="84"/>
      <c r="I649" s="70"/>
      <c r="J649" s="70"/>
      <c r="K649" s="70"/>
      <c r="L649" s="70"/>
      <c r="M649" s="70"/>
      <c r="N649" s="70"/>
      <c r="O649" s="70"/>
      <c r="P649" s="70"/>
      <c r="Q649" s="70"/>
      <c r="R649" s="70"/>
      <c r="S649" s="85"/>
      <c r="T649" s="70"/>
      <c r="U649" s="70"/>
      <c r="V649" s="70"/>
      <c r="W649" s="70"/>
      <c r="X649" s="70"/>
      <c r="Y649" s="70"/>
      <c r="Z649" s="70"/>
      <c r="AA649" s="70"/>
      <c r="AB649" s="70"/>
      <c r="AC649" s="70"/>
      <c r="AD649" s="70"/>
      <c r="AE649" s="70"/>
      <c r="AF649" s="70"/>
      <c r="AG649" s="70"/>
      <c r="AH649" s="70"/>
      <c r="AI649" s="70"/>
    </row>
    <row r="650" spans="1:35" ht="15">
      <c r="A650" s="70"/>
      <c r="B650" s="70"/>
      <c r="C650" s="70"/>
      <c r="D650" s="77"/>
      <c r="E650" s="77"/>
      <c r="F650" s="84"/>
      <c r="G650" s="77"/>
      <c r="H650" s="84"/>
      <c r="I650" s="70"/>
      <c r="J650" s="70"/>
      <c r="K650" s="70"/>
      <c r="L650" s="70"/>
      <c r="M650" s="70"/>
      <c r="N650" s="70"/>
      <c r="O650" s="70"/>
      <c r="P650" s="70"/>
      <c r="Q650" s="70"/>
      <c r="R650" s="70"/>
      <c r="S650" s="85"/>
      <c r="T650" s="70"/>
      <c r="U650" s="70"/>
      <c r="V650" s="70"/>
      <c r="W650" s="70"/>
      <c r="X650" s="70"/>
      <c r="Y650" s="70"/>
      <c r="Z650" s="70"/>
      <c r="AA650" s="70"/>
      <c r="AB650" s="70"/>
      <c r="AC650" s="70"/>
      <c r="AD650" s="70"/>
      <c r="AE650" s="70"/>
      <c r="AF650" s="70"/>
      <c r="AG650" s="70"/>
      <c r="AH650" s="70"/>
      <c r="AI650" s="70"/>
    </row>
    <row r="651" spans="1:35" ht="15">
      <c r="A651" s="70"/>
      <c r="B651" s="70"/>
      <c r="C651" s="70"/>
      <c r="D651" s="77"/>
      <c r="E651" s="77"/>
      <c r="F651" s="84"/>
      <c r="G651" s="77"/>
      <c r="H651" s="84"/>
      <c r="I651" s="70"/>
      <c r="J651" s="70"/>
      <c r="K651" s="70"/>
      <c r="L651" s="70"/>
      <c r="M651" s="70"/>
      <c r="N651" s="70"/>
      <c r="O651" s="70"/>
      <c r="P651" s="70"/>
      <c r="Q651" s="70"/>
      <c r="R651" s="70"/>
      <c r="S651" s="85"/>
      <c r="T651" s="70"/>
      <c r="U651" s="70"/>
      <c r="V651" s="70"/>
      <c r="W651" s="70"/>
      <c r="X651" s="70"/>
      <c r="Y651" s="70"/>
      <c r="Z651" s="70"/>
      <c r="AA651" s="70"/>
      <c r="AB651" s="70"/>
      <c r="AC651" s="70"/>
      <c r="AD651" s="70"/>
      <c r="AE651" s="70"/>
      <c r="AF651" s="70"/>
      <c r="AG651" s="70"/>
      <c r="AH651" s="70"/>
      <c r="AI651" s="70"/>
    </row>
    <row r="652" spans="1:35" ht="15">
      <c r="A652" s="70"/>
      <c r="B652" s="70"/>
      <c r="C652" s="70"/>
      <c r="D652" s="77"/>
      <c r="E652" s="77"/>
      <c r="F652" s="84"/>
      <c r="G652" s="77"/>
      <c r="H652" s="84"/>
      <c r="I652" s="70"/>
      <c r="J652" s="70"/>
      <c r="K652" s="70"/>
      <c r="L652" s="70"/>
      <c r="M652" s="70"/>
      <c r="N652" s="70"/>
      <c r="O652" s="70"/>
      <c r="P652" s="70"/>
      <c r="Q652" s="70"/>
      <c r="R652" s="70"/>
      <c r="S652" s="85"/>
      <c r="T652" s="70"/>
      <c r="U652" s="70"/>
      <c r="V652" s="70"/>
      <c r="W652" s="70"/>
      <c r="X652" s="70"/>
      <c r="Y652" s="70"/>
      <c r="Z652" s="70"/>
      <c r="AA652" s="70"/>
      <c r="AB652" s="70"/>
      <c r="AC652" s="70"/>
      <c r="AD652" s="70"/>
      <c r="AE652" s="70"/>
      <c r="AF652" s="70"/>
      <c r="AG652" s="70"/>
      <c r="AH652" s="70"/>
      <c r="AI652" s="70"/>
    </row>
    <row r="653" spans="1:35" ht="15">
      <c r="A653" s="70"/>
      <c r="B653" s="70"/>
      <c r="C653" s="70"/>
      <c r="D653" s="77"/>
      <c r="E653" s="77"/>
      <c r="F653" s="84"/>
      <c r="G653" s="77"/>
      <c r="H653" s="84"/>
      <c r="I653" s="70"/>
      <c r="J653" s="70"/>
      <c r="K653" s="70"/>
      <c r="L653" s="70"/>
      <c r="M653" s="70"/>
      <c r="N653" s="70"/>
      <c r="O653" s="70"/>
      <c r="P653" s="70"/>
      <c r="Q653" s="70"/>
      <c r="R653" s="70"/>
      <c r="S653" s="85"/>
      <c r="T653" s="70"/>
      <c r="U653" s="70"/>
      <c r="V653" s="70"/>
      <c r="W653" s="70"/>
      <c r="X653" s="70"/>
      <c r="Y653" s="70"/>
      <c r="Z653" s="70"/>
      <c r="AA653" s="70"/>
      <c r="AB653" s="70"/>
      <c r="AC653" s="70"/>
      <c r="AD653" s="70"/>
      <c r="AE653" s="70"/>
      <c r="AF653" s="70"/>
      <c r="AG653" s="70"/>
      <c r="AH653" s="70"/>
      <c r="AI653" s="70"/>
    </row>
    <row r="654" spans="1:35" ht="15">
      <c r="A654" s="70"/>
      <c r="B654" s="70"/>
      <c r="C654" s="70"/>
      <c r="D654" s="77"/>
      <c r="E654" s="77"/>
      <c r="F654" s="84"/>
      <c r="G654" s="77"/>
      <c r="H654" s="84"/>
      <c r="I654" s="70"/>
      <c r="J654" s="70"/>
      <c r="K654" s="70"/>
      <c r="L654" s="70"/>
      <c r="M654" s="70"/>
      <c r="N654" s="70"/>
      <c r="O654" s="70"/>
      <c r="P654" s="70"/>
      <c r="Q654" s="70"/>
      <c r="R654" s="70"/>
      <c r="S654" s="85"/>
      <c r="T654" s="70"/>
      <c r="U654" s="70"/>
      <c r="V654" s="70"/>
      <c r="W654" s="70"/>
      <c r="X654" s="70"/>
      <c r="Y654" s="70"/>
      <c r="Z654" s="70"/>
      <c r="AA654" s="70"/>
      <c r="AB654" s="70"/>
      <c r="AC654" s="70"/>
      <c r="AD654" s="70"/>
      <c r="AE654" s="70"/>
      <c r="AF654" s="70"/>
      <c r="AG654" s="70"/>
      <c r="AH654" s="70"/>
      <c r="AI654" s="70"/>
    </row>
    <row r="655" spans="1:35" ht="15">
      <c r="A655" s="70"/>
      <c r="B655" s="70"/>
      <c r="C655" s="70"/>
      <c r="D655" s="77"/>
      <c r="E655" s="77"/>
      <c r="F655" s="84"/>
      <c r="G655" s="77"/>
      <c r="H655" s="84"/>
      <c r="I655" s="70"/>
      <c r="J655" s="70"/>
      <c r="K655" s="70"/>
      <c r="L655" s="70"/>
      <c r="M655" s="70"/>
      <c r="N655" s="70"/>
      <c r="O655" s="70"/>
      <c r="P655" s="70"/>
      <c r="Q655" s="70"/>
      <c r="R655" s="70"/>
      <c r="S655" s="85"/>
      <c r="T655" s="70"/>
      <c r="U655" s="70"/>
      <c r="V655" s="70"/>
      <c r="W655" s="70"/>
      <c r="X655" s="70"/>
      <c r="Y655" s="70"/>
      <c r="Z655" s="70"/>
      <c r="AA655" s="70"/>
      <c r="AB655" s="70"/>
      <c r="AC655" s="70"/>
      <c r="AD655" s="70"/>
      <c r="AE655" s="70"/>
      <c r="AF655" s="70"/>
      <c r="AG655" s="70"/>
      <c r="AH655" s="70"/>
      <c r="AI655" s="70"/>
    </row>
    <row r="656" spans="1:35" ht="15">
      <c r="A656" s="70"/>
      <c r="B656" s="70"/>
      <c r="C656" s="70"/>
      <c r="D656" s="77"/>
      <c r="E656" s="77"/>
      <c r="F656" s="84"/>
      <c r="G656" s="77"/>
      <c r="H656" s="84"/>
      <c r="I656" s="70"/>
      <c r="J656" s="70"/>
      <c r="K656" s="70"/>
      <c r="L656" s="70"/>
      <c r="M656" s="70"/>
      <c r="N656" s="70"/>
      <c r="O656" s="70"/>
      <c r="P656" s="70"/>
      <c r="Q656" s="70"/>
      <c r="R656" s="70"/>
      <c r="S656" s="85"/>
      <c r="T656" s="70"/>
      <c r="U656" s="70"/>
      <c r="V656" s="70"/>
      <c r="W656" s="70"/>
      <c r="X656" s="70"/>
      <c r="Y656" s="70"/>
      <c r="Z656" s="70"/>
      <c r="AA656" s="70"/>
      <c r="AB656" s="70"/>
      <c r="AC656" s="70"/>
      <c r="AD656" s="70"/>
      <c r="AE656" s="70"/>
      <c r="AF656" s="70"/>
      <c r="AG656" s="70"/>
      <c r="AH656" s="70"/>
      <c r="AI656" s="70"/>
    </row>
    <row r="657" spans="1:35" ht="15">
      <c r="A657" s="70"/>
      <c r="B657" s="70"/>
      <c r="C657" s="70"/>
      <c r="D657" s="77"/>
      <c r="E657" s="77"/>
      <c r="F657" s="84"/>
      <c r="G657" s="77"/>
      <c r="H657" s="84"/>
      <c r="I657" s="70"/>
      <c r="J657" s="70"/>
      <c r="K657" s="70"/>
      <c r="L657" s="70"/>
      <c r="M657" s="70"/>
      <c r="N657" s="70"/>
      <c r="O657" s="70"/>
      <c r="P657" s="70"/>
      <c r="Q657" s="70"/>
      <c r="R657" s="70"/>
      <c r="S657" s="85"/>
      <c r="T657" s="70"/>
      <c r="U657" s="70"/>
      <c r="V657" s="70"/>
      <c r="W657" s="70"/>
      <c r="X657" s="70"/>
      <c r="Y657" s="70"/>
      <c r="Z657" s="70"/>
      <c r="AA657" s="70"/>
      <c r="AB657" s="70"/>
      <c r="AC657" s="70"/>
      <c r="AD657" s="70"/>
      <c r="AE657" s="70"/>
      <c r="AF657" s="70"/>
      <c r="AG657" s="70"/>
      <c r="AH657" s="70"/>
      <c r="AI657" s="70"/>
    </row>
    <row r="658" spans="1:35" ht="15">
      <c r="A658" s="70"/>
      <c r="B658" s="70"/>
      <c r="C658" s="70"/>
      <c r="D658" s="77"/>
      <c r="E658" s="77"/>
      <c r="F658" s="84"/>
      <c r="G658" s="77"/>
      <c r="H658" s="84"/>
      <c r="I658" s="70"/>
      <c r="J658" s="70"/>
      <c r="K658" s="70"/>
      <c r="L658" s="70"/>
      <c r="M658" s="70"/>
      <c r="N658" s="70"/>
      <c r="O658" s="70"/>
      <c r="P658" s="70"/>
      <c r="Q658" s="70"/>
      <c r="R658" s="70"/>
      <c r="S658" s="85"/>
      <c r="T658" s="70"/>
      <c r="U658" s="70"/>
      <c r="V658" s="70"/>
      <c r="W658" s="70"/>
      <c r="X658" s="70"/>
      <c r="Y658" s="70"/>
      <c r="Z658" s="70"/>
      <c r="AA658" s="70"/>
      <c r="AB658" s="70"/>
      <c r="AC658" s="70"/>
      <c r="AD658" s="70"/>
      <c r="AE658" s="70"/>
      <c r="AF658" s="70"/>
      <c r="AG658" s="70"/>
      <c r="AH658" s="70"/>
      <c r="AI658" s="70"/>
    </row>
    <row r="659" spans="1:35" ht="15">
      <c r="A659" s="70"/>
      <c r="B659" s="70"/>
      <c r="C659" s="70"/>
      <c r="D659" s="77"/>
      <c r="E659" s="77"/>
      <c r="F659" s="84"/>
      <c r="G659" s="77"/>
      <c r="H659" s="84"/>
      <c r="I659" s="70"/>
      <c r="J659" s="70"/>
      <c r="K659" s="70"/>
      <c r="L659" s="70"/>
      <c r="M659" s="70"/>
      <c r="N659" s="70"/>
      <c r="O659" s="70"/>
      <c r="P659" s="70"/>
      <c r="Q659" s="70"/>
      <c r="R659" s="70"/>
      <c r="S659" s="85"/>
      <c r="T659" s="70"/>
      <c r="U659" s="70"/>
      <c r="V659" s="70"/>
      <c r="W659" s="70"/>
      <c r="X659" s="70"/>
      <c r="Y659" s="70"/>
      <c r="Z659" s="70"/>
      <c r="AA659" s="70"/>
      <c r="AB659" s="70"/>
      <c r="AC659" s="70"/>
      <c r="AD659" s="70"/>
      <c r="AE659" s="70"/>
      <c r="AF659" s="70"/>
      <c r="AG659" s="70"/>
      <c r="AH659" s="70"/>
      <c r="AI659" s="70"/>
    </row>
    <row r="660" spans="1:35" ht="15">
      <c r="A660" s="70"/>
      <c r="B660" s="70"/>
      <c r="C660" s="70"/>
      <c r="D660" s="77"/>
      <c r="E660" s="77"/>
      <c r="F660" s="84"/>
      <c r="G660" s="77"/>
      <c r="H660" s="84"/>
      <c r="I660" s="70"/>
      <c r="J660" s="70"/>
      <c r="K660" s="70"/>
      <c r="L660" s="70"/>
      <c r="M660" s="70"/>
      <c r="N660" s="70"/>
      <c r="O660" s="70"/>
      <c r="P660" s="70"/>
      <c r="Q660" s="70"/>
      <c r="R660" s="70"/>
      <c r="S660" s="85"/>
      <c r="T660" s="70"/>
      <c r="U660" s="70"/>
      <c r="V660" s="70"/>
      <c r="W660" s="70"/>
      <c r="X660" s="70"/>
      <c r="Y660" s="70"/>
      <c r="Z660" s="70"/>
      <c r="AA660" s="70"/>
      <c r="AB660" s="70"/>
      <c r="AC660" s="70"/>
      <c r="AD660" s="70"/>
      <c r="AE660" s="70"/>
      <c r="AF660" s="70"/>
      <c r="AG660" s="70"/>
      <c r="AH660" s="70"/>
      <c r="AI660" s="70"/>
    </row>
    <row r="661" spans="1:35" ht="15">
      <c r="A661" s="70"/>
      <c r="B661" s="70"/>
      <c r="C661" s="70"/>
      <c r="D661" s="77"/>
      <c r="E661" s="77"/>
      <c r="F661" s="84"/>
      <c r="G661" s="77"/>
      <c r="H661" s="84"/>
      <c r="I661" s="70"/>
      <c r="J661" s="70"/>
      <c r="K661" s="70"/>
      <c r="L661" s="70"/>
      <c r="M661" s="70"/>
      <c r="N661" s="70"/>
      <c r="O661" s="70"/>
      <c r="P661" s="70"/>
      <c r="Q661" s="70"/>
      <c r="R661" s="70"/>
      <c r="S661" s="85"/>
      <c r="T661" s="70"/>
      <c r="U661" s="70"/>
      <c r="V661" s="70"/>
      <c r="W661" s="70"/>
      <c r="X661" s="70"/>
      <c r="Y661" s="70"/>
      <c r="Z661" s="70"/>
      <c r="AA661" s="70"/>
      <c r="AB661" s="70"/>
      <c r="AC661" s="70"/>
      <c r="AD661" s="70"/>
      <c r="AE661" s="70"/>
      <c r="AF661" s="70"/>
      <c r="AG661" s="70"/>
      <c r="AH661" s="70"/>
      <c r="AI661" s="70"/>
    </row>
    <row r="662" spans="1:35" ht="15">
      <c r="A662" s="70"/>
      <c r="B662" s="70"/>
      <c r="C662" s="70"/>
      <c r="D662" s="77"/>
      <c r="E662" s="77"/>
      <c r="F662" s="84"/>
      <c r="G662" s="77"/>
      <c r="H662" s="84"/>
      <c r="I662" s="70"/>
      <c r="J662" s="70"/>
      <c r="K662" s="70"/>
      <c r="L662" s="70"/>
      <c r="M662" s="70"/>
      <c r="N662" s="70"/>
      <c r="O662" s="70"/>
      <c r="P662" s="70"/>
      <c r="Q662" s="70"/>
      <c r="R662" s="70"/>
      <c r="S662" s="85"/>
      <c r="T662" s="70"/>
      <c r="U662" s="70"/>
      <c r="V662" s="70"/>
      <c r="W662" s="70"/>
      <c r="X662" s="70"/>
      <c r="Y662" s="70"/>
      <c r="Z662" s="70"/>
      <c r="AA662" s="70"/>
      <c r="AB662" s="70"/>
      <c r="AC662" s="70"/>
      <c r="AD662" s="70"/>
      <c r="AE662" s="70"/>
      <c r="AF662" s="70"/>
      <c r="AG662" s="70"/>
      <c r="AH662" s="70"/>
      <c r="AI662" s="70"/>
    </row>
    <row r="663" spans="1:35" ht="15">
      <c r="A663" s="70"/>
      <c r="B663" s="70"/>
      <c r="C663" s="70"/>
      <c r="D663" s="77"/>
      <c r="E663" s="77"/>
      <c r="F663" s="84"/>
      <c r="G663" s="77"/>
      <c r="H663" s="84"/>
      <c r="I663" s="70"/>
      <c r="J663" s="70"/>
      <c r="K663" s="70"/>
      <c r="L663" s="70"/>
      <c r="M663" s="70"/>
      <c r="N663" s="70"/>
      <c r="O663" s="70"/>
      <c r="P663" s="70"/>
      <c r="Q663" s="70"/>
      <c r="R663" s="70"/>
      <c r="S663" s="85"/>
      <c r="T663" s="70"/>
      <c r="U663" s="70"/>
      <c r="V663" s="70"/>
      <c r="W663" s="70"/>
      <c r="X663" s="70"/>
      <c r="Y663" s="70"/>
      <c r="Z663" s="70"/>
      <c r="AA663" s="70"/>
      <c r="AB663" s="70"/>
      <c r="AC663" s="70"/>
      <c r="AD663" s="70"/>
      <c r="AE663" s="70"/>
      <c r="AF663" s="70"/>
      <c r="AG663" s="70"/>
      <c r="AH663" s="70"/>
      <c r="AI663" s="70"/>
    </row>
    <row r="664" spans="1:35" ht="15">
      <c r="A664" s="70"/>
      <c r="B664" s="70"/>
      <c r="C664" s="70"/>
      <c r="D664" s="77"/>
      <c r="E664" s="77"/>
      <c r="F664" s="84"/>
      <c r="G664" s="77"/>
      <c r="H664" s="84"/>
      <c r="I664" s="70"/>
      <c r="J664" s="70"/>
      <c r="K664" s="70"/>
      <c r="L664" s="70"/>
      <c r="M664" s="70"/>
      <c r="N664" s="70"/>
      <c r="O664" s="70"/>
      <c r="P664" s="70"/>
      <c r="Q664" s="70"/>
      <c r="R664" s="70"/>
      <c r="S664" s="85"/>
      <c r="T664" s="70"/>
      <c r="U664" s="70"/>
      <c r="V664" s="70"/>
      <c r="W664" s="70"/>
      <c r="X664" s="70"/>
      <c r="Y664" s="70"/>
      <c r="Z664" s="70"/>
      <c r="AA664" s="70"/>
      <c r="AB664" s="70"/>
      <c r="AC664" s="70"/>
      <c r="AD664" s="70"/>
      <c r="AE664" s="70"/>
      <c r="AF664" s="70"/>
      <c r="AG664" s="70"/>
      <c r="AH664" s="70"/>
      <c r="AI664" s="70"/>
    </row>
    <row r="665" spans="1:35" ht="15">
      <c r="A665" s="70"/>
      <c r="B665" s="70"/>
      <c r="C665" s="70"/>
      <c r="D665" s="77"/>
      <c r="E665" s="77"/>
      <c r="F665" s="84"/>
      <c r="G665" s="77"/>
      <c r="H665" s="84"/>
      <c r="I665" s="70"/>
      <c r="J665" s="70"/>
      <c r="K665" s="70"/>
      <c r="L665" s="70"/>
      <c r="M665" s="70"/>
      <c r="N665" s="70"/>
      <c r="O665" s="70"/>
      <c r="P665" s="70"/>
      <c r="Q665" s="70"/>
      <c r="R665" s="70"/>
      <c r="S665" s="85"/>
      <c r="T665" s="70"/>
      <c r="U665" s="70"/>
      <c r="V665" s="70"/>
      <c r="W665" s="70"/>
      <c r="X665" s="70"/>
      <c r="Y665" s="70"/>
      <c r="Z665" s="70"/>
      <c r="AA665" s="70"/>
      <c r="AB665" s="70"/>
      <c r="AC665" s="70"/>
      <c r="AD665" s="70"/>
      <c r="AE665" s="70"/>
      <c r="AF665" s="70"/>
      <c r="AG665" s="70"/>
      <c r="AH665" s="70"/>
      <c r="AI665" s="70"/>
    </row>
    <row r="666" spans="1:35" ht="15">
      <c r="A666" s="70"/>
      <c r="B666" s="70"/>
      <c r="C666" s="70"/>
      <c r="D666" s="77"/>
      <c r="E666" s="77"/>
      <c r="F666" s="84"/>
      <c r="G666" s="77"/>
      <c r="H666" s="84"/>
      <c r="I666" s="70"/>
      <c r="J666" s="70"/>
      <c r="K666" s="70"/>
      <c r="L666" s="70"/>
      <c r="M666" s="70"/>
      <c r="N666" s="70"/>
      <c r="O666" s="70"/>
      <c r="P666" s="70"/>
      <c r="Q666" s="70"/>
      <c r="R666" s="70"/>
      <c r="S666" s="85"/>
      <c r="T666" s="70"/>
      <c r="U666" s="70"/>
      <c r="V666" s="70"/>
      <c r="W666" s="70"/>
      <c r="X666" s="70"/>
      <c r="Y666" s="70"/>
      <c r="Z666" s="70"/>
      <c r="AA666" s="70"/>
      <c r="AB666" s="70"/>
      <c r="AC666" s="70"/>
      <c r="AD666" s="70"/>
      <c r="AE666" s="70"/>
      <c r="AF666" s="70"/>
      <c r="AG666" s="70"/>
      <c r="AH666" s="70"/>
      <c r="AI666" s="70"/>
    </row>
    <row r="667" spans="1:35" ht="15">
      <c r="A667" s="70"/>
      <c r="B667" s="70"/>
      <c r="C667" s="70"/>
      <c r="D667" s="77"/>
      <c r="E667" s="77"/>
      <c r="F667" s="84"/>
      <c r="G667" s="77"/>
      <c r="H667" s="84"/>
      <c r="I667" s="70"/>
      <c r="J667" s="70"/>
      <c r="K667" s="70"/>
      <c r="L667" s="70"/>
      <c r="M667" s="70"/>
      <c r="N667" s="70"/>
      <c r="O667" s="70"/>
      <c r="P667" s="70"/>
      <c r="Q667" s="70"/>
      <c r="R667" s="70"/>
      <c r="S667" s="85"/>
      <c r="T667" s="70"/>
      <c r="U667" s="70"/>
      <c r="V667" s="70"/>
      <c r="W667" s="70"/>
      <c r="X667" s="70"/>
      <c r="Y667" s="70"/>
      <c r="Z667" s="70"/>
      <c r="AA667" s="70"/>
      <c r="AB667" s="70"/>
      <c r="AC667" s="70"/>
      <c r="AD667" s="70"/>
      <c r="AE667" s="70"/>
      <c r="AF667" s="70"/>
      <c r="AG667" s="70"/>
      <c r="AH667" s="70"/>
      <c r="AI667" s="70"/>
    </row>
    <row r="668" spans="1:35" ht="15">
      <c r="A668" s="70"/>
      <c r="B668" s="70"/>
      <c r="C668" s="70"/>
      <c r="D668" s="77"/>
      <c r="E668" s="77"/>
      <c r="F668" s="84"/>
      <c r="G668" s="77"/>
      <c r="H668" s="84"/>
      <c r="I668" s="70"/>
      <c r="J668" s="70"/>
      <c r="K668" s="70"/>
      <c r="L668" s="70"/>
      <c r="M668" s="70"/>
      <c r="N668" s="70"/>
      <c r="O668" s="70"/>
      <c r="P668" s="70"/>
      <c r="Q668" s="70"/>
      <c r="R668" s="70"/>
      <c r="S668" s="85"/>
      <c r="T668" s="70"/>
      <c r="U668" s="70"/>
      <c r="V668" s="70"/>
      <c r="W668" s="70"/>
      <c r="X668" s="70"/>
      <c r="Y668" s="70"/>
      <c r="Z668" s="70"/>
      <c r="AA668" s="70"/>
      <c r="AB668" s="70"/>
      <c r="AC668" s="70"/>
      <c r="AD668" s="70"/>
      <c r="AE668" s="70"/>
      <c r="AF668" s="70"/>
      <c r="AG668" s="70"/>
      <c r="AH668" s="70"/>
      <c r="AI668" s="70"/>
    </row>
    <row r="669" spans="1:35" ht="15">
      <c r="A669" s="70"/>
      <c r="B669" s="70"/>
      <c r="C669" s="70"/>
      <c r="D669" s="77"/>
      <c r="E669" s="77"/>
      <c r="F669" s="84"/>
      <c r="G669" s="77"/>
      <c r="H669" s="84"/>
      <c r="I669" s="70"/>
      <c r="J669" s="70"/>
      <c r="K669" s="70"/>
      <c r="L669" s="70"/>
      <c r="M669" s="70"/>
      <c r="N669" s="70"/>
      <c r="O669" s="70"/>
      <c r="P669" s="70"/>
      <c r="Q669" s="70"/>
      <c r="R669" s="70"/>
      <c r="S669" s="85"/>
      <c r="T669" s="70"/>
      <c r="U669" s="70"/>
      <c r="V669" s="70"/>
      <c r="W669" s="70"/>
      <c r="X669" s="70"/>
      <c r="Y669" s="70"/>
      <c r="Z669" s="70"/>
      <c r="AA669" s="70"/>
      <c r="AB669" s="70"/>
      <c r="AC669" s="70"/>
      <c r="AD669" s="70"/>
      <c r="AE669" s="70"/>
      <c r="AF669" s="70"/>
      <c r="AG669" s="70"/>
      <c r="AH669" s="70"/>
      <c r="AI669" s="70"/>
    </row>
    <row r="670" spans="1:35" ht="15">
      <c r="A670" s="70"/>
      <c r="B670" s="70"/>
      <c r="C670" s="70"/>
      <c r="D670" s="77"/>
      <c r="E670" s="77"/>
      <c r="F670" s="84"/>
      <c r="G670" s="77"/>
      <c r="H670" s="84"/>
      <c r="I670" s="70"/>
      <c r="J670" s="70"/>
      <c r="K670" s="70"/>
      <c r="L670" s="70"/>
      <c r="M670" s="70"/>
      <c r="N670" s="70"/>
      <c r="O670" s="70"/>
      <c r="P670" s="70"/>
      <c r="Q670" s="70"/>
      <c r="R670" s="70"/>
      <c r="S670" s="85"/>
      <c r="T670" s="70"/>
      <c r="U670" s="70"/>
      <c r="V670" s="70"/>
      <c r="W670" s="70"/>
      <c r="X670" s="70"/>
      <c r="Y670" s="70"/>
      <c r="Z670" s="70"/>
      <c r="AA670" s="70"/>
      <c r="AB670" s="70"/>
      <c r="AC670" s="70"/>
      <c r="AD670" s="70"/>
      <c r="AE670" s="70"/>
      <c r="AF670" s="70"/>
      <c r="AG670" s="70"/>
      <c r="AH670" s="70"/>
      <c r="AI670" s="70"/>
    </row>
    <row r="671" spans="1:35" ht="15">
      <c r="A671" s="70"/>
      <c r="B671" s="70"/>
      <c r="C671" s="70"/>
      <c r="D671" s="77"/>
      <c r="E671" s="77"/>
      <c r="F671" s="84"/>
      <c r="G671" s="77"/>
      <c r="H671" s="84"/>
      <c r="I671" s="70"/>
      <c r="J671" s="70"/>
      <c r="K671" s="70"/>
      <c r="L671" s="70"/>
      <c r="M671" s="70"/>
      <c r="N671" s="70"/>
      <c r="O671" s="70"/>
      <c r="P671" s="70"/>
      <c r="Q671" s="70"/>
      <c r="R671" s="70"/>
      <c r="S671" s="85"/>
      <c r="T671" s="70"/>
      <c r="U671" s="70"/>
      <c r="V671" s="70"/>
      <c r="W671" s="70"/>
      <c r="X671" s="70"/>
      <c r="Y671" s="70"/>
      <c r="Z671" s="70"/>
      <c r="AA671" s="70"/>
      <c r="AB671" s="70"/>
      <c r="AC671" s="70"/>
      <c r="AD671" s="70"/>
      <c r="AE671" s="70"/>
      <c r="AF671" s="70"/>
      <c r="AG671" s="70"/>
      <c r="AH671" s="70"/>
      <c r="AI671" s="70"/>
    </row>
    <row r="672" spans="1:35" ht="15">
      <c r="A672" s="70"/>
      <c r="B672" s="70"/>
      <c r="C672" s="70"/>
      <c r="D672" s="77"/>
      <c r="E672" s="77"/>
      <c r="F672" s="84"/>
      <c r="G672" s="77"/>
      <c r="H672" s="84"/>
      <c r="I672" s="70"/>
      <c r="J672" s="70"/>
      <c r="K672" s="70"/>
      <c r="L672" s="70"/>
      <c r="M672" s="70"/>
      <c r="N672" s="70"/>
      <c r="O672" s="70"/>
      <c r="P672" s="70"/>
      <c r="Q672" s="70"/>
      <c r="R672" s="70"/>
      <c r="S672" s="85"/>
      <c r="T672" s="70"/>
      <c r="U672" s="70"/>
      <c r="V672" s="70"/>
      <c r="W672" s="70"/>
      <c r="X672" s="70"/>
      <c r="Y672" s="70"/>
      <c r="Z672" s="70"/>
      <c r="AA672" s="70"/>
      <c r="AB672" s="70"/>
      <c r="AC672" s="70"/>
      <c r="AD672" s="70"/>
      <c r="AE672" s="70"/>
      <c r="AF672" s="70"/>
      <c r="AG672" s="70"/>
      <c r="AH672" s="70"/>
      <c r="AI672" s="70"/>
    </row>
    <row r="673" spans="1:35" ht="15">
      <c r="A673" s="70"/>
      <c r="B673" s="70"/>
      <c r="C673" s="70"/>
      <c r="D673" s="77"/>
      <c r="E673" s="77"/>
      <c r="F673" s="84"/>
      <c r="G673" s="77"/>
      <c r="H673" s="84"/>
      <c r="I673" s="70"/>
      <c r="J673" s="70"/>
      <c r="K673" s="70"/>
      <c r="L673" s="70"/>
      <c r="M673" s="70"/>
      <c r="N673" s="70"/>
      <c r="O673" s="70"/>
      <c r="P673" s="70"/>
      <c r="Q673" s="70"/>
      <c r="R673" s="70"/>
      <c r="S673" s="85"/>
      <c r="T673" s="70"/>
      <c r="U673" s="70"/>
      <c r="V673" s="70"/>
      <c r="W673" s="70"/>
      <c r="X673" s="70"/>
      <c r="Y673" s="70"/>
      <c r="Z673" s="70"/>
      <c r="AA673" s="70"/>
      <c r="AB673" s="70"/>
      <c r="AC673" s="70"/>
      <c r="AD673" s="70"/>
      <c r="AE673" s="70"/>
      <c r="AF673" s="70"/>
      <c r="AG673" s="70"/>
      <c r="AH673" s="70"/>
      <c r="AI673" s="70"/>
    </row>
    <row r="674" spans="1:35" ht="15">
      <c r="A674" s="70"/>
      <c r="B674" s="70"/>
      <c r="C674" s="70"/>
      <c r="D674" s="77"/>
      <c r="E674" s="77"/>
      <c r="F674" s="84"/>
      <c r="G674" s="77"/>
      <c r="H674" s="84"/>
      <c r="I674" s="70"/>
      <c r="J674" s="70"/>
      <c r="K674" s="70"/>
      <c r="L674" s="70"/>
      <c r="M674" s="70"/>
      <c r="N674" s="70"/>
      <c r="O674" s="70"/>
      <c r="P674" s="70"/>
      <c r="Q674" s="70"/>
      <c r="R674" s="70"/>
      <c r="S674" s="85"/>
      <c r="T674" s="70"/>
      <c r="U674" s="70"/>
      <c r="V674" s="70"/>
      <c r="W674" s="70"/>
      <c r="X674" s="70"/>
      <c r="Y674" s="70"/>
      <c r="Z674" s="70"/>
      <c r="AA674" s="70"/>
      <c r="AB674" s="70"/>
      <c r="AC674" s="70"/>
      <c r="AD674" s="70"/>
      <c r="AE674" s="70"/>
      <c r="AF674" s="70"/>
      <c r="AG674" s="70"/>
      <c r="AH674" s="70"/>
      <c r="AI674" s="70"/>
    </row>
    <row r="675" spans="1:35" ht="15">
      <c r="A675" s="70"/>
      <c r="B675" s="70"/>
      <c r="C675" s="70"/>
      <c r="D675" s="77"/>
      <c r="E675" s="77"/>
      <c r="F675" s="84"/>
      <c r="G675" s="77"/>
      <c r="H675" s="84"/>
      <c r="I675" s="70"/>
      <c r="J675" s="70"/>
      <c r="K675" s="70"/>
      <c r="L675" s="70"/>
      <c r="M675" s="70"/>
      <c r="N675" s="70"/>
      <c r="O675" s="70"/>
      <c r="P675" s="70"/>
      <c r="Q675" s="70"/>
      <c r="R675" s="70"/>
      <c r="S675" s="85"/>
      <c r="T675" s="70"/>
      <c r="U675" s="70"/>
      <c r="V675" s="70"/>
      <c r="W675" s="70"/>
      <c r="X675" s="70"/>
      <c r="Y675" s="70"/>
      <c r="Z675" s="70"/>
      <c r="AA675" s="70"/>
      <c r="AB675" s="70"/>
      <c r="AC675" s="70"/>
      <c r="AD675" s="70"/>
      <c r="AE675" s="70"/>
      <c r="AF675" s="70"/>
      <c r="AG675" s="70"/>
      <c r="AH675" s="70"/>
      <c r="AI675" s="70"/>
    </row>
    <row r="676" spans="1:35" ht="15">
      <c r="A676" s="70"/>
      <c r="B676" s="70"/>
      <c r="C676" s="70"/>
      <c r="D676" s="77"/>
      <c r="E676" s="77"/>
      <c r="F676" s="84"/>
      <c r="G676" s="77"/>
      <c r="H676" s="84"/>
      <c r="I676" s="70"/>
      <c r="J676" s="70"/>
      <c r="K676" s="70"/>
      <c r="L676" s="70"/>
      <c r="M676" s="70"/>
      <c r="N676" s="70"/>
      <c r="O676" s="70"/>
      <c r="P676" s="70"/>
      <c r="Q676" s="70"/>
      <c r="R676" s="70"/>
      <c r="S676" s="85"/>
      <c r="T676" s="70"/>
      <c r="U676" s="70"/>
      <c r="V676" s="70"/>
      <c r="W676" s="70"/>
      <c r="X676" s="70"/>
      <c r="Y676" s="70"/>
      <c r="Z676" s="70"/>
      <c r="AA676" s="70"/>
      <c r="AB676" s="70"/>
      <c r="AC676" s="70"/>
      <c r="AD676" s="70"/>
      <c r="AE676" s="70"/>
      <c r="AF676" s="70"/>
      <c r="AG676" s="70"/>
      <c r="AH676" s="70"/>
      <c r="AI676" s="70"/>
    </row>
    <row r="677" spans="1:35" ht="15">
      <c r="A677" s="70"/>
      <c r="B677" s="70"/>
      <c r="C677" s="70"/>
      <c r="D677" s="77"/>
      <c r="E677" s="77"/>
      <c r="F677" s="84"/>
      <c r="G677" s="77"/>
      <c r="H677" s="84"/>
      <c r="I677" s="70"/>
      <c r="J677" s="70"/>
      <c r="K677" s="70"/>
      <c r="L677" s="70"/>
      <c r="M677" s="70"/>
      <c r="N677" s="70"/>
      <c r="O677" s="70"/>
      <c r="P677" s="70"/>
      <c r="Q677" s="70"/>
      <c r="R677" s="70"/>
      <c r="S677" s="85"/>
      <c r="T677" s="70"/>
      <c r="U677" s="70"/>
      <c r="V677" s="70"/>
      <c r="W677" s="70"/>
      <c r="X677" s="70"/>
      <c r="Y677" s="70"/>
      <c r="Z677" s="70"/>
      <c r="AA677" s="70"/>
      <c r="AB677" s="70"/>
      <c r="AC677" s="70"/>
      <c r="AD677" s="70"/>
      <c r="AE677" s="70"/>
      <c r="AF677" s="70"/>
      <c r="AG677" s="70"/>
      <c r="AH677" s="70"/>
      <c r="AI677" s="70"/>
    </row>
    <row r="678" spans="1:35" ht="15">
      <c r="A678" s="70"/>
      <c r="B678" s="70"/>
      <c r="C678" s="70"/>
      <c r="D678" s="77"/>
      <c r="E678" s="77"/>
      <c r="F678" s="84"/>
      <c r="G678" s="77"/>
      <c r="H678" s="84"/>
      <c r="I678" s="70"/>
      <c r="J678" s="70"/>
      <c r="K678" s="70"/>
      <c r="L678" s="70"/>
      <c r="M678" s="70"/>
      <c r="N678" s="70"/>
      <c r="O678" s="70"/>
      <c r="P678" s="70"/>
      <c r="Q678" s="70"/>
      <c r="R678" s="70"/>
      <c r="S678" s="85"/>
      <c r="T678" s="70"/>
      <c r="U678" s="70"/>
      <c r="V678" s="70"/>
      <c r="W678" s="70"/>
      <c r="X678" s="70"/>
      <c r="Y678" s="70"/>
      <c r="Z678" s="70"/>
      <c r="AA678" s="70"/>
      <c r="AB678" s="70"/>
      <c r="AC678" s="70"/>
      <c r="AD678" s="70"/>
      <c r="AE678" s="70"/>
      <c r="AF678" s="70"/>
      <c r="AG678" s="70"/>
      <c r="AH678" s="70"/>
      <c r="AI678" s="70"/>
    </row>
    <row r="679" spans="1:35" ht="15">
      <c r="A679" s="70"/>
      <c r="B679" s="70"/>
      <c r="C679" s="70"/>
      <c r="D679" s="77"/>
      <c r="E679" s="77"/>
      <c r="F679" s="84"/>
      <c r="G679" s="77"/>
      <c r="H679" s="84"/>
      <c r="I679" s="70"/>
      <c r="J679" s="70"/>
      <c r="K679" s="70"/>
      <c r="L679" s="70"/>
      <c r="M679" s="70"/>
      <c r="N679" s="70"/>
      <c r="O679" s="70"/>
      <c r="P679" s="70"/>
      <c r="Q679" s="70"/>
      <c r="R679" s="70"/>
      <c r="S679" s="85"/>
      <c r="T679" s="70"/>
      <c r="U679" s="70"/>
      <c r="V679" s="70"/>
      <c r="W679" s="70"/>
      <c r="X679" s="70"/>
      <c r="Y679" s="70"/>
      <c r="Z679" s="70"/>
      <c r="AA679" s="70"/>
      <c r="AB679" s="70"/>
      <c r="AC679" s="70"/>
      <c r="AD679" s="70"/>
      <c r="AE679" s="70"/>
      <c r="AF679" s="70"/>
      <c r="AG679" s="70"/>
      <c r="AH679" s="70"/>
      <c r="AI679" s="70"/>
    </row>
    <row r="680" spans="1:35" ht="15">
      <c r="A680" s="70"/>
      <c r="B680" s="70"/>
      <c r="C680" s="70"/>
      <c r="D680" s="77"/>
      <c r="E680" s="77"/>
      <c r="F680" s="84"/>
      <c r="G680" s="77"/>
      <c r="H680" s="84"/>
      <c r="I680" s="70"/>
      <c r="J680" s="70"/>
      <c r="K680" s="70"/>
      <c r="L680" s="70"/>
      <c r="M680" s="70"/>
      <c r="N680" s="70"/>
      <c r="O680" s="70"/>
      <c r="P680" s="70"/>
      <c r="Q680" s="70"/>
      <c r="R680" s="70"/>
      <c r="S680" s="85"/>
      <c r="T680" s="70"/>
      <c r="U680" s="70"/>
      <c r="V680" s="70"/>
      <c r="W680" s="70"/>
      <c r="X680" s="70"/>
      <c r="Y680" s="70"/>
      <c r="Z680" s="70"/>
      <c r="AA680" s="70"/>
      <c r="AB680" s="70"/>
      <c r="AC680" s="70"/>
      <c r="AD680" s="70"/>
      <c r="AE680" s="70"/>
      <c r="AF680" s="70"/>
      <c r="AG680" s="70"/>
      <c r="AH680" s="70"/>
      <c r="AI680" s="70"/>
    </row>
    <row r="681" spans="1:35" ht="15">
      <c r="A681" s="70"/>
      <c r="B681" s="70"/>
      <c r="C681" s="70"/>
      <c r="D681" s="77"/>
      <c r="E681" s="77"/>
      <c r="F681" s="84"/>
      <c r="G681" s="77"/>
      <c r="H681" s="84"/>
      <c r="I681" s="70"/>
      <c r="J681" s="70"/>
      <c r="K681" s="70"/>
      <c r="L681" s="70"/>
      <c r="M681" s="70"/>
      <c r="N681" s="70"/>
      <c r="O681" s="70"/>
      <c r="P681" s="70"/>
      <c r="Q681" s="70"/>
      <c r="R681" s="70"/>
      <c r="S681" s="85"/>
      <c r="T681" s="70"/>
      <c r="U681" s="70"/>
      <c r="V681" s="70"/>
      <c r="W681" s="70"/>
      <c r="X681" s="70"/>
      <c r="Y681" s="70"/>
      <c r="Z681" s="70"/>
      <c r="AA681" s="70"/>
      <c r="AB681" s="70"/>
      <c r="AC681" s="70"/>
      <c r="AD681" s="70"/>
      <c r="AE681" s="70"/>
      <c r="AF681" s="70"/>
      <c r="AG681" s="70"/>
      <c r="AH681" s="70"/>
      <c r="AI681" s="70"/>
    </row>
    <row r="682" spans="1:35" ht="15">
      <c r="A682" s="70"/>
      <c r="B682" s="70"/>
      <c r="C682" s="70"/>
      <c r="D682" s="77"/>
      <c r="E682" s="77"/>
      <c r="F682" s="84"/>
      <c r="G682" s="77"/>
      <c r="H682" s="84"/>
      <c r="I682" s="70"/>
      <c r="J682" s="70"/>
      <c r="K682" s="70"/>
      <c r="L682" s="70"/>
      <c r="M682" s="70"/>
      <c r="N682" s="70"/>
      <c r="O682" s="70"/>
      <c r="P682" s="70"/>
      <c r="Q682" s="70"/>
      <c r="R682" s="70"/>
      <c r="S682" s="85"/>
      <c r="T682" s="70"/>
      <c r="U682" s="70"/>
      <c r="V682" s="70"/>
      <c r="W682" s="70"/>
      <c r="X682" s="70"/>
      <c r="Y682" s="70"/>
      <c r="Z682" s="70"/>
      <c r="AA682" s="70"/>
      <c r="AB682" s="70"/>
      <c r="AC682" s="70"/>
      <c r="AD682" s="70"/>
      <c r="AE682" s="70"/>
      <c r="AF682" s="70"/>
      <c r="AG682" s="70"/>
      <c r="AH682" s="70"/>
      <c r="AI682" s="70"/>
    </row>
    <row r="683" spans="1:35" ht="15">
      <c r="A683" s="70"/>
      <c r="B683" s="70"/>
      <c r="C683" s="70"/>
      <c r="D683" s="77"/>
      <c r="E683" s="77"/>
      <c r="F683" s="84"/>
      <c r="G683" s="77"/>
      <c r="H683" s="84"/>
      <c r="I683" s="70"/>
      <c r="J683" s="70"/>
      <c r="K683" s="70"/>
      <c r="L683" s="70"/>
      <c r="M683" s="70"/>
      <c r="N683" s="70"/>
      <c r="O683" s="70"/>
      <c r="P683" s="70"/>
      <c r="Q683" s="70"/>
      <c r="R683" s="70"/>
      <c r="S683" s="85"/>
      <c r="T683" s="70"/>
      <c r="U683" s="70"/>
      <c r="V683" s="70"/>
      <c r="W683" s="70"/>
      <c r="X683" s="70"/>
      <c r="Y683" s="70"/>
      <c r="Z683" s="70"/>
      <c r="AA683" s="70"/>
      <c r="AB683" s="70"/>
      <c r="AC683" s="70"/>
      <c r="AD683" s="70"/>
      <c r="AE683" s="70"/>
      <c r="AF683" s="70"/>
      <c r="AG683" s="70"/>
      <c r="AH683" s="70"/>
      <c r="AI683" s="70"/>
    </row>
    <row r="684" spans="1:35" ht="15">
      <c r="A684" s="70"/>
      <c r="B684" s="70"/>
      <c r="C684" s="70"/>
      <c r="D684" s="77"/>
      <c r="E684" s="77"/>
      <c r="F684" s="84"/>
      <c r="G684" s="77"/>
      <c r="H684" s="84"/>
      <c r="I684" s="70"/>
      <c r="J684" s="70"/>
      <c r="K684" s="70"/>
      <c r="L684" s="70"/>
      <c r="M684" s="70"/>
      <c r="N684" s="70"/>
      <c r="O684" s="70"/>
      <c r="P684" s="70"/>
      <c r="Q684" s="70"/>
      <c r="R684" s="70"/>
      <c r="S684" s="85"/>
      <c r="T684" s="70"/>
      <c r="U684" s="70"/>
      <c r="V684" s="70"/>
      <c r="W684" s="70"/>
      <c r="X684" s="70"/>
      <c r="Y684" s="70"/>
      <c r="Z684" s="70"/>
      <c r="AA684" s="70"/>
      <c r="AB684" s="70"/>
      <c r="AC684" s="70"/>
      <c r="AD684" s="70"/>
      <c r="AE684" s="70"/>
      <c r="AF684" s="70"/>
      <c r="AG684" s="70"/>
      <c r="AH684" s="70"/>
      <c r="AI684" s="70"/>
    </row>
    <row r="685" spans="1:35" ht="15">
      <c r="A685" s="70"/>
      <c r="B685" s="70"/>
      <c r="C685" s="70"/>
      <c r="D685" s="77"/>
      <c r="E685" s="77"/>
      <c r="F685" s="84"/>
      <c r="G685" s="77"/>
      <c r="H685" s="84"/>
      <c r="I685" s="70"/>
      <c r="J685" s="70"/>
      <c r="K685" s="70"/>
      <c r="L685" s="70"/>
      <c r="M685" s="70"/>
      <c r="N685" s="70"/>
      <c r="O685" s="70"/>
      <c r="P685" s="70"/>
      <c r="Q685" s="70"/>
      <c r="R685" s="70"/>
      <c r="S685" s="85"/>
      <c r="T685" s="70"/>
      <c r="U685" s="70"/>
      <c r="V685" s="70"/>
      <c r="W685" s="70"/>
      <c r="X685" s="70"/>
      <c r="Y685" s="70"/>
      <c r="Z685" s="70"/>
      <c r="AA685" s="70"/>
      <c r="AB685" s="70"/>
      <c r="AC685" s="70"/>
      <c r="AD685" s="70"/>
      <c r="AE685" s="70"/>
      <c r="AF685" s="70"/>
      <c r="AG685" s="70"/>
      <c r="AH685" s="70"/>
      <c r="AI685" s="70"/>
    </row>
    <row r="686" spans="1:35" ht="15">
      <c r="A686" s="70"/>
      <c r="B686" s="70"/>
      <c r="C686" s="70"/>
      <c r="D686" s="77"/>
      <c r="E686" s="77"/>
      <c r="F686" s="84"/>
      <c r="G686" s="77"/>
      <c r="H686" s="84"/>
      <c r="I686" s="70"/>
      <c r="J686" s="70"/>
      <c r="K686" s="70"/>
      <c r="L686" s="70"/>
      <c r="M686" s="70"/>
      <c r="N686" s="70"/>
      <c r="O686" s="70"/>
      <c r="P686" s="70"/>
      <c r="Q686" s="70"/>
      <c r="R686" s="70"/>
      <c r="S686" s="85"/>
      <c r="T686" s="70"/>
      <c r="U686" s="70"/>
      <c r="V686" s="70"/>
      <c r="W686" s="70"/>
      <c r="X686" s="70"/>
      <c r="Y686" s="70"/>
      <c r="Z686" s="70"/>
      <c r="AA686" s="70"/>
      <c r="AB686" s="70"/>
      <c r="AC686" s="70"/>
      <c r="AD686" s="70"/>
      <c r="AE686" s="70"/>
      <c r="AF686" s="70"/>
      <c r="AG686" s="70"/>
      <c r="AH686" s="70"/>
      <c r="AI686" s="70"/>
    </row>
    <row r="687" spans="1:35" ht="15">
      <c r="A687" s="70"/>
      <c r="B687" s="70"/>
      <c r="C687" s="70"/>
      <c r="D687" s="77"/>
      <c r="E687" s="77"/>
      <c r="F687" s="84"/>
      <c r="G687" s="77"/>
      <c r="H687" s="84"/>
      <c r="I687" s="70"/>
      <c r="J687" s="70"/>
      <c r="K687" s="70"/>
      <c r="L687" s="70"/>
      <c r="M687" s="70"/>
      <c r="N687" s="70"/>
      <c r="O687" s="70"/>
      <c r="P687" s="70"/>
      <c r="Q687" s="70"/>
      <c r="R687" s="70"/>
      <c r="S687" s="85"/>
      <c r="T687" s="70"/>
      <c r="U687" s="70"/>
      <c r="V687" s="70"/>
      <c r="W687" s="70"/>
      <c r="X687" s="70"/>
      <c r="Y687" s="70"/>
      <c r="Z687" s="70"/>
      <c r="AA687" s="70"/>
      <c r="AB687" s="70"/>
      <c r="AC687" s="70"/>
      <c r="AD687" s="70"/>
      <c r="AE687" s="70"/>
      <c r="AF687" s="70"/>
      <c r="AG687" s="70"/>
      <c r="AH687" s="70"/>
      <c r="AI687" s="70"/>
    </row>
    <row r="688" spans="1:35" ht="15">
      <c r="A688" s="70"/>
      <c r="B688" s="70"/>
      <c r="C688" s="70"/>
      <c r="D688" s="77"/>
      <c r="E688" s="77"/>
      <c r="F688" s="84"/>
      <c r="G688" s="77"/>
      <c r="H688" s="84"/>
      <c r="I688" s="70"/>
      <c r="J688" s="70"/>
      <c r="K688" s="70"/>
      <c r="L688" s="70"/>
      <c r="M688" s="70"/>
      <c r="N688" s="70"/>
      <c r="O688" s="70"/>
      <c r="P688" s="70"/>
      <c r="Q688" s="70"/>
      <c r="R688" s="70"/>
      <c r="S688" s="85"/>
      <c r="T688" s="70"/>
      <c r="U688" s="70"/>
      <c r="V688" s="70"/>
      <c r="W688" s="70"/>
      <c r="X688" s="70"/>
      <c r="Y688" s="70"/>
      <c r="Z688" s="70"/>
      <c r="AA688" s="70"/>
      <c r="AB688" s="70"/>
      <c r="AC688" s="70"/>
      <c r="AD688" s="70"/>
      <c r="AE688" s="70"/>
      <c r="AF688" s="70"/>
      <c r="AG688" s="70"/>
      <c r="AH688" s="70"/>
      <c r="AI688" s="70"/>
    </row>
    <row r="689" spans="1:35" ht="15">
      <c r="A689" s="70"/>
      <c r="B689" s="70"/>
      <c r="C689" s="70"/>
      <c r="D689" s="77"/>
      <c r="E689" s="77"/>
      <c r="F689" s="84"/>
      <c r="G689" s="77"/>
      <c r="H689" s="84"/>
      <c r="I689" s="70"/>
      <c r="J689" s="70"/>
      <c r="K689" s="70"/>
      <c r="L689" s="70"/>
      <c r="M689" s="70"/>
      <c r="N689" s="70"/>
      <c r="O689" s="70"/>
      <c r="P689" s="70"/>
      <c r="Q689" s="70"/>
      <c r="R689" s="70"/>
      <c r="S689" s="85"/>
      <c r="T689" s="70"/>
      <c r="U689" s="70"/>
      <c r="V689" s="70"/>
      <c r="W689" s="70"/>
      <c r="X689" s="70"/>
      <c r="Y689" s="70"/>
      <c r="Z689" s="70"/>
      <c r="AA689" s="70"/>
      <c r="AB689" s="70"/>
      <c r="AC689" s="70"/>
      <c r="AD689" s="70"/>
      <c r="AE689" s="70"/>
      <c r="AF689" s="70"/>
      <c r="AG689" s="70"/>
      <c r="AH689" s="70"/>
      <c r="AI689" s="70"/>
    </row>
    <row r="690" spans="1:35" ht="15">
      <c r="A690" s="70"/>
      <c r="B690" s="70"/>
      <c r="C690" s="70"/>
      <c r="D690" s="77"/>
      <c r="E690" s="77"/>
      <c r="F690" s="84"/>
      <c r="G690" s="77"/>
      <c r="H690" s="84"/>
      <c r="I690" s="70"/>
      <c r="J690" s="70"/>
      <c r="K690" s="70"/>
      <c r="L690" s="70"/>
      <c r="M690" s="70"/>
      <c r="N690" s="70"/>
      <c r="O690" s="70"/>
      <c r="P690" s="70"/>
      <c r="Q690" s="70"/>
      <c r="R690" s="70"/>
      <c r="S690" s="85"/>
      <c r="T690" s="70"/>
      <c r="U690" s="70"/>
      <c r="V690" s="70"/>
      <c r="W690" s="70"/>
      <c r="X690" s="70"/>
      <c r="Y690" s="70"/>
      <c r="Z690" s="70"/>
      <c r="AA690" s="70"/>
      <c r="AB690" s="70"/>
      <c r="AC690" s="70"/>
      <c r="AD690" s="70"/>
      <c r="AE690" s="70"/>
      <c r="AF690" s="70"/>
      <c r="AG690" s="70"/>
      <c r="AH690" s="70"/>
      <c r="AI690" s="70"/>
    </row>
    <row r="691" spans="1:35" ht="15">
      <c r="A691" s="70"/>
      <c r="B691" s="70"/>
      <c r="C691" s="70"/>
      <c r="D691" s="77"/>
      <c r="E691" s="77"/>
      <c r="F691" s="84"/>
      <c r="G691" s="77"/>
      <c r="H691" s="84"/>
      <c r="I691" s="70"/>
      <c r="J691" s="70"/>
      <c r="K691" s="70"/>
      <c r="L691" s="70"/>
      <c r="M691" s="70"/>
      <c r="N691" s="70"/>
      <c r="O691" s="70"/>
      <c r="P691" s="70"/>
      <c r="Q691" s="70"/>
      <c r="R691" s="70"/>
      <c r="S691" s="85"/>
      <c r="T691" s="70"/>
      <c r="U691" s="70"/>
      <c r="V691" s="70"/>
      <c r="W691" s="70"/>
      <c r="X691" s="70"/>
      <c r="Y691" s="70"/>
      <c r="Z691" s="70"/>
      <c r="AA691" s="70"/>
      <c r="AB691" s="70"/>
      <c r="AC691" s="70"/>
      <c r="AD691" s="70"/>
      <c r="AE691" s="70"/>
      <c r="AF691" s="70"/>
      <c r="AG691" s="70"/>
      <c r="AH691" s="70"/>
      <c r="AI691" s="70"/>
    </row>
    <row r="692" spans="1:35" ht="15">
      <c r="A692" s="70"/>
      <c r="B692" s="70"/>
      <c r="C692" s="70"/>
      <c r="D692" s="77"/>
      <c r="E692" s="77"/>
      <c r="F692" s="84"/>
      <c r="G692" s="77"/>
      <c r="H692" s="84"/>
      <c r="I692" s="70"/>
      <c r="J692" s="70"/>
      <c r="K692" s="70"/>
      <c r="L692" s="70"/>
      <c r="M692" s="70"/>
      <c r="N692" s="70"/>
      <c r="O692" s="70"/>
      <c r="P692" s="70"/>
      <c r="Q692" s="70"/>
      <c r="R692" s="70"/>
      <c r="S692" s="85"/>
      <c r="T692" s="70"/>
      <c r="U692" s="70"/>
      <c r="V692" s="70"/>
      <c r="W692" s="70"/>
      <c r="X692" s="70"/>
      <c r="Y692" s="70"/>
      <c r="Z692" s="70"/>
      <c r="AA692" s="70"/>
      <c r="AB692" s="70"/>
      <c r="AC692" s="70"/>
      <c r="AD692" s="70"/>
      <c r="AE692" s="70"/>
      <c r="AF692" s="70"/>
      <c r="AG692" s="70"/>
      <c r="AH692" s="70"/>
      <c r="AI692" s="70"/>
    </row>
    <row r="693" spans="1:35" ht="15">
      <c r="A693" s="70"/>
      <c r="B693" s="70"/>
      <c r="C693" s="70"/>
      <c r="D693" s="77"/>
      <c r="E693" s="77"/>
      <c r="F693" s="84"/>
      <c r="G693" s="77"/>
      <c r="H693" s="84"/>
      <c r="I693" s="70"/>
      <c r="J693" s="70"/>
      <c r="K693" s="70"/>
      <c r="L693" s="70"/>
      <c r="M693" s="70"/>
      <c r="N693" s="70"/>
      <c r="O693" s="70"/>
      <c r="P693" s="70"/>
      <c r="Q693" s="70"/>
      <c r="R693" s="70"/>
      <c r="S693" s="85"/>
      <c r="T693" s="70"/>
      <c r="U693" s="70"/>
      <c r="V693" s="70"/>
      <c r="W693" s="70"/>
      <c r="X693" s="70"/>
      <c r="Y693" s="70"/>
      <c r="Z693" s="70"/>
      <c r="AA693" s="70"/>
      <c r="AB693" s="70"/>
      <c r="AC693" s="70"/>
      <c r="AD693" s="70"/>
      <c r="AE693" s="70"/>
      <c r="AF693" s="70"/>
      <c r="AG693" s="70"/>
      <c r="AH693" s="70"/>
      <c r="AI693" s="70"/>
    </row>
    <row r="694" spans="1:35" ht="15">
      <c r="A694" s="70"/>
      <c r="B694" s="70"/>
      <c r="C694" s="70"/>
      <c r="D694" s="77"/>
      <c r="E694" s="77"/>
      <c r="F694" s="84"/>
      <c r="G694" s="77"/>
      <c r="H694" s="84"/>
      <c r="I694" s="70"/>
      <c r="J694" s="70"/>
      <c r="K694" s="70"/>
      <c r="L694" s="70"/>
      <c r="M694" s="70"/>
      <c r="N694" s="70"/>
      <c r="O694" s="70"/>
      <c r="P694" s="70"/>
      <c r="Q694" s="70"/>
      <c r="R694" s="70"/>
      <c r="S694" s="85"/>
      <c r="T694" s="70"/>
      <c r="U694" s="70"/>
      <c r="V694" s="70"/>
      <c r="W694" s="70"/>
      <c r="X694" s="70"/>
      <c r="Y694" s="70"/>
      <c r="Z694" s="70"/>
      <c r="AA694" s="70"/>
      <c r="AB694" s="70"/>
      <c r="AC694" s="70"/>
      <c r="AD694" s="70"/>
      <c r="AE694" s="70"/>
      <c r="AF694" s="70"/>
      <c r="AG694" s="70"/>
      <c r="AH694" s="70"/>
      <c r="AI694" s="70"/>
    </row>
    <row r="695" spans="1:35" ht="15">
      <c r="A695" s="70"/>
      <c r="B695" s="70"/>
      <c r="C695" s="70"/>
      <c r="D695" s="77"/>
      <c r="E695" s="77"/>
      <c r="F695" s="84"/>
      <c r="G695" s="77"/>
      <c r="H695" s="84"/>
      <c r="I695" s="70"/>
      <c r="J695" s="70"/>
      <c r="K695" s="70"/>
      <c r="L695" s="70"/>
      <c r="M695" s="70"/>
      <c r="N695" s="70"/>
      <c r="O695" s="70"/>
      <c r="P695" s="70"/>
      <c r="Q695" s="70"/>
      <c r="R695" s="70"/>
      <c r="S695" s="85"/>
      <c r="T695" s="70"/>
      <c r="U695" s="70"/>
      <c r="V695" s="70"/>
      <c r="W695" s="70"/>
      <c r="X695" s="70"/>
      <c r="Y695" s="70"/>
      <c r="Z695" s="70"/>
      <c r="AA695" s="70"/>
      <c r="AB695" s="70"/>
      <c r="AC695" s="70"/>
      <c r="AD695" s="70"/>
      <c r="AE695" s="70"/>
      <c r="AF695" s="70"/>
      <c r="AG695" s="70"/>
      <c r="AH695" s="70"/>
      <c r="AI695" s="70"/>
    </row>
    <row r="696" spans="1:35" ht="15">
      <c r="A696" s="70"/>
      <c r="B696" s="70"/>
      <c r="C696" s="70"/>
      <c r="D696" s="77"/>
      <c r="E696" s="77"/>
      <c r="F696" s="84"/>
      <c r="G696" s="77"/>
      <c r="H696" s="84"/>
      <c r="I696" s="70"/>
      <c r="J696" s="70"/>
      <c r="K696" s="70"/>
      <c r="L696" s="70"/>
      <c r="M696" s="70"/>
      <c r="N696" s="70"/>
      <c r="O696" s="70"/>
      <c r="P696" s="70"/>
      <c r="Q696" s="70"/>
      <c r="R696" s="70"/>
      <c r="S696" s="85"/>
      <c r="T696" s="70"/>
      <c r="U696" s="70"/>
      <c r="V696" s="70"/>
      <c r="W696" s="70"/>
      <c r="X696" s="70"/>
      <c r="Y696" s="70"/>
      <c r="Z696" s="70"/>
      <c r="AA696" s="70"/>
      <c r="AB696" s="70"/>
      <c r="AC696" s="70"/>
      <c r="AD696" s="70"/>
      <c r="AE696" s="70"/>
      <c r="AF696" s="70"/>
      <c r="AG696" s="70"/>
      <c r="AH696" s="70"/>
      <c r="AI696" s="70"/>
    </row>
    <row r="697" spans="1:35" ht="15">
      <c r="A697" s="70"/>
      <c r="B697" s="70"/>
      <c r="C697" s="70"/>
      <c r="D697" s="77"/>
      <c r="E697" s="77"/>
      <c r="F697" s="84"/>
      <c r="G697" s="77"/>
      <c r="H697" s="84"/>
      <c r="I697" s="70"/>
      <c r="J697" s="70"/>
      <c r="K697" s="70"/>
      <c r="L697" s="70"/>
      <c r="M697" s="70"/>
      <c r="N697" s="70"/>
      <c r="O697" s="70"/>
      <c r="P697" s="70"/>
      <c r="Q697" s="70"/>
      <c r="R697" s="70"/>
      <c r="S697" s="85"/>
      <c r="T697" s="70"/>
      <c r="U697" s="70"/>
      <c r="V697" s="70"/>
      <c r="W697" s="70"/>
      <c r="X697" s="70"/>
      <c r="Y697" s="70"/>
      <c r="Z697" s="70"/>
      <c r="AA697" s="70"/>
      <c r="AB697" s="70"/>
      <c r="AC697" s="70"/>
      <c r="AD697" s="70"/>
      <c r="AE697" s="70"/>
      <c r="AF697" s="70"/>
      <c r="AG697" s="70"/>
      <c r="AH697" s="70"/>
      <c r="AI697" s="70"/>
    </row>
    <row r="698" spans="1:35" ht="15">
      <c r="A698" s="70"/>
      <c r="B698" s="70"/>
      <c r="C698" s="70"/>
      <c r="D698" s="77"/>
      <c r="E698" s="77"/>
      <c r="F698" s="84"/>
      <c r="G698" s="77"/>
      <c r="H698" s="84"/>
      <c r="I698" s="70"/>
      <c r="J698" s="70"/>
      <c r="K698" s="70"/>
      <c r="L698" s="70"/>
      <c r="M698" s="70"/>
      <c r="N698" s="70"/>
      <c r="O698" s="70"/>
      <c r="P698" s="70"/>
      <c r="Q698" s="70"/>
      <c r="R698" s="70"/>
      <c r="S698" s="85"/>
      <c r="T698" s="70"/>
      <c r="U698" s="70"/>
      <c r="V698" s="70"/>
      <c r="W698" s="70"/>
      <c r="X698" s="70"/>
      <c r="Y698" s="70"/>
      <c r="Z698" s="70"/>
      <c r="AA698" s="70"/>
      <c r="AB698" s="70"/>
      <c r="AC698" s="70"/>
      <c r="AD698" s="70"/>
      <c r="AE698" s="70"/>
      <c r="AF698" s="70"/>
      <c r="AG698" s="70"/>
      <c r="AH698" s="70"/>
      <c r="AI698" s="70"/>
    </row>
    <row r="699" spans="1:35" ht="15">
      <c r="A699" s="70"/>
      <c r="B699" s="70"/>
      <c r="C699" s="70"/>
      <c r="D699" s="77"/>
      <c r="E699" s="77"/>
      <c r="F699" s="84"/>
      <c r="G699" s="77"/>
      <c r="H699" s="84"/>
      <c r="I699" s="70"/>
      <c r="J699" s="70"/>
      <c r="K699" s="70"/>
      <c r="L699" s="70"/>
      <c r="M699" s="70"/>
      <c r="N699" s="70"/>
      <c r="O699" s="70"/>
      <c r="P699" s="70"/>
      <c r="Q699" s="70"/>
      <c r="R699" s="70"/>
      <c r="S699" s="85"/>
      <c r="T699" s="70"/>
      <c r="U699" s="70"/>
      <c r="V699" s="70"/>
      <c r="W699" s="70"/>
      <c r="X699" s="70"/>
      <c r="Y699" s="70"/>
      <c r="Z699" s="70"/>
      <c r="AA699" s="70"/>
      <c r="AB699" s="70"/>
      <c r="AC699" s="70"/>
      <c r="AD699" s="70"/>
      <c r="AE699" s="70"/>
      <c r="AF699" s="70"/>
      <c r="AG699" s="70"/>
      <c r="AH699" s="70"/>
      <c r="AI699" s="70"/>
    </row>
    <row r="700" spans="1:35" ht="15">
      <c r="A700" s="70"/>
      <c r="B700" s="70"/>
      <c r="C700" s="70"/>
      <c r="D700" s="77"/>
      <c r="E700" s="77"/>
      <c r="F700" s="84"/>
      <c r="G700" s="77"/>
      <c r="H700" s="84"/>
      <c r="I700" s="70"/>
      <c r="J700" s="70"/>
      <c r="K700" s="70"/>
      <c r="L700" s="70"/>
      <c r="M700" s="70"/>
      <c r="N700" s="70"/>
      <c r="O700" s="70"/>
      <c r="P700" s="70"/>
      <c r="Q700" s="70"/>
      <c r="R700" s="70"/>
      <c r="S700" s="85"/>
      <c r="T700" s="70"/>
      <c r="U700" s="70"/>
      <c r="V700" s="70"/>
      <c r="W700" s="70"/>
      <c r="X700" s="70"/>
      <c r="Y700" s="70"/>
      <c r="Z700" s="70"/>
      <c r="AA700" s="70"/>
      <c r="AB700" s="70"/>
      <c r="AC700" s="70"/>
      <c r="AD700" s="70"/>
      <c r="AE700" s="70"/>
      <c r="AF700" s="70"/>
      <c r="AG700" s="70"/>
      <c r="AH700" s="70"/>
      <c r="AI700" s="70"/>
    </row>
    <row r="701" spans="1:35" ht="15">
      <c r="A701" s="70"/>
      <c r="B701" s="70"/>
      <c r="C701" s="70"/>
      <c r="D701" s="77"/>
      <c r="E701" s="77"/>
      <c r="F701" s="84"/>
      <c r="G701" s="77"/>
      <c r="H701" s="84"/>
      <c r="I701" s="70"/>
      <c r="J701" s="70"/>
      <c r="K701" s="70"/>
      <c r="L701" s="70"/>
      <c r="M701" s="70"/>
      <c r="N701" s="70"/>
      <c r="O701" s="70"/>
      <c r="P701" s="70"/>
      <c r="Q701" s="70"/>
      <c r="R701" s="70"/>
      <c r="S701" s="85"/>
      <c r="T701" s="70"/>
      <c r="U701" s="70"/>
      <c r="V701" s="70"/>
      <c r="W701" s="70"/>
      <c r="X701" s="70"/>
      <c r="Y701" s="70"/>
      <c r="Z701" s="70"/>
      <c r="AA701" s="70"/>
      <c r="AB701" s="70"/>
      <c r="AC701" s="70"/>
      <c r="AD701" s="70"/>
      <c r="AE701" s="70"/>
      <c r="AF701" s="70"/>
      <c r="AG701" s="70"/>
      <c r="AH701" s="70"/>
      <c r="AI701" s="70"/>
    </row>
    <row r="702" spans="1:35" ht="15">
      <c r="A702" s="70"/>
      <c r="B702" s="70"/>
      <c r="C702" s="70"/>
      <c r="D702" s="77"/>
      <c r="E702" s="77"/>
      <c r="F702" s="84"/>
      <c r="G702" s="77"/>
      <c r="H702" s="84"/>
      <c r="I702" s="70"/>
      <c r="J702" s="70"/>
      <c r="K702" s="70"/>
      <c r="L702" s="70"/>
      <c r="M702" s="70"/>
      <c r="N702" s="70"/>
      <c r="O702" s="70"/>
      <c r="P702" s="70"/>
      <c r="Q702" s="70"/>
      <c r="R702" s="70"/>
      <c r="S702" s="85"/>
      <c r="T702" s="70"/>
      <c r="U702" s="70"/>
      <c r="V702" s="70"/>
      <c r="W702" s="70"/>
      <c r="X702" s="70"/>
      <c r="Y702" s="70"/>
      <c r="Z702" s="70"/>
      <c r="AA702" s="70"/>
      <c r="AB702" s="70"/>
      <c r="AC702" s="70"/>
      <c r="AD702" s="70"/>
      <c r="AE702" s="70"/>
      <c r="AF702" s="70"/>
      <c r="AG702" s="70"/>
      <c r="AH702" s="70"/>
      <c r="AI702" s="70"/>
    </row>
    <row r="703" spans="1:35" ht="15">
      <c r="A703" s="70"/>
      <c r="B703" s="70"/>
      <c r="C703" s="70"/>
      <c r="D703" s="77"/>
      <c r="E703" s="77"/>
      <c r="F703" s="84"/>
      <c r="G703" s="77"/>
      <c r="H703" s="84"/>
      <c r="I703" s="70"/>
      <c r="J703" s="70"/>
      <c r="K703" s="70"/>
      <c r="L703" s="70"/>
      <c r="M703" s="70"/>
      <c r="N703" s="70"/>
      <c r="O703" s="70"/>
      <c r="P703" s="70"/>
      <c r="Q703" s="70"/>
      <c r="R703" s="70"/>
      <c r="S703" s="85"/>
      <c r="T703" s="70"/>
      <c r="U703" s="70"/>
      <c r="V703" s="70"/>
      <c r="W703" s="70"/>
      <c r="X703" s="70"/>
      <c r="Y703" s="70"/>
      <c r="Z703" s="70"/>
      <c r="AA703" s="70"/>
      <c r="AB703" s="70"/>
      <c r="AC703" s="70"/>
      <c r="AD703" s="70"/>
      <c r="AE703" s="70"/>
      <c r="AF703" s="70"/>
      <c r="AG703" s="70"/>
      <c r="AH703" s="70"/>
      <c r="AI703" s="70"/>
    </row>
    <row r="704" spans="1:35" ht="15">
      <c r="A704" s="70"/>
      <c r="B704" s="70"/>
      <c r="C704" s="70"/>
      <c r="D704" s="77"/>
      <c r="E704" s="77"/>
      <c r="F704" s="84"/>
      <c r="G704" s="77"/>
      <c r="H704" s="84"/>
      <c r="I704" s="70"/>
      <c r="J704" s="70"/>
      <c r="K704" s="70"/>
      <c r="L704" s="70"/>
      <c r="M704" s="70"/>
      <c r="N704" s="70"/>
      <c r="O704" s="70"/>
      <c r="P704" s="70"/>
      <c r="Q704" s="70"/>
      <c r="R704" s="70"/>
      <c r="S704" s="85"/>
      <c r="T704" s="70"/>
      <c r="U704" s="70"/>
      <c r="V704" s="70"/>
      <c r="W704" s="70"/>
      <c r="X704" s="70"/>
      <c r="Y704" s="70"/>
      <c r="Z704" s="70"/>
      <c r="AA704" s="70"/>
      <c r="AB704" s="70"/>
      <c r="AC704" s="70"/>
      <c r="AD704" s="70"/>
      <c r="AE704" s="70"/>
      <c r="AF704" s="70"/>
      <c r="AG704" s="70"/>
      <c r="AH704" s="70"/>
      <c r="AI704" s="70"/>
    </row>
    <row r="705" spans="1:35" ht="15">
      <c r="A705" s="70"/>
      <c r="B705" s="70"/>
      <c r="C705" s="70"/>
      <c r="D705" s="77"/>
      <c r="E705" s="77"/>
      <c r="F705" s="84"/>
      <c r="G705" s="77"/>
      <c r="H705" s="84"/>
      <c r="I705" s="70"/>
      <c r="J705" s="70"/>
      <c r="K705" s="70"/>
      <c r="L705" s="70"/>
      <c r="M705" s="70"/>
      <c r="N705" s="70"/>
      <c r="O705" s="70"/>
      <c r="P705" s="70"/>
      <c r="Q705" s="70"/>
      <c r="R705" s="70"/>
      <c r="S705" s="85"/>
      <c r="T705" s="70"/>
      <c r="U705" s="70"/>
      <c r="V705" s="70"/>
      <c r="W705" s="70"/>
      <c r="X705" s="70"/>
      <c r="Y705" s="70"/>
      <c r="Z705" s="70"/>
      <c r="AA705" s="70"/>
      <c r="AB705" s="70"/>
      <c r="AC705" s="70"/>
      <c r="AD705" s="70"/>
      <c r="AE705" s="70"/>
      <c r="AF705" s="70"/>
      <c r="AG705" s="70"/>
      <c r="AH705" s="70"/>
      <c r="AI705" s="70"/>
    </row>
    <row r="706" spans="1:35" ht="15">
      <c r="A706" s="70"/>
      <c r="B706" s="70"/>
      <c r="C706" s="70"/>
      <c r="D706" s="77"/>
      <c r="E706" s="77"/>
      <c r="F706" s="84"/>
      <c r="G706" s="77"/>
      <c r="H706" s="84"/>
      <c r="I706" s="70"/>
      <c r="J706" s="70"/>
      <c r="K706" s="70"/>
      <c r="L706" s="70"/>
      <c r="M706" s="70"/>
      <c r="N706" s="70"/>
      <c r="O706" s="70"/>
      <c r="P706" s="70"/>
      <c r="Q706" s="70"/>
      <c r="R706" s="70"/>
      <c r="S706" s="85"/>
      <c r="T706" s="70"/>
      <c r="U706" s="70"/>
      <c r="V706" s="70"/>
      <c r="W706" s="70"/>
      <c r="X706" s="70"/>
      <c r="Y706" s="70"/>
      <c r="Z706" s="70"/>
      <c r="AA706" s="70"/>
      <c r="AB706" s="70"/>
      <c r="AC706" s="70"/>
      <c r="AD706" s="70"/>
      <c r="AE706" s="70"/>
      <c r="AF706" s="70"/>
      <c r="AG706" s="70"/>
      <c r="AH706" s="70"/>
      <c r="AI706" s="70"/>
    </row>
    <row r="707" spans="1:35" ht="15">
      <c r="A707" s="70"/>
      <c r="B707" s="70"/>
      <c r="C707" s="70"/>
      <c r="D707" s="77"/>
      <c r="E707" s="77"/>
      <c r="F707" s="84"/>
      <c r="G707" s="77"/>
      <c r="H707" s="84"/>
      <c r="I707" s="70"/>
      <c r="J707" s="70"/>
      <c r="K707" s="70"/>
      <c r="L707" s="70"/>
      <c r="M707" s="70"/>
      <c r="N707" s="70"/>
      <c r="O707" s="70"/>
      <c r="P707" s="70"/>
      <c r="Q707" s="70"/>
      <c r="R707" s="70"/>
      <c r="S707" s="85"/>
      <c r="T707" s="70"/>
      <c r="U707" s="70"/>
      <c r="V707" s="70"/>
      <c r="W707" s="70"/>
      <c r="X707" s="70"/>
      <c r="Y707" s="70"/>
      <c r="Z707" s="70"/>
      <c r="AA707" s="70"/>
      <c r="AB707" s="70"/>
      <c r="AC707" s="70"/>
      <c r="AD707" s="70"/>
      <c r="AE707" s="70"/>
      <c r="AF707" s="70"/>
      <c r="AG707" s="70"/>
      <c r="AH707" s="70"/>
      <c r="AI707" s="70"/>
    </row>
    <row r="708" spans="1:35" ht="15">
      <c r="A708" s="70"/>
      <c r="B708" s="70"/>
      <c r="C708" s="70"/>
      <c r="D708" s="77"/>
      <c r="E708" s="77"/>
      <c r="F708" s="84"/>
      <c r="G708" s="77"/>
      <c r="H708" s="84"/>
      <c r="I708" s="70"/>
      <c r="J708" s="70"/>
      <c r="K708" s="70"/>
      <c r="L708" s="70"/>
      <c r="M708" s="70"/>
      <c r="N708" s="70"/>
      <c r="O708" s="70"/>
      <c r="P708" s="70"/>
      <c r="Q708" s="70"/>
      <c r="R708" s="70"/>
      <c r="S708" s="85"/>
      <c r="T708" s="70"/>
      <c r="U708" s="70"/>
      <c r="V708" s="70"/>
      <c r="W708" s="70"/>
      <c r="X708" s="70"/>
      <c r="Y708" s="70"/>
      <c r="Z708" s="70"/>
      <c r="AA708" s="70"/>
      <c r="AB708" s="70"/>
      <c r="AC708" s="70"/>
      <c r="AD708" s="70"/>
      <c r="AE708" s="70"/>
      <c r="AF708" s="70"/>
      <c r="AG708" s="70"/>
      <c r="AH708" s="70"/>
      <c r="AI708" s="70"/>
    </row>
    <row r="709" spans="1:35" ht="15">
      <c r="A709" s="70"/>
      <c r="B709" s="70"/>
      <c r="C709" s="70"/>
      <c r="D709" s="77"/>
      <c r="E709" s="77"/>
      <c r="F709" s="84"/>
      <c r="G709" s="77"/>
      <c r="H709" s="84"/>
      <c r="I709" s="70"/>
      <c r="J709" s="70"/>
      <c r="K709" s="70"/>
      <c r="L709" s="70"/>
      <c r="M709" s="70"/>
      <c r="N709" s="70"/>
      <c r="O709" s="70"/>
      <c r="P709" s="70"/>
      <c r="Q709" s="70"/>
      <c r="R709" s="70"/>
      <c r="S709" s="85"/>
      <c r="T709" s="70"/>
      <c r="U709" s="70"/>
      <c r="V709" s="70"/>
      <c r="W709" s="70"/>
      <c r="X709" s="70"/>
      <c r="Y709" s="70"/>
      <c r="Z709" s="70"/>
      <c r="AA709" s="70"/>
      <c r="AB709" s="70"/>
      <c r="AC709" s="70"/>
      <c r="AD709" s="70"/>
      <c r="AE709" s="70"/>
      <c r="AF709" s="70"/>
      <c r="AG709" s="70"/>
      <c r="AH709" s="70"/>
      <c r="AI709" s="70"/>
    </row>
    <row r="710" spans="1:35" ht="15">
      <c r="A710" s="70"/>
      <c r="B710" s="70"/>
      <c r="C710" s="70"/>
      <c r="D710" s="77"/>
      <c r="E710" s="77"/>
      <c r="F710" s="84"/>
      <c r="G710" s="77"/>
      <c r="H710" s="84"/>
      <c r="I710" s="70"/>
      <c r="J710" s="70"/>
      <c r="K710" s="70"/>
      <c r="L710" s="70"/>
      <c r="M710" s="70"/>
      <c r="N710" s="70"/>
      <c r="O710" s="70"/>
      <c r="P710" s="70"/>
      <c r="Q710" s="70"/>
      <c r="R710" s="70"/>
      <c r="S710" s="85"/>
      <c r="T710" s="70"/>
      <c r="U710" s="70"/>
      <c r="V710" s="70"/>
      <c r="W710" s="70"/>
      <c r="X710" s="70"/>
      <c r="Y710" s="70"/>
      <c r="Z710" s="70"/>
      <c r="AA710" s="70"/>
      <c r="AB710" s="70"/>
      <c r="AC710" s="70"/>
      <c r="AD710" s="70"/>
      <c r="AE710" s="70"/>
      <c r="AF710" s="70"/>
      <c r="AG710" s="70"/>
      <c r="AH710" s="70"/>
      <c r="AI710" s="70"/>
    </row>
    <row r="711" spans="1:35" ht="15">
      <c r="A711" s="70"/>
      <c r="B711" s="70"/>
      <c r="C711" s="70"/>
      <c r="D711" s="77"/>
      <c r="E711" s="77"/>
      <c r="F711" s="84"/>
      <c r="G711" s="77"/>
      <c r="H711" s="84"/>
      <c r="I711" s="70"/>
      <c r="J711" s="70"/>
      <c r="K711" s="70"/>
      <c r="L711" s="70"/>
      <c r="M711" s="70"/>
      <c r="N711" s="70"/>
      <c r="O711" s="70"/>
      <c r="P711" s="70"/>
      <c r="Q711" s="70"/>
      <c r="R711" s="70"/>
      <c r="S711" s="85"/>
      <c r="T711" s="70"/>
      <c r="U711" s="70"/>
      <c r="V711" s="70"/>
      <c r="W711" s="70"/>
      <c r="X711" s="70"/>
      <c r="Y711" s="70"/>
      <c r="Z711" s="70"/>
      <c r="AA711" s="70"/>
      <c r="AB711" s="70"/>
      <c r="AC711" s="70"/>
      <c r="AD711" s="70"/>
      <c r="AE711" s="70"/>
      <c r="AF711" s="70"/>
      <c r="AG711" s="70"/>
      <c r="AH711" s="70"/>
      <c r="AI711" s="70"/>
    </row>
    <row r="712" spans="1:35" ht="15">
      <c r="A712" s="70"/>
      <c r="B712" s="70"/>
      <c r="C712" s="70"/>
      <c r="D712" s="77"/>
      <c r="E712" s="77"/>
      <c r="F712" s="84"/>
      <c r="G712" s="77"/>
      <c r="H712" s="84"/>
      <c r="I712" s="70"/>
      <c r="J712" s="70"/>
      <c r="K712" s="70"/>
      <c r="L712" s="70"/>
      <c r="M712" s="70"/>
      <c r="N712" s="70"/>
      <c r="O712" s="70"/>
      <c r="P712" s="70"/>
      <c r="Q712" s="70"/>
      <c r="R712" s="70"/>
      <c r="S712" s="85"/>
      <c r="T712" s="70"/>
      <c r="U712" s="70"/>
      <c r="V712" s="70"/>
      <c r="W712" s="70"/>
      <c r="X712" s="70"/>
      <c r="Y712" s="70"/>
      <c r="Z712" s="70"/>
      <c r="AA712" s="70"/>
      <c r="AB712" s="70"/>
      <c r="AC712" s="70"/>
      <c r="AD712" s="70"/>
      <c r="AE712" s="70"/>
      <c r="AF712" s="70"/>
      <c r="AG712" s="70"/>
      <c r="AH712" s="70"/>
      <c r="AI712" s="70"/>
    </row>
    <row r="713" spans="1:35" ht="15">
      <c r="A713" s="70"/>
      <c r="B713" s="70"/>
      <c r="C713" s="70"/>
      <c r="D713" s="77"/>
      <c r="E713" s="77"/>
      <c r="F713" s="84"/>
      <c r="G713" s="77"/>
      <c r="H713" s="84"/>
      <c r="I713" s="70"/>
      <c r="J713" s="70"/>
      <c r="K713" s="70"/>
      <c r="L713" s="70"/>
      <c r="M713" s="70"/>
      <c r="N713" s="70"/>
      <c r="O713" s="70"/>
      <c r="P713" s="70"/>
      <c r="Q713" s="70"/>
      <c r="R713" s="70"/>
      <c r="S713" s="85"/>
      <c r="T713" s="70"/>
      <c r="U713" s="70"/>
      <c r="V713" s="70"/>
      <c r="W713" s="70"/>
      <c r="X713" s="70"/>
      <c r="Y713" s="70"/>
      <c r="Z713" s="70"/>
      <c r="AA713" s="70"/>
      <c r="AB713" s="70"/>
      <c r="AC713" s="70"/>
      <c r="AD713" s="70"/>
      <c r="AE713" s="70"/>
      <c r="AF713" s="70"/>
      <c r="AG713" s="70"/>
      <c r="AH713" s="70"/>
      <c r="AI713" s="70"/>
    </row>
    <row r="714" spans="1:35" ht="15">
      <c r="A714" s="70"/>
      <c r="B714" s="70"/>
      <c r="C714" s="70"/>
      <c r="D714" s="77"/>
      <c r="E714" s="77"/>
      <c r="F714" s="84"/>
      <c r="G714" s="77"/>
      <c r="H714" s="84"/>
      <c r="I714" s="70"/>
      <c r="J714" s="70"/>
      <c r="K714" s="70"/>
      <c r="L714" s="70"/>
      <c r="M714" s="70"/>
      <c r="N714" s="70"/>
      <c r="O714" s="70"/>
      <c r="P714" s="70"/>
      <c r="Q714" s="70"/>
      <c r="R714" s="70"/>
      <c r="S714" s="85"/>
      <c r="T714" s="70"/>
      <c r="U714" s="70"/>
      <c r="V714" s="70"/>
      <c r="W714" s="70"/>
      <c r="X714" s="70"/>
      <c r="Y714" s="70"/>
      <c r="Z714" s="70"/>
      <c r="AA714" s="70"/>
      <c r="AB714" s="70"/>
      <c r="AC714" s="70"/>
      <c r="AD714" s="70"/>
      <c r="AE714" s="70"/>
      <c r="AF714" s="70"/>
      <c r="AG714" s="70"/>
      <c r="AH714" s="70"/>
      <c r="AI714" s="70"/>
    </row>
    <row r="715" spans="1:35" ht="15">
      <c r="A715" s="70"/>
      <c r="B715" s="70"/>
      <c r="C715" s="70"/>
      <c r="D715" s="77"/>
      <c r="E715" s="77"/>
      <c r="F715" s="84"/>
      <c r="G715" s="77"/>
      <c r="H715" s="84"/>
      <c r="I715" s="70"/>
      <c r="J715" s="70"/>
      <c r="K715" s="70"/>
      <c r="L715" s="70"/>
      <c r="M715" s="70"/>
      <c r="N715" s="70"/>
      <c r="O715" s="70"/>
      <c r="P715" s="70"/>
      <c r="Q715" s="70"/>
      <c r="R715" s="70"/>
      <c r="S715" s="85"/>
      <c r="T715" s="70"/>
      <c r="U715" s="70"/>
      <c r="V715" s="70"/>
      <c r="W715" s="70"/>
      <c r="X715" s="70"/>
      <c r="Y715" s="70"/>
      <c r="Z715" s="70"/>
      <c r="AA715" s="70"/>
      <c r="AB715" s="70"/>
      <c r="AC715" s="70"/>
      <c r="AD715" s="70"/>
      <c r="AE715" s="70"/>
      <c r="AF715" s="70"/>
      <c r="AG715" s="70"/>
      <c r="AH715" s="70"/>
      <c r="AI715" s="70"/>
    </row>
    <row r="716" spans="1:35" ht="15">
      <c r="A716" s="70"/>
      <c r="B716" s="70"/>
      <c r="C716" s="70"/>
      <c r="D716" s="77"/>
      <c r="E716" s="77"/>
      <c r="F716" s="84"/>
      <c r="G716" s="77"/>
      <c r="H716" s="84"/>
      <c r="I716" s="70"/>
      <c r="J716" s="70"/>
      <c r="K716" s="70"/>
      <c r="L716" s="70"/>
      <c r="M716" s="70"/>
      <c r="N716" s="70"/>
      <c r="O716" s="70"/>
      <c r="P716" s="70"/>
      <c r="Q716" s="70"/>
      <c r="R716" s="70"/>
      <c r="S716" s="85"/>
      <c r="T716" s="70"/>
      <c r="U716" s="70"/>
      <c r="V716" s="70"/>
      <c r="W716" s="70"/>
      <c r="X716" s="70"/>
      <c r="Y716" s="70"/>
      <c r="Z716" s="70"/>
      <c r="AA716" s="70"/>
      <c r="AB716" s="70"/>
      <c r="AC716" s="70"/>
      <c r="AD716" s="70"/>
      <c r="AE716" s="70"/>
      <c r="AF716" s="70"/>
      <c r="AG716" s="70"/>
      <c r="AH716" s="70"/>
      <c r="AI716" s="70"/>
    </row>
    <row r="717" spans="1:35" ht="15">
      <c r="A717" s="70"/>
      <c r="B717" s="70"/>
      <c r="C717" s="70"/>
      <c r="D717" s="77"/>
      <c r="E717" s="77"/>
      <c r="F717" s="84"/>
      <c r="G717" s="77"/>
      <c r="H717" s="84"/>
      <c r="I717" s="70"/>
      <c r="J717" s="70"/>
      <c r="K717" s="70"/>
      <c r="L717" s="70"/>
      <c r="M717" s="70"/>
      <c r="N717" s="70"/>
      <c r="O717" s="70"/>
      <c r="P717" s="70"/>
      <c r="Q717" s="70"/>
      <c r="R717" s="70"/>
      <c r="S717" s="85"/>
      <c r="T717" s="70"/>
      <c r="U717" s="70"/>
      <c r="V717" s="70"/>
      <c r="W717" s="70"/>
      <c r="X717" s="70"/>
      <c r="Y717" s="70"/>
      <c r="Z717" s="70"/>
      <c r="AA717" s="70"/>
      <c r="AB717" s="70"/>
      <c r="AC717" s="70"/>
      <c r="AD717" s="70"/>
      <c r="AE717" s="70"/>
      <c r="AF717" s="70"/>
      <c r="AG717" s="70"/>
      <c r="AH717" s="70"/>
      <c r="AI717" s="70"/>
    </row>
    <row r="718" spans="1:35" ht="15">
      <c r="A718" s="70"/>
      <c r="B718" s="70"/>
      <c r="C718" s="70"/>
      <c r="D718" s="77"/>
      <c r="E718" s="77"/>
      <c r="F718" s="84"/>
      <c r="G718" s="77"/>
      <c r="H718" s="84"/>
      <c r="I718" s="70"/>
      <c r="J718" s="70"/>
      <c r="K718" s="70"/>
      <c r="L718" s="70"/>
      <c r="M718" s="70"/>
      <c r="N718" s="70"/>
      <c r="O718" s="70"/>
      <c r="P718" s="70"/>
      <c r="Q718" s="70"/>
      <c r="R718" s="70"/>
      <c r="S718" s="85"/>
      <c r="T718" s="70"/>
      <c r="U718" s="70"/>
      <c r="V718" s="70"/>
      <c r="W718" s="70"/>
      <c r="X718" s="70"/>
      <c r="Y718" s="70"/>
      <c r="Z718" s="70"/>
      <c r="AA718" s="70"/>
      <c r="AB718" s="70"/>
      <c r="AC718" s="70"/>
      <c r="AD718" s="70"/>
      <c r="AE718" s="70"/>
      <c r="AF718" s="70"/>
      <c r="AG718" s="70"/>
      <c r="AH718" s="70"/>
      <c r="AI718" s="70"/>
    </row>
    <row r="719" spans="1:35" ht="15">
      <c r="A719" s="70"/>
      <c r="B719" s="70"/>
      <c r="C719" s="70"/>
      <c r="D719" s="77"/>
      <c r="E719" s="77"/>
      <c r="F719" s="84"/>
      <c r="G719" s="77"/>
      <c r="H719" s="84"/>
      <c r="I719" s="70"/>
      <c r="J719" s="70"/>
      <c r="K719" s="70"/>
      <c r="L719" s="70"/>
      <c r="M719" s="70"/>
      <c r="N719" s="70"/>
      <c r="O719" s="70"/>
      <c r="P719" s="70"/>
      <c r="Q719" s="70"/>
      <c r="R719" s="70"/>
      <c r="S719" s="85"/>
      <c r="T719" s="70"/>
      <c r="U719" s="70"/>
      <c r="V719" s="70"/>
      <c r="W719" s="70"/>
      <c r="X719" s="70"/>
      <c r="Y719" s="70"/>
      <c r="Z719" s="70"/>
      <c r="AA719" s="70"/>
      <c r="AB719" s="70"/>
      <c r="AC719" s="70"/>
      <c r="AD719" s="70"/>
      <c r="AE719" s="70"/>
      <c r="AF719" s="70"/>
      <c r="AG719" s="70"/>
      <c r="AH719" s="70"/>
      <c r="AI719" s="70"/>
    </row>
    <row r="720" spans="1:35" ht="15">
      <c r="A720" s="70"/>
      <c r="B720" s="70"/>
      <c r="C720" s="70"/>
      <c r="D720" s="77"/>
      <c r="E720" s="77"/>
      <c r="F720" s="84"/>
      <c r="G720" s="77"/>
      <c r="H720" s="84"/>
      <c r="I720" s="70"/>
      <c r="J720" s="70"/>
      <c r="K720" s="70"/>
      <c r="L720" s="70"/>
      <c r="M720" s="70"/>
      <c r="N720" s="70"/>
      <c r="O720" s="70"/>
      <c r="P720" s="70"/>
      <c r="Q720" s="70"/>
      <c r="R720" s="70"/>
      <c r="S720" s="85"/>
      <c r="T720" s="70"/>
      <c r="U720" s="70"/>
      <c r="V720" s="70"/>
      <c r="W720" s="70"/>
      <c r="X720" s="70"/>
      <c r="Y720" s="70"/>
      <c r="Z720" s="70"/>
      <c r="AA720" s="70"/>
      <c r="AB720" s="70"/>
      <c r="AC720" s="70"/>
      <c r="AD720" s="70"/>
      <c r="AE720" s="70"/>
      <c r="AF720" s="70"/>
      <c r="AG720" s="70"/>
      <c r="AH720" s="70"/>
      <c r="AI720" s="70"/>
    </row>
    <row r="721" spans="1:35" ht="15">
      <c r="A721" s="70"/>
      <c r="B721" s="70"/>
      <c r="C721" s="70"/>
      <c r="D721" s="77"/>
      <c r="E721" s="77"/>
      <c r="F721" s="84"/>
      <c r="G721" s="77"/>
      <c r="H721" s="84"/>
      <c r="I721" s="70"/>
      <c r="J721" s="70"/>
      <c r="K721" s="70"/>
      <c r="L721" s="70"/>
      <c r="M721" s="70"/>
      <c r="N721" s="70"/>
      <c r="O721" s="70"/>
      <c r="P721" s="70"/>
      <c r="Q721" s="70"/>
      <c r="R721" s="70"/>
      <c r="S721" s="85"/>
      <c r="T721" s="70"/>
      <c r="U721" s="70"/>
      <c r="V721" s="70"/>
      <c r="W721" s="70"/>
      <c r="X721" s="70"/>
      <c r="Y721" s="70"/>
      <c r="Z721" s="70"/>
      <c r="AA721" s="70"/>
      <c r="AB721" s="70"/>
      <c r="AC721" s="70"/>
      <c r="AD721" s="70"/>
      <c r="AE721" s="70"/>
      <c r="AF721" s="70"/>
      <c r="AG721" s="70"/>
      <c r="AH721" s="70"/>
      <c r="AI721" s="70"/>
    </row>
    <row r="722" spans="1:35" ht="15">
      <c r="A722" s="70"/>
      <c r="B722" s="70"/>
      <c r="C722" s="70"/>
      <c r="D722" s="77"/>
      <c r="E722" s="77"/>
      <c r="F722" s="84"/>
      <c r="G722" s="77"/>
      <c r="H722" s="84"/>
      <c r="I722" s="70"/>
      <c r="J722" s="70"/>
      <c r="K722" s="70"/>
      <c r="L722" s="70"/>
      <c r="M722" s="70"/>
      <c r="N722" s="70"/>
      <c r="O722" s="70"/>
      <c r="P722" s="70"/>
      <c r="Q722" s="70"/>
      <c r="R722" s="70"/>
      <c r="S722" s="85"/>
      <c r="T722" s="70"/>
      <c r="U722" s="70"/>
      <c r="V722" s="70"/>
      <c r="W722" s="70"/>
      <c r="X722" s="70"/>
      <c r="Y722" s="70"/>
      <c r="Z722" s="70"/>
      <c r="AA722" s="70"/>
      <c r="AB722" s="70"/>
      <c r="AC722" s="70"/>
      <c r="AD722" s="70"/>
      <c r="AE722" s="70"/>
      <c r="AF722" s="70"/>
      <c r="AG722" s="70"/>
      <c r="AH722" s="70"/>
      <c r="AI722" s="70"/>
    </row>
    <row r="723" spans="1:35" ht="15">
      <c r="A723" s="70"/>
      <c r="B723" s="70"/>
      <c r="C723" s="70"/>
      <c r="D723" s="77"/>
      <c r="E723" s="77"/>
      <c r="F723" s="84"/>
      <c r="G723" s="77"/>
      <c r="H723" s="84"/>
      <c r="I723" s="70"/>
      <c r="J723" s="70"/>
      <c r="K723" s="70"/>
      <c r="L723" s="70"/>
      <c r="M723" s="70"/>
      <c r="N723" s="70"/>
      <c r="O723" s="70"/>
      <c r="P723" s="70"/>
      <c r="Q723" s="70"/>
      <c r="R723" s="70"/>
      <c r="S723" s="85"/>
      <c r="T723" s="70"/>
      <c r="U723" s="70"/>
      <c r="V723" s="70"/>
      <c r="W723" s="70"/>
      <c r="X723" s="70"/>
      <c r="Y723" s="70"/>
      <c r="Z723" s="70"/>
      <c r="AA723" s="70"/>
      <c r="AB723" s="70"/>
      <c r="AC723" s="70"/>
      <c r="AD723" s="70"/>
      <c r="AE723" s="70"/>
      <c r="AF723" s="70"/>
      <c r="AG723" s="70"/>
      <c r="AH723" s="70"/>
      <c r="AI723" s="70"/>
    </row>
    <row r="724" spans="1:35" ht="15">
      <c r="A724" s="70"/>
      <c r="B724" s="70"/>
      <c r="C724" s="70"/>
      <c r="D724" s="77"/>
      <c r="E724" s="77"/>
      <c r="F724" s="84"/>
      <c r="G724" s="77"/>
      <c r="H724" s="84"/>
      <c r="I724" s="70"/>
      <c r="J724" s="70"/>
      <c r="K724" s="70"/>
      <c r="L724" s="70"/>
      <c r="M724" s="70"/>
      <c r="N724" s="70"/>
      <c r="O724" s="70"/>
      <c r="P724" s="70"/>
      <c r="Q724" s="70"/>
      <c r="R724" s="70"/>
      <c r="S724" s="85"/>
      <c r="T724" s="70"/>
      <c r="U724" s="70"/>
      <c r="V724" s="70"/>
      <c r="W724" s="70"/>
      <c r="X724" s="70"/>
      <c r="Y724" s="70"/>
      <c r="Z724" s="70"/>
      <c r="AA724" s="70"/>
      <c r="AB724" s="70"/>
      <c r="AC724" s="70"/>
      <c r="AD724" s="70"/>
      <c r="AE724" s="70"/>
      <c r="AF724" s="70"/>
      <c r="AG724" s="70"/>
      <c r="AH724" s="70"/>
      <c r="AI724" s="70"/>
    </row>
    <row r="725" spans="1:35" ht="15">
      <c r="A725" s="70"/>
      <c r="B725" s="70"/>
      <c r="C725" s="70"/>
      <c r="D725" s="77"/>
      <c r="E725" s="77"/>
      <c r="F725" s="84"/>
      <c r="G725" s="77"/>
      <c r="H725" s="84"/>
      <c r="I725" s="70"/>
      <c r="J725" s="70"/>
      <c r="K725" s="70"/>
      <c r="L725" s="70"/>
      <c r="M725" s="70"/>
      <c r="N725" s="70"/>
      <c r="O725" s="70"/>
      <c r="P725" s="70"/>
      <c r="Q725" s="70"/>
      <c r="R725" s="70"/>
      <c r="S725" s="85"/>
      <c r="T725" s="70"/>
      <c r="U725" s="70"/>
      <c r="V725" s="70"/>
      <c r="W725" s="70"/>
      <c r="X725" s="70"/>
      <c r="Y725" s="70"/>
      <c r="Z725" s="70"/>
      <c r="AA725" s="70"/>
      <c r="AB725" s="70"/>
      <c r="AC725" s="70"/>
      <c r="AD725" s="70"/>
      <c r="AE725" s="70"/>
      <c r="AF725" s="70"/>
      <c r="AG725" s="70"/>
      <c r="AH725" s="70"/>
      <c r="AI725" s="70"/>
    </row>
    <row r="726" spans="1:35" ht="15">
      <c r="A726" s="70"/>
      <c r="B726" s="70"/>
      <c r="C726" s="70"/>
      <c r="D726" s="77"/>
      <c r="E726" s="77"/>
      <c r="F726" s="84"/>
      <c r="G726" s="77"/>
      <c r="H726" s="84"/>
      <c r="I726" s="70"/>
      <c r="J726" s="70"/>
      <c r="K726" s="70"/>
      <c r="L726" s="70"/>
      <c r="M726" s="70"/>
      <c r="N726" s="70"/>
      <c r="O726" s="70"/>
      <c r="P726" s="70"/>
      <c r="Q726" s="70"/>
      <c r="R726" s="70"/>
      <c r="S726" s="85"/>
      <c r="T726" s="70"/>
      <c r="U726" s="70"/>
      <c r="V726" s="70"/>
      <c r="W726" s="70"/>
      <c r="X726" s="70"/>
      <c r="Y726" s="70"/>
      <c r="Z726" s="70"/>
      <c r="AA726" s="70"/>
      <c r="AB726" s="70"/>
      <c r="AC726" s="70"/>
      <c r="AD726" s="70"/>
      <c r="AE726" s="70"/>
      <c r="AF726" s="70"/>
      <c r="AG726" s="70"/>
      <c r="AH726" s="70"/>
      <c r="AI726" s="70"/>
    </row>
    <row r="727" spans="1:35" ht="15">
      <c r="A727" s="70"/>
      <c r="B727" s="70"/>
      <c r="C727" s="70"/>
      <c r="D727" s="77"/>
      <c r="E727" s="77"/>
      <c r="F727" s="84"/>
      <c r="G727" s="77"/>
      <c r="H727" s="84"/>
      <c r="I727" s="70"/>
      <c r="J727" s="70"/>
      <c r="K727" s="70"/>
      <c r="L727" s="70"/>
      <c r="M727" s="70"/>
      <c r="N727" s="70"/>
      <c r="O727" s="70"/>
      <c r="P727" s="70"/>
      <c r="Q727" s="70"/>
      <c r="R727" s="70"/>
      <c r="S727" s="85"/>
      <c r="T727" s="70"/>
      <c r="U727" s="70"/>
      <c r="V727" s="70"/>
      <c r="W727" s="70"/>
      <c r="X727" s="70"/>
      <c r="Y727" s="70"/>
      <c r="Z727" s="70"/>
      <c r="AA727" s="70"/>
      <c r="AB727" s="70"/>
      <c r="AC727" s="70"/>
      <c r="AD727" s="70"/>
      <c r="AE727" s="70"/>
      <c r="AF727" s="70"/>
      <c r="AG727" s="70"/>
      <c r="AH727" s="70"/>
      <c r="AI727" s="70"/>
    </row>
    <row r="728" spans="1:35" ht="15">
      <c r="A728" s="70"/>
      <c r="B728" s="70"/>
      <c r="C728" s="70"/>
      <c r="D728" s="77"/>
      <c r="E728" s="77"/>
      <c r="F728" s="84"/>
      <c r="G728" s="77"/>
      <c r="H728" s="84"/>
      <c r="I728" s="70"/>
      <c r="J728" s="70"/>
      <c r="K728" s="70"/>
      <c r="L728" s="70"/>
      <c r="M728" s="70"/>
      <c r="N728" s="70"/>
      <c r="O728" s="70"/>
      <c r="P728" s="70"/>
      <c r="Q728" s="70"/>
      <c r="R728" s="70"/>
      <c r="S728" s="85"/>
      <c r="T728" s="70"/>
      <c r="U728" s="70"/>
      <c r="V728" s="70"/>
      <c r="W728" s="70"/>
      <c r="X728" s="70"/>
      <c r="Y728" s="70"/>
      <c r="Z728" s="70"/>
      <c r="AA728" s="70"/>
      <c r="AB728" s="70"/>
      <c r="AC728" s="70"/>
      <c r="AD728" s="70"/>
      <c r="AE728" s="70"/>
      <c r="AF728" s="70"/>
      <c r="AG728" s="70"/>
      <c r="AH728" s="70"/>
      <c r="AI728" s="70"/>
    </row>
    <row r="729" spans="1:35" ht="15">
      <c r="A729" s="70"/>
      <c r="B729" s="70"/>
      <c r="C729" s="70"/>
      <c r="D729" s="77"/>
      <c r="E729" s="77"/>
      <c r="F729" s="84"/>
      <c r="G729" s="77"/>
      <c r="H729" s="84"/>
      <c r="I729" s="70"/>
      <c r="J729" s="70"/>
      <c r="K729" s="70"/>
      <c r="L729" s="70"/>
      <c r="M729" s="70"/>
      <c r="N729" s="70"/>
      <c r="O729" s="70"/>
      <c r="P729" s="70"/>
      <c r="Q729" s="70"/>
      <c r="R729" s="70"/>
      <c r="S729" s="85"/>
      <c r="T729" s="70"/>
      <c r="U729" s="70"/>
      <c r="V729" s="70"/>
      <c r="W729" s="70"/>
      <c r="X729" s="70"/>
      <c r="Y729" s="70"/>
      <c r="Z729" s="70"/>
      <c r="AA729" s="70"/>
      <c r="AB729" s="70"/>
      <c r="AC729" s="70"/>
      <c r="AD729" s="70"/>
      <c r="AE729" s="70"/>
      <c r="AF729" s="70"/>
      <c r="AG729" s="70"/>
      <c r="AH729" s="70"/>
      <c r="AI729" s="70"/>
    </row>
    <row r="730" spans="1:35" ht="15">
      <c r="A730" s="70"/>
      <c r="B730" s="70"/>
      <c r="C730" s="70"/>
      <c r="D730" s="77"/>
      <c r="E730" s="77"/>
      <c r="F730" s="84"/>
      <c r="G730" s="77"/>
      <c r="H730" s="84"/>
      <c r="I730" s="70"/>
      <c r="J730" s="70"/>
      <c r="K730" s="70"/>
      <c r="L730" s="70"/>
      <c r="M730" s="70"/>
      <c r="N730" s="70"/>
      <c r="O730" s="70"/>
      <c r="P730" s="70"/>
      <c r="Q730" s="70"/>
      <c r="R730" s="70"/>
      <c r="S730" s="85"/>
      <c r="T730" s="70"/>
      <c r="U730" s="70"/>
      <c r="V730" s="70"/>
      <c r="W730" s="70"/>
      <c r="X730" s="70"/>
      <c r="Y730" s="70"/>
      <c r="Z730" s="70"/>
      <c r="AA730" s="70"/>
      <c r="AB730" s="70"/>
      <c r="AC730" s="70"/>
      <c r="AD730" s="70"/>
      <c r="AE730" s="70"/>
      <c r="AF730" s="70"/>
      <c r="AG730" s="70"/>
      <c r="AH730" s="70"/>
      <c r="AI730" s="70"/>
    </row>
    <row r="731" spans="1:35" ht="15">
      <c r="A731" s="70"/>
      <c r="B731" s="70"/>
      <c r="C731" s="70"/>
      <c r="D731" s="77"/>
      <c r="E731" s="77"/>
      <c r="F731" s="84"/>
      <c r="G731" s="77"/>
      <c r="H731" s="84"/>
      <c r="I731" s="70"/>
      <c r="J731" s="70"/>
      <c r="K731" s="70"/>
      <c r="L731" s="70"/>
      <c r="M731" s="70"/>
      <c r="N731" s="70"/>
      <c r="O731" s="70"/>
      <c r="P731" s="70"/>
      <c r="Q731" s="70"/>
      <c r="R731" s="70"/>
      <c r="S731" s="85"/>
      <c r="T731" s="70"/>
      <c r="U731" s="70"/>
      <c r="V731" s="70"/>
      <c r="W731" s="70"/>
      <c r="X731" s="70"/>
      <c r="Y731" s="70"/>
      <c r="Z731" s="70"/>
      <c r="AA731" s="70"/>
      <c r="AB731" s="70"/>
      <c r="AC731" s="70"/>
      <c r="AD731" s="70"/>
      <c r="AE731" s="70"/>
      <c r="AF731" s="70"/>
      <c r="AG731" s="70"/>
      <c r="AH731" s="70"/>
      <c r="AI731" s="70"/>
    </row>
    <row r="732" spans="1:35" ht="15">
      <c r="A732" s="70"/>
      <c r="B732" s="70"/>
      <c r="C732" s="70"/>
      <c r="D732" s="77"/>
      <c r="E732" s="77"/>
      <c r="F732" s="84"/>
      <c r="G732" s="77"/>
      <c r="H732" s="84"/>
      <c r="I732" s="70"/>
      <c r="J732" s="70"/>
      <c r="K732" s="70"/>
      <c r="L732" s="70"/>
      <c r="M732" s="70"/>
      <c r="N732" s="70"/>
      <c r="O732" s="70"/>
      <c r="P732" s="70"/>
      <c r="Q732" s="70"/>
      <c r="R732" s="70"/>
      <c r="S732" s="85"/>
      <c r="T732" s="70"/>
      <c r="U732" s="70"/>
      <c r="V732" s="70"/>
      <c r="W732" s="70"/>
      <c r="X732" s="70"/>
      <c r="Y732" s="70"/>
      <c r="Z732" s="70"/>
      <c r="AA732" s="70"/>
      <c r="AB732" s="70"/>
      <c r="AC732" s="70"/>
      <c r="AD732" s="70"/>
      <c r="AE732" s="70"/>
      <c r="AF732" s="70"/>
      <c r="AG732" s="70"/>
      <c r="AH732" s="70"/>
      <c r="AI732" s="70"/>
    </row>
    <row r="733" spans="1:35" ht="15">
      <c r="A733" s="70"/>
      <c r="B733" s="70"/>
      <c r="C733" s="70"/>
      <c r="D733" s="77"/>
      <c r="E733" s="77"/>
      <c r="F733" s="84"/>
      <c r="G733" s="77"/>
      <c r="H733" s="84"/>
      <c r="I733" s="70"/>
      <c r="J733" s="70"/>
      <c r="K733" s="70"/>
      <c r="L733" s="70"/>
      <c r="M733" s="70"/>
      <c r="N733" s="70"/>
      <c r="O733" s="70"/>
      <c r="P733" s="70"/>
      <c r="Q733" s="70"/>
      <c r="R733" s="70"/>
      <c r="S733" s="85"/>
      <c r="T733" s="70"/>
      <c r="U733" s="70"/>
      <c r="V733" s="70"/>
      <c r="W733" s="70"/>
      <c r="X733" s="70"/>
      <c r="Y733" s="70"/>
      <c r="Z733" s="70"/>
      <c r="AA733" s="70"/>
      <c r="AB733" s="70"/>
      <c r="AC733" s="70"/>
      <c r="AD733" s="70"/>
      <c r="AE733" s="70"/>
      <c r="AF733" s="70"/>
      <c r="AG733" s="70"/>
      <c r="AH733" s="70"/>
      <c r="AI733" s="70"/>
    </row>
    <row r="734" spans="1:35" ht="15">
      <c r="A734" s="70"/>
      <c r="B734" s="70"/>
      <c r="C734" s="70"/>
      <c r="D734" s="77"/>
      <c r="E734" s="77"/>
      <c r="F734" s="84"/>
      <c r="G734" s="77"/>
      <c r="H734" s="84"/>
      <c r="I734" s="70"/>
      <c r="J734" s="70"/>
      <c r="K734" s="70"/>
      <c r="L734" s="70"/>
      <c r="M734" s="70"/>
      <c r="N734" s="70"/>
      <c r="O734" s="70"/>
      <c r="P734" s="70"/>
      <c r="Q734" s="70"/>
      <c r="R734" s="70"/>
      <c r="S734" s="85"/>
      <c r="T734" s="70"/>
      <c r="U734" s="70"/>
      <c r="V734" s="70"/>
      <c r="W734" s="70"/>
      <c r="X734" s="70"/>
      <c r="Y734" s="70"/>
      <c r="Z734" s="70"/>
      <c r="AA734" s="70"/>
      <c r="AB734" s="70"/>
      <c r="AC734" s="70"/>
      <c r="AD734" s="70"/>
      <c r="AE734" s="70"/>
      <c r="AF734" s="70"/>
      <c r="AG734" s="70"/>
      <c r="AH734" s="70"/>
      <c r="AI734" s="70"/>
    </row>
    <row r="735" spans="1:35" ht="15">
      <c r="A735" s="70"/>
      <c r="B735" s="70"/>
      <c r="C735" s="70"/>
      <c r="D735" s="77"/>
      <c r="E735" s="77"/>
      <c r="F735" s="84"/>
      <c r="G735" s="77"/>
      <c r="H735" s="84"/>
      <c r="I735" s="70"/>
      <c r="J735" s="70"/>
      <c r="K735" s="70"/>
      <c r="L735" s="70"/>
      <c r="M735" s="70"/>
      <c r="N735" s="70"/>
      <c r="O735" s="70"/>
      <c r="P735" s="70"/>
      <c r="Q735" s="70"/>
      <c r="R735" s="70"/>
      <c r="S735" s="85"/>
      <c r="T735" s="70"/>
      <c r="U735" s="70"/>
      <c r="V735" s="70"/>
      <c r="W735" s="70"/>
      <c r="X735" s="70"/>
      <c r="Y735" s="70"/>
      <c r="Z735" s="70"/>
      <c r="AA735" s="70"/>
      <c r="AB735" s="70"/>
      <c r="AC735" s="70"/>
      <c r="AD735" s="70"/>
      <c r="AE735" s="70"/>
      <c r="AF735" s="70"/>
      <c r="AG735" s="70"/>
      <c r="AH735" s="70"/>
      <c r="AI735" s="70"/>
    </row>
    <row r="736" spans="1:35" ht="15">
      <c r="A736" s="70"/>
      <c r="B736" s="70"/>
      <c r="C736" s="70"/>
      <c r="D736" s="77"/>
      <c r="E736" s="77"/>
      <c r="F736" s="84"/>
      <c r="G736" s="77"/>
      <c r="H736" s="84"/>
      <c r="I736" s="70"/>
      <c r="J736" s="70"/>
      <c r="K736" s="70"/>
      <c r="L736" s="70"/>
      <c r="M736" s="70"/>
      <c r="N736" s="70"/>
      <c r="O736" s="70"/>
      <c r="P736" s="70"/>
      <c r="Q736" s="70"/>
      <c r="R736" s="70"/>
      <c r="S736" s="85"/>
      <c r="T736" s="70"/>
      <c r="U736" s="70"/>
      <c r="V736" s="70"/>
      <c r="W736" s="70"/>
      <c r="X736" s="70"/>
      <c r="Y736" s="70"/>
      <c r="Z736" s="70"/>
      <c r="AA736" s="70"/>
      <c r="AB736" s="70"/>
      <c r="AC736" s="70"/>
      <c r="AD736" s="70"/>
      <c r="AE736" s="70"/>
      <c r="AF736" s="70"/>
      <c r="AG736" s="70"/>
      <c r="AH736" s="70"/>
      <c r="AI736" s="70"/>
    </row>
    <row r="737" spans="1:35" ht="15">
      <c r="A737" s="70"/>
      <c r="B737" s="70"/>
      <c r="C737" s="70"/>
      <c r="D737" s="77"/>
      <c r="E737" s="77"/>
      <c r="F737" s="84"/>
      <c r="G737" s="77"/>
      <c r="H737" s="84"/>
      <c r="I737" s="70"/>
      <c r="J737" s="70"/>
      <c r="K737" s="70"/>
      <c r="L737" s="70"/>
      <c r="M737" s="70"/>
      <c r="N737" s="70"/>
      <c r="O737" s="70"/>
      <c r="P737" s="70"/>
      <c r="Q737" s="70"/>
      <c r="R737" s="70"/>
      <c r="S737" s="85"/>
      <c r="T737" s="70"/>
      <c r="U737" s="70"/>
      <c r="V737" s="70"/>
      <c r="W737" s="70"/>
      <c r="X737" s="70"/>
      <c r="Y737" s="70"/>
      <c r="Z737" s="70"/>
      <c r="AA737" s="70"/>
      <c r="AB737" s="70"/>
      <c r="AC737" s="70"/>
      <c r="AD737" s="70"/>
      <c r="AE737" s="70"/>
      <c r="AF737" s="70"/>
      <c r="AG737" s="70"/>
      <c r="AH737" s="70"/>
      <c r="AI737" s="70"/>
    </row>
    <row r="738" spans="1:35" ht="15">
      <c r="A738" s="70"/>
      <c r="B738" s="70"/>
      <c r="C738" s="70"/>
      <c r="D738" s="77"/>
      <c r="E738" s="77"/>
      <c r="F738" s="84"/>
      <c r="G738" s="77"/>
      <c r="H738" s="84"/>
      <c r="I738" s="70"/>
      <c r="J738" s="70"/>
      <c r="K738" s="70"/>
      <c r="L738" s="70"/>
      <c r="M738" s="70"/>
      <c r="N738" s="70"/>
      <c r="O738" s="70"/>
      <c r="P738" s="70"/>
      <c r="Q738" s="70"/>
      <c r="R738" s="70"/>
      <c r="S738" s="85"/>
      <c r="T738" s="70"/>
      <c r="U738" s="70"/>
      <c r="V738" s="70"/>
      <c r="W738" s="70"/>
      <c r="X738" s="70"/>
      <c r="Y738" s="70"/>
      <c r="Z738" s="70"/>
      <c r="AA738" s="70"/>
      <c r="AB738" s="70"/>
      <c r="AC738" s="70"/>
      <c r="AD738" s="70"/>
      <c r="AE738" s="70"/>
      <c r="AF738" s="70"/>
      <c r="AG738" s="70"/>
      <c r="AH738" s="70"/>
      <c r="AI738" s="70"/>
    </row>
    <row r="739" spans="1:35" ht="15">
      <c r="A739" s="70"/>
      <c r="B739" s="70"/>
      <c r="C739" s="70"/>
      <c r="D739" s="77"/>
      <c r="E739" s="77"/>
      <c r="F739" s="84"/>
      <c r="G739" s="77"/>
      <c r="H739" s="84"/>
      <c r="I739" s="70"/>
      <c r="J739" s="70"/>
      <c r="K739" s="70"/>
      <c r="L739" s="70"/>
      <c r="M739" s="70"/>
      <c r="N739" s="70"/>
      <c r="O739" s="70"/>
      <c r="P739" s="70"/>
      <c r="Q739" s="70"/>
      <c r="R739" s="70"/>
      <c r="S739" s="85"/>
      <c r="T739" s="70"/>
      <c r="U739" s="70"/>
      <c r="V739" s="70"/>
      <c r="W739" s="70"/>
      <c r="X739" s="70"/>
      <c r="Y739" s="70"/>
      <c r="Z739" s="70"/>
      <c r="AA739" s="70"/>
      <c r="AB739" s="70"/>
      <c r="AC739" s="70"/>
      <c r="AD739" s="70"/>
      <c r="AE739" s="70"/>
      <c r="AF739" s="70"/>
      <c r="AG739" s="70"/>
      <c r="AH739" s="70"/>
      <c r="AI739" s="70"/>
    </row>
    <row r="740" spans="1:35" ht="15">
      <c r="A740" s="70"/>
      <c r="B740" s="70"/>
      <c r="C740" s="70"/>
      <c r="D740" s="77"/>
      <c r="E740" s="77"/>
      <c r="F740" s="84"/>
      <c r="G740" s="77"/>
      <c r="H740" s="84"/>
      <c r="I740" s="70"/>
      <c r="J740" s="70"/>
      <c r="K740" s="70"/>
      <c r="L740" s="70"/>
      <c r="M740" s="70"/>
      <c r="N740" s="70"/>
      <c r="O740" s="70"/>
      <c r="P740" s="70"/>
      <c r="Q740" s="70"/>
      <c r="R740" s="70"/>
      <c r="S740" s="85"/>
      <c r="T740" s="70"/>
      <c r="U740" s="70"/>
      <c r="V740" s="70"/>
      <c r="W740" s="70"/>
      <c r="X740" s="70"/>
      <c r="Y740" s="70"/>
      <c r="Z740" s="70"/>
      <c r="AA740" s="70"/>
      <c r="AB740" s="70"/>
      <c r="AC740" s="70"/>
      <c r="AD740" s="70"/>
      <c r="AE740" s="70"/>
      <c r="AF740" s="70"/>
      <c r="AG740" s="70"/>
      <c r="AH740" s="70"/>
      <c r="AI740" s="70"/>
    </row>
    <row r="741" spans="1:35" ht="15">
      <c r="A741" s="70"/>
      <c r="B741" s="70"/>
      <c r="C741" s="70"/>
      <c r="D741" s="77"/>
      <c r="E741" s="77"/>
      <c r="F741" s="84"/>
      <c r="G741" s="77"/>
      <c r="H741" s="84"/>
      <c r="I741" s="70"/>
      <c r="J741" s="70"/>
      <c r="K741" s="70"/>
      <c r="L741" s="70"/>
      <c r="M741" s="70"/>
      <c r="N741" s="70"/>
      <c r="O741" s="70"/>
      <c r="P741" s="70"/>
      <c r="Q741" s="70"/>
      <c r="R741" s="70"/>
      <c r="S741" s="85"/>
      <c r="T741" s="70"/>
      <c r="U741" s="70"/>
      <c r="V741" s="70"/>
      <c r="W741" s="70"/>
      <c r="X741" s="70"/>
      <c r="Y741" s="70"/>
      <c r="Z741" s="70"/>
      <c r="AA741" s="70"/>
      <c r="AB741" s="70"/>
      <c r="AC741" s="70"/>
      <c r="AD741" s="70"/>
      <c r="AE741" s="70"/>
      <c r="AF741" s="70"/>
      <c r="AG741" s="70"/>
      <c r="AH741" s="70"/>
      <c r="AI741" s="70"/>
    </row>
    <row r="742" spans="1:35" ht="15">
      <c r="A742" s="70"/>
      <c r="B742" s="70"/>
      <c r="C742" s="70"/>
      <c r="D742" s="77"/>
      <c r="E742" s="77"/>
      <c r="F742" s="84"/>
      <c r="G742" s="77"/>
      <c r="H742" s="84"/>
      <c r="I742" s="70"/>
      <c r="J742" s="70"/>
      <c r="K742" s="70"/>
      <c r="L742" s="70"/>
      <c r="M742" s="70"/>
      <c r="N742" s="70"/>
      <c r="O742" s="70"/>
      <c r="P742" s="70"/>
      <c r="Q742" s="70"/>
      <c r="R742" s="70"/>
      <c r="S742" s="85"/>
      <c r="T742" s="70"/>
      <c r="U742" s="70"/>
      <c r="V742" s="70"/>
      <c r="W742" s="70"/>
      <c r="X742" s="70"/>
      <c r="Y742" s="70"/>
      <c r="Z742" s="70"/>
      <c r="AA742" s="70"/>
      <c r="AB742" s="70"/>
      <c r="AC742" s="70"/>
      <c r="AD742" s="70"/>
      <c r="AE742" s="70"/>
      <c r="AF742" s="70"/>
      <c r="AG742" s="70"/>
      <c r="AH742" s="70"/>
      <c r="AI742" s="70"/>
    </row>
    <row r="743" spans="1:35" ht="15">
      <c r="A743" s="70"/>
      <c r="B743" s="70"/>
      <c r="C743" s="70"/>
      <c r="D743" s="77"/>
      <c r="E743" s="77"/>
      <c r="F743" s="84"/>
      <c r="G743" s="77"/>
      <c r="H743" s="84"/>
      <c r="I743" s="70"/>
      <c r="J743" s="70"/>
      <c r="K743" s="70"/>
      <c r="L743" s="70"/>
      <c r="M743" s="70"/>
      <c r="N743" s="70"/>
      <c r="O743" s="70"/>
      <c r="P743" s="70"/>
      <c r="Q743" s="70"/>
      <c r="R743" s="70"/>
      <c r="S743" s="85"/>
      <c r="T743" s="70"/>
      <c r="U743" s="70"/>
      <c r="V743" s="70"/>
      <c r="W743" s="70"/>
      <c r="X743" s="70"/>
      <c r="Y743" s="70"/>
      <c r="Z743" s="70"/>
      <c r="AA743" s="70"/>
      <c r="AB743" s="70"/>
      <c r="AC743" s="70"/>
      <c r="AD743" s="70"/>
      <c r="AE743" s="70"/>
      <c r="AF743" s="70"/>
      <c r="AG743" s="70"/>
      <c r="AH743" s="70"/>
      <c r="AI743" s="70"/>
    </row>
    <row r="744" spans="1:35" ht="15">
      <c r="A744" s="70"/>
      <c r="B744" s="70"/>
      <c r="C744" s="70"/>
      <c r="D744" s="77"/>
      <c r="E744" s="77"/>
      <c r="F744" s="84"/>
      <c r="G744" s="77"/>
      <c r="H744" s="84"/>
      <c r="I744" s="70"/>
      <c r="J744" s="70"/>
      <c r="K744" s="70"/>
      <c r="L744" s="70"/>
      <c r="M744" s="70"/>
      <c r="N744" s="70"/>
      <c r="O744" s="70"/>
      <c r="P744" s="70"/>
      <c r="Q744" s="70"/>
      <c r="R744" s="70"/>
      <c r="S744" s="85"/>
      <c r="T744" s="70"/>
      <c r="U744" s="70"/>
      <c r="V744" s="70"/>
      <c r="W744" s="70"/>
      <c r="X744" s="70"/>
      <c r="Y744" s="70"/>
      <c r="Z744" s="70"/>
      <c r="AA744" s="70"/>
      <c r="AB744" s="70"/>
      <c r="AC744" s="70"/>
      <c r="AD744" s="70"/>
      <c r="AE744" s="70"/>
      <c r="AF744" s="70"/>
      <c r="AG744" s="70"/>
      <c r="AH744" s="70"/>
      <c r="AI744" s="70"/>
    </row>
    <row r="745" spans="1:35" ht="15">
      <c r="A745" s="70"/>
      <c r="B745" s="70"/>
      <c r="C745" s="70"/>
      <c r="D745" s="77"/>
      <c r="E745" s="77"/>
      <c r="F745" s="84"/>
      <c r="G745" s="77"/>
      <c r="H745" s="84"/>
      <c r="I745" s="70"/>
      <c r="J745" s="70"/>
      <c r="K745" s="70"/>
      <c r="L745" s="70"/>
      <c r="M745" s="70"/>
      <c r="N745" s="70"/>
      <c r="O745" s="70"/>
      <c r="P745" s="70"/>
      <c r="Q745" s="70"/>
      <c r="R745" s="70"/>
      <c r="S745" s="85"/>
      <c r="T745" s="70"/>
      <c r="U745" s="70"/>
      <c r="V745" s="70"/>
      <c r="W745" s="70"/>
      <c r="X745" s="70"/>
      <c r="Y745" s="70"/>
      <c r="Z745" s="70"/>
      <c r="AA745" s="70"/>
      <c r="AB745" s="70"/>
      <c r="AC745" s="70"/>
      <c r="AD745" s="70"/>
      <c r="AE745" s="70"/>
      <c r="AF745" s="70"/>
      <c r="AG745" s="70"/>
      <c r="AH745" s="70"/>
      <c r="AI745" s="70"/>
    </row>
    <row r="746" spans="1:35" ht="15">
      <c r="A746" s="70"/>
      <c r="B746" s="70"/>
      <c r="C746" s="70"/>
      <c r="D746" s="77"/>
      <c r="E746" s="77"/>
      <c r="F746" s="84"/>
      <c r="G746" s="77"/>
      <c r="H746" s="84"/>
      <c r="I746" s="70"/>
      <c r="J746" s="70"/>
      <c r="K746" s="70"/>
      <c r="L746" s="70"/>
      <c r="M746" s="70"/>
      <c r="N746" s="70"/>
      <c r="O746" s="70"/>
      <c r="P746" s="70"/>
      <c r="Q746" s="70"/>
      <c r="R746" s="70"/>
      <c r="S746" s="85"/>
      <c r="T746" s="70"/>
      <c r="U746" s="70"/>
      <c r="V746" s="70"/>
      <c r="W746" s="70"/>
      <c r="X746" s="70"/>
      <c r="Y746" s="70"/>
      <c r="Z746" s="70"/>
      <c r="AA746" s="70"/>
      <c r="AB746" s="70"/>
      <c r="AC746" s="70"/>
      <c r="AD746" s="70"/>
      <c r="AE746" s="70"/>
      <c r="AF746" s="70"/>
      <c r="AG746" s="70"/>
      <c r="AH746" s="70"/>
      <c r="AI746" s="70"/>
    </row>
    <row r="747" spans="1:35" ht="15">
      <c r="A747" s="70"/>
      <c r="B747" s="70"/>
      <c r="C747" s="70"/>
      <c r="D747" s="77"/>
      <c r="E747" s="77"/>
      <c r="F747" s="84"/>
      <c r="G747" s="77"/>
      <c r="H747" s="84"/>
      <c r="I747" s="70"/>
      <c r="J747" s="70"/>
      <c r="K747" s="70"/>
      <c r="L747" s="70"/>
      <c r="M747" s="70"/>
      <c r="N747" s="70"/>
      <c r="O747" s="70"/>
      <c r="P747" s="70"/>
      <c r="Q747" s="70"/>
      <c r="R747" s="70"/>
      <c r="S747" s="85"/>
      <c r="T747" s="70"/>
      <c r="U747" s="70"/>
      <c r="V747" s="70"/>
      <c r="W747" s="70"/>
      <c r="X747" s="70"/>
      <c r="Y747" s="70"/>
      <c r="Z747" s="70"/>
      <c r="AA747" s="70"/>
      <c r="AB747" s="70"/>
      <c r="AC747" s="70"/>
      <c r="AD747" s="70"/>
      <c r="AE747" s="70"/>
      <c r="AF747" s="70"/>
      <c r="AG747" s="70"/>
      <c r="AH747" s="70"/>
      <c r="AI747" s="70"/>
    </row>
    <row r="748" spans="1:35" ht="15">
      <c r="A748" s="70"/>
      <c r="B748" s="70"/>
      <c r="C748" s="70"/>
      <c r="D748" s="77"/>
      <c r="E748" s="77"/>
      <c r="F748" s="84"/>
      <c r="G748" s="77"/>
      <c r="H748" s="84"/>
      <c r="I748" s="70"/>
      <c r="J748" s="70"/>
      <c r="K748" s="70"/>
      <c r="L748" s="70"/>
      <c r="M748" s="70"/>
      <c r="N748" s="70"/>
      <c r="O748" s="70"/>
      <c r="P748" s="70"/>
      <c r="Q748" s="70"/>
      <c r="R748" s="70"/>
      <c r="S748" s="85"/>
      <c r="T748" s="70"/>
      <c r="U748" s="70"/>
      <c r="V748" s="70"/>
      <c r="W748" s="70"/>
      <c r="X748" s="70"/>
      <c r="Y748" s="70"/>
      <c r="Z748" s="70"/>
      <c r="AA748" s="70"/>
      <c r="AB748" s="70"/>
      <c r="AC748" s="70"/>
      <c r="AD748" s="70"/>
      <c r="AE748" s="70"/>
      <c r="AF748" s="70"/>
      <c r="AG748" s="70"/>
      <c r="AH748" s="70"/>
      <c r="AI748" s="70"/>
    </row>
    <row r="749" spans="1:35" ht="15">
      <c r="A749" s="70"/>
      <c r="B749" s="70"/>
      <c r="C749" s="70"/>
      <c r="D749" s="77"/>
      <c r="E749" s="77"/>
      <c r="F749" s="84"/>
      <c r="G749" s="77"/>
      <c r="H749" s="84"/>
      <c r="I749" s="70"/>
      <c r="J749" s="70"/>
      <c r="K749" s="70"/>
      <c r="L749" s="70"/>
      <c r="M749" s="70"/>
      <c r="N749" s="70"/>
      <c r="O749" s="70"/>
      <c r="P749" s="70"/>
      <c r="Q749" s="70"/>
      <c r="R749" s="70"/>
      <c r="S749" s="85"/>
      <c r="T749" s="70"/>
      <c r="U749" s="70"/>
      <c r="V749" s="70"/>
      <c r="W749" s="70"/>
      <c r="X749" s="70"/>
      <c r="Y749" s="70"/>
      <c r="Z749" s="70"/>
      <c r="AA749" s="70"/>
      <c r="AB749" s="70"/>
      <c r="AC749" s="70"/>
      <c r="AD749" s="70"/>
      <c r="AE749" s="70"/>
      <c r="AF749" s="70"/>
      <c r="AG749" s="70"/>
      <c r="AH749" s="70"/>
      <c r="AI749" s="70"/>
    </row>
    <row r="750" spans="1:35" ht="15">
      <c r="A750" s="70"/>
      <c r="B750" s="70"/>
      <c r="C750" s="70"/>
      <c r="D750" s="77"/>
      <c r="E750" s="77"/>
      <c r="F750" s="84"/>
      <c r="G750" s="77"/>
      <c r="H750" s="84"/>
      <c r="I750" s="70"/>
      <c r="J750" s="70"/>
      <c r="K750" s="70"/>
      <c r="L750" s="70"/>
      <c r="M750" s="70"/>
      <c r="N750" s="70"/>
      <c r="O750" s="70"/>
      <c r="P750" s="70"/>
      <c r="Q750" s="70"/>
      <c r="R750" s="70"/>
      <c r="S750" s="85"/>
      <c r="T750" s="70"/>
      <c r="U750" s="70"/>
      <c r="V750" s="70"/>
      <c r="W750" s="70"/>
      <c r="X750" s="70"/>
      <c r="Y750" s="70"/>
      <c r="Z750" s="70"/>
      <c r="AA750" s="70"/>
      <c r="AB750" s="70"/>
      <c r="AC750" s="70"/>
      <c r="AD750" s="70"/>
      <c r="AE750" s="70"/>
      <c r="AF750" s="70"/>
      <c r="AG750" s="70"/>
      <c r="AH750" s="70"/>
      <c r="AI750" s="70"/>
    </row>
    <row r="751" spans="1:35" ht="15">
      <c r="A751" s="70"/>
      <c r="B751" s="70"/>
      <c r="C751" s="70"/>
      <c r="D751" s="77"/>
      <c r="E751" s="77"/>
      <c r="F751" s="84"/>
      <c r="G751" s="77"/>
      <c r="H751" s="84"/>
      <c r="I751" s="70"/>
      <c r="J751" s="70"/>
      <c r="K751" s="70"/>
      <c r="L751" s="70"/>
      <c r="M751" s="70"/>
      <c r="N751" s="70"/>
      <c r="O751" s="70"/>
      <c r="P751" s="70"/>
      <c r="Q751" s="70"/>
      <c r="R751" s="70"/>
      <c r="S751" s="85"/>
      <c r="T751" s="70"/>
      <c r="U751" s="70"/>
      <c r="V751" s="70"/>
      <c r="W751" s="70"/>
      <c r="X751" s="70"/>
      <c r="Y751" s="70"/>
      <c r="Z751" s="70"/>
      <c r="AA751" s="70"/>
      <c r="AB751" s="70"/>
      <c r="AC751" s="70"/>
      <c r="AD751" s="70"/>
      <c r="AE751" s="70"/>
      <c r="AF751" s="70"/>
      <c r="AG751" s="70"/>
      <c r="AH751" s="70"/>
      <c r="AI751" s="70"/>
    </row>
    <row r="752" spans="1:35" ht="15">
      <c r="A752" s="70"/>
      <c r="B752" s="70"/>
      <c r="C752" s="70"/>
      <c r="D752" s="77"/>
      <c r="E752" s="77"/>
      <c r="F752" s="84"/>
      <c r="G752" s="77"/>
      <c r="H752" s="84"/>
      <c r="I752" s="70"/>
      <c r="J752" s="70"/>
      <c r="K752" s="70"/>
      <c r="L752" s="70"/>
      <c r="M752" s="70"/>
      <c r="N752" s="70"/>
      <c r="O752" s="70"/>
      <c r="P752" s="70"/>
      <c r="Q752" s="70"/>
      <c r="R752" s="70"/>
      <c r="S752" s="85"/>
      <c r="T752" s="70"/>
      <c r="U752" s="70"/>
      <c r="V752" s="70"/>
      <c r="W752" s="70"/>
      <c r="X752" s="70"/>
      <c r="Y752" s="70"/>
      <c r="Z752" s="70"/>
      <c r="AA752" s="70"/>
      <c r="AB752" s="70"/>
      <c r="AC752" s="70"/>
      <c r="AD752" s="70"/>
      <c r="AE752" s="70"/>
      <c r="AF752" s="70"/>
      <c r="AG752" s="70"/>
      <c r="AH752" s="70"/>
      <c r="AI752" s="70"/>
    </row>
    <row r="753" spans="1:35" ht="15">
      <c r="A753" s="70"/>
      <c r="B753" s="70"/>
      <c r="C753" s="70"/>
      <c r="D753" s="77"/>
      <c r="E753" s="77"/>
      <c r="F753" s="84"/>
      <c r="G753" s="77"/>
      <c r="H753" s="84"/>
      <c r="I753" s="70"/>
      <c r="J753" s="70"/>
      <c r="K753" s="70"/>
      <c r="L753" s="70"/>
      <c r="M753" s="70"/>
      <c r="N753" s="70"/>
      <c r="O753" s="70"/>
      <c r="P753" s="70"/>
      <c r="Q753" s="70"/>
      <c r="R753" s="70"/>
      <c r="S753" s="85"/>
      <c r="T753" s="70"/>
      <c r="U753" s="70"/>
      <c r="V753" s="70"/>
      <c r="W753" s="70"/>
      <c r="X753" s="70"/>
      <c r="Y753" s="70"/>
      <c r="Z753" s="70"/>
      <c r="AA753" s="70"/>
      <c r="AB753" s="70"/>
      <c r="AC753" s="70"/>
      <c r="AD753" s="70"/>
      <c r="AE753" s="70"/>
      <c r="AF753" s="70"/>
      <c r="AG753" s="70"/>
      <c r="AH753" s="70"/>
      <c r="AI753" s="70"/>
    </row>
    <row r="754" spans="1:35" ht="15">
      <c r="A754" s="70"/>
      <c r="B754" s="70"/>
      <c r="C754" s="70"/>
      <c r="D754" s="77"/>
      <c r="E754" s="77"/>
      <c r="F754" s="84"/>
      <c r="G754" s="77"/>
      <c r="H754" s="84"/>
      <c r="I754" s="70"/>
      <c r="J754" s="70"/>
      <c r="K754" s="70"/>
      <c r="L754" s="70"/>
      <c r="M754" s="70"/>
      <c r="N754" s="70"/>
      <c r="O754" s="70"/>
      <c r="P754" s="70"/>
      <c r="Q754" s="70"/>
      <c r="R754" s="70"/>
      <c r="S754" s="85"/>
      <c r="T754" s="70"/>
      <c r="U754" s="70"/>
      <c r="V754" s="70"/>
      <c r="W754" s="70"/>
      <c r="X754" s="70"/>
      <c r="Y754" s="70"/>
      <c r="Z754" s="70"/>
      <c r="AA754" s="70"/>
      <c r="AB754" s="70"/>
      <c r="AC754" s="70"/>
      <c r="AD754" s="70"/>
      <c r="AE754" s="70"/>
      <c r="AF754" s="70"/>
      <c r="AG754" s="70"/>
      <c r="AH754" s="70"/>
      <c r="AI754" s="70"/>
    </row>
    <row r="755" spans="1:35" ht="15">
      <c r="A755" s="70"/>
      <c r="B755" s="70"/>
      <c r="C755" s="70"/>
      <c r="D755" s="77"/>
      <c r="E755" s="77"/>
      <c r="F755" s="84"/>
      <c r="G755" s="77"/>
      <c r="H755" s="84"/>
      <c r="I755" s="70"/>
      <c r="J755" s="70"/>
      <c r="K755" s="70"/>
      <c r="L755" s="70"/>
      <c r="M755" s="70"/>
      <c r="N755" s="70"/>
      <c r="O755" s="70"/>
      <c r="P755" s="70"/>
      <c r="Q755" s="70"/>
      <c r="R755" s="70"/>
      <c r="S755" s="85"/>
      <c r="T755" s="70"/>
      <c r="U755" s="70"/>
      <c r="V755" s="70"/>
      <c r="W755" s="70"/>
      <c r="X755" s="70"/>
      <c r="Y755" s="70"/>
      <c r="Z755" s="70"/>
      <c r="AA755" s="70"/>
      <c r="AB755" s="70"/>
      <c r="AC755" s="70"/>
      <c r="AD755" s="70"/>
      <c r="AE755" s="70"/>
      <c r="AF755" s="70"/>
      <c r="AG755" s="70"/>
      <c r="AH755" s="70"/>
      <c r="AI755" s="70"/>
    </row>
    <row r="756" spans="1:35" ht="15">
      <c r="A756" s="70"/>
      <c r="B756" s="70"/>
      <c r="C756" s="70"/>
      <c r="D756" s="77"/>
      <c r="E756" s="77"/>
      <c r="F756" s="84"/>
      <c r="G756" s="77"/>
      <c r="H756" s="84"/>
      <c r="I756" s="70"/>
      <c r="J756" s="70"/>
      <c r="K756" s="70"/>
      <c r="L756" s="70"/>
      <c r="M756" s="70"/>
      <c r="N756" s="70"/>
      <c r="O756" s="70"/>
      <c r="P756" s="70"/>
      <c r="Q756" s="70"/>
      <c r="R756" s="70"/>
      <c r="S756" s="85"/>
      <c r="T756" s="70"/>
      <c r="U756" s="70"/>
      <c r="V756" s="70"/>
      <c r="W756" s="70"/>
      <c r="X756" s="70"/>
      <c r="Y756" s="70"/>
      <c r="Z756" s="70"/>
      <c r="AA756" s="70"/>
      <c r="AB756" s="70"/>
      <c r="AC756" s="70"/>
      <c r="AD756" s="70"/>
      <c r="AE756" s="70"/>
      <c r="AF756" s="70"/>
      <c r="AG756" s="70"/>
      <c r="AH756" s="70"/>
      <c r="AI756" s="70"/>
    </row>
    <row r="757" spans="1:35" ht="15">
      <c r="A757" s="70"/>
      <c r="B757" s="70"/>
      <c r="C757" s="70"/>
      <c r="D757" s="77"/>
      <c r="E757" s="77"/>
      <c r="F757" s="84"/>
      <c r="G757" s="77"/>
      <c r="H757" s="84"/>
      <c r="I757" s="70"/>
      <c r="J757" s="70"/>
      <c r="K757" s="70"/>
      <c r="L757" s="70"/>
      <c r="M757" s="70"/>
      <c r="N757" s="70"/>
      <c r="O757" s="70"/>
      <c r="P757" s="70"/>
      <c r="Q757" s="70"/>
      <c r="R757" s="70"/>
      <c r="S757" s="85"/>
      <c r="T757" s="70"/>
      <c r="U757" s="70"/>
      <c r="V757" s="70"/>
      <c r="W757" s="70"/>
      <c r="X757" s="70"/>
      <c r="Y757" s="70"/>
      <c r="Z757" s="70"/>
      <c r="AA757" s="70"/>
      <c r="AB757" s="70"/>
      <c r="AC757" s="70"/>
      <c r="AD757" s="70"/>
      <c r="AE757" s="70"/>
      <c r="AF757" s="70"/>
      <c r="AG757" s="70"/>
      <c r="AH757" s="70"/>
      <c r="AI757" s="70"/>
    </row>
    <row r="758" spans="1:35" ht="15">
      <c r="A758" s="70"/>
      <c r="B758" s="70"/>
      <c r="C758" s="70"/>
      <c r="D758" s="77"/>
      <c r="E758" s="77"/>
      <c r="F758" s="84"/>
      <c r="G758" s="77"/>
      <c r="H758" s="84"/>
      <c r="I758" s="70"/>
      <c r="J758" s="70"/>
      <c r="K758" s="70"/>
      <c r="L758" s="70"/>
      <c r="M758" s="70"/>
      <c r="N758" s="70"/>
      <c r="O758" s="70"/>
      <c r="P758" s="70"/>
      <c r="Q758" s="70"/>
      <c r="R758" s="70"/>
      <c r="S758" s="85"/>
      <c r="T758" s="70"/>
      <c r="U758" s="70"/>
      <c r="V758" s="70"/>
      <c r="W758" s="70"/>
      <c r="X758" s="70"/>
      <c r="Y758" s="70"/>
      <c r="Z758" s="70"/>
      <c r="AA758" s="70"/>
      <c r="AB758" s="70"/>
      <c r="AC758" s="70"/>
      <c r="AD758" s="70"/>
      <c r="AE758" s="70"/>
      <c r="AF758" s="70"/>
      <c r="AG758" s="70"/>
      <c r="AH758" s="70"/>
      <c r="AI758" s="70"/>
    </row>
    <row r="759" spans="1:35" ht="15">
      <c r="A759" s="70"/>
      <c r="B759" s="70"/>
      <c r="C759" s="70"/>
      <c r="D759" s="77"/>
      <c r="E759" s="77"/>
      <c r="F759" s="84"/>
      <c r="G759" s="77"/>
      <c r="H759" s="84"/>
      <c r="I759" s="70"/>
      <c r="J759" s="70"/>
      <c r="K759" s="70"/>
      <c r="L759" s="70"/>
      <c r="M759" s="70"/>
      <c r="N759" s="70"/>
      <c r="O759" s="70"/>
      <c r="P759" s="70"/>
      <c r="Q759" s="70"/>
      <c r="R759" s="70"/>
      <c r="S759" s="85"/>
      <c r="T759" s="70"/>
      <c r="U759" s="70"/>
      <c r="V759" s="70"/>
      <c r="W759" s="70"/>
      <c r="X759" s="70"/>
      <c r="Y759" s="70"/>
      <c r="Z759" s="70"/>
      <c r="AA759" s="70"/>
      <c r="AB759" s="70"/>
      <c r="AC759" s="70"/>
      <c r="AD759" s="70"/>
      <c r="AE759" s="70"/>
      <c r="AF759" s="70"/>
      <c r="AG759" s="70"/>
      <c r="AH759" s="70"/>
      <c r="AI759" s="70"/>
    </row>
    <row r="760" spans="1:35" ht="15">
      <c r="A760" s="70"/>
      <c r="B760" s="70"/>
      <c r="C760" s="70"/>
      <c r="D760" s="77"/>
      <c r="E760" s="77"/>
      <c r="F760" s="84"/>
      <c r="G760" s="77"/>
      <c r="H760" s="84"/>
      <c r="I760" s="70"/>
      <c r="J760" s="70"/>
      <c r="K760" s="70"/>
      <c r="L760" s="70"/>
      <c r="M760" s="70"/>
      <c r="N760" s="70"/>
      <c r="O760" s="70"/>
      <c r="P760" s="70"/>
      <c r="Q760" s="70"/>
      <c r="R760" s="70"/>
      <c r="S760" s="85"/>
      <c r="T760" s="70"/>
      <c r="U760" s="70"/>
      <c r="V760" s="70"/>
      <c r="W760" s="70"/>
      <c r="X760" s="70"/>
      <c r="Y760" s="70"/>
      <c r="Z760" s="70"/>
      <c r="AA760" s="70"/>
      <c r="AB760" s="70"/>
      <c r="AC760" s="70"/>
      <c r="AD760" s="70"/>
      <c r="AE760" s="70"/>
      <c r="AF760" s="70"/>
      <c r="AG760" s="70"/>
      <c r="AH760" s="70"/>
      <c r="AI760" s="70"/>
    </row>
    <row r="761" spans="1:35" ht="15">
      <c r="A761" s="70"/>
      <c r="B761" s="70"/>
      <c r="C761" s="70"/>
      <c r="D761" s="77"/>
      <c r="E761" s="77"/>
      <c r="F761" s="84"/>
      <c r="G761" s="77"/>
      <c r="H761" s="84"/>
      <c r="I761" s="70"/>
      <c r="J761" s="70"/>
      <c r="K761" s="70"/>
      <c r="L761" s="70"/>
      <c r="M761" s="70"/>
      <c r="N761" s="70"/>
      <c r="O761" s="70"/>
      <c r="P761" s="70"/>
      <c r="Q761" s="70"/>
      <c r="R761" s="70"/>
      <c r="S761" s="85"/>
      <c r="T761" s="70"/>
      <c r="U761" s="70"/>
      <c r="V761" s="70"/>
      <c r="W761" s="70"/>
      <c r="X761" s="70"/>
      <c r="Y761" s="70"/>
      <c r="Z761" s="70"/>
      <c r="AA761" s="70"/>
      <c r="AB761" s="70"/>
      <c r="AC761" s="70"/>
      <c r="AD761" s="70"/>
      <c r="AE761" s="70"/>
      <c r="AF761" s="70"/>
      <c r="AG761" s="70"/>
      <c r="AH761" s="70"/>
      <c r="AI761" s="70"/>
    </row>
    <row r="762" spans="1:35" ht="15">
      <c r="A762" s="70"/>
      <c r="B762" s="70"/>
      <c r="C762" s="70"/>
      <c r="D762" s="77"/>
      <c r="E762" s="77"/>
      <c r="F762" s="84"/>
      <c r="G762" s="77"/>
      <c r="H762" s="84"/>
      <c r="I762" s="70"/>
      <c r="J762" s="70"/>
      <c r="K762" s="70"/>
      <c r="L762" s="70"/>
      <c r="M762" s="70"/>
      <c r="N762" s="70"/>
      <c r="O762" s="70"/>
      <c r="P762" s="70"/>
      <c r="Q762" s="70"/>
      <c r="R762" s="70"/>
      <c r="S762" s="85"/>
      <c r="T762" s="70"/>
      <c r="U762" s="70"/>
      <c r="V762" s="70"/>
      <c r="W762" s="70"/>
      <c r="X762" s="70"/>
      <c r="Y762" s="70"/>
      <c r="Z762" s="70"/>
      <c r="AA762" s="70"/>
      <c r="AB762" s="70"/>
      <c r="AC762" s="70"/>
      <c r="AD762" s="70"/>
      <c r="AE762" s="70"/>
      <c r="AF762" s="70"/>
      <c r="AG762" s="70"/>
      <c r="AH762" s="70"/>
      <c r="AI762" s="70"/>
    </row>
    <row r="763" spans="1:35" ht="15">
      <c r="A763" s="70"/>
      <c r="B763" s="70"/>
      <c r="C763" s="70"/>
      <c r="D763" s="77"/>
      <c r="E763" s="77"/>
      <c r="F763" s="84"/>
      <c r="G763" s="77"/>
      <c r="H763" s="84"/>
      <c r="I763" s="70"/>
      <c r="J763" s="70"/>
      <c r="K763" s="70"/>
      <c r="L763" s="70"/>
      <c r="M763" s="70"/>
      <c r="N763" s="70"/>
      <c r="O763" s="70"/>
      <c r="P763" s="70"/>
      <c r="Q763" s="70"/>
      <c r="R763" s="70"/>
      <c r="S763" s="85"/>
      <c r="T763" s="70"/>
      <c r="U763" s="70"/>
      <c r="V763" s="70"/>
      <c r="W763" s="70"/>
      <c r="X763" s="70"/>
      <c r="Y763" s="70"/>
      <c r="Z763" s="70"/>
      <c r="AA763" s="70"/>
      <c r="AB763" s="70"/>
      <c r="AC763" s="70"/>
      <c r="AD763" s="70"/>
      <c r="AE763" s="70"/>
      <c r="AF763" s="70"/>
      <c r="AG763" s="70"/>
      <c r="AH763" s="70"/>
      <c r="AI763" s="70"/>
    </row>
    <row r="764" spans="1:35" ht="15">
      <c r="A764" s="70"/>
      <c r="B764" s="70"/>
      <c r="C764" s="70"/>
      <c r="D764" s="77"/>
      <c r="E764" s="77"/>
      <c r="F764" s="84"/>
      <c r="G764" s="77"/>
      <c r="H764" s="84"/>
      <c r="I764" s="70"/>
      <c r="J764" s="70"/>
      <c r="K764" s="70"/>
      <c r="L764" s="70"/>
      <c r="M764" s="70"/>
      <c r="N764" s="70"/>
      <c r="O764" s="70"/>
      <c r="P764" s="70"/>
      <c r="Q764" s="70"/>
      <c r="R764" s="70"/>
      <c r="S764" s="85"/>
      <c r="T764" s="70"/>
      <c r="U764" s="70"/>
      <c r="V764" s="70"/>
      <c r="W764" s="70"/>
      <c r="X764" s="70"/>
      <c r="Y764" s="70"/>
      <c r="Z764" s="70"/>
      <c r="AA764" s="70"/>
      <c r="AB764" s="70"/>
      <c r="AC764" s="70"/>
      <c r="AD764" s="70"/>
      <c r="AE764" s="70"/>
      <c r="AF764" s="70"/>
      <c r="AG764" s="70"/>
      <c r="AH764" s="70"/>
      <c r="AI764" s="70"/>
    </row>
    <row r="765" spans="1:35" ht="15">
      <c r="A765" s="70"/>
      <c r="B765" s="70"/>
      <c r="C765" s="70"/>
      <c r="D765" s="77"/>
      <c r="E765" s="77"/>
      <c r="F765" s="84"/>
      <c r="G765" s="77"/>
      <c r="H765" s="84"/>
      <c r="I765" s="70"/>
      <c r="J765" s="70"/>
      <c r="K765" s="70"/>
      <c r="L765" s="70"/>
      <c r="M765" s="70"/>
      <c r="N765" s="70"/>
      <c r="O765" s="70"/>
      <c r="P765" s="70"/>
      <c r="Q765" s="70"/>
      <c r="R765" s="70"/>
      <c r="S765" s="85"/>
      <c r="T765" s="70"/>
      <c r="U765" s="70"/>
      <c r="V765" s="70"/>
      <c r="W765" s="70"/>
      <c r="X765" s="70"/>
      <c r="Y765" s="70"/>
      <c r="Z765" s="70"/>
      <c r="AA765" s="70"/>
      <c r="AB765" s="70"/>
      <c r="AC765" s="70"/>
      <c r="AD765" s="70"/>
      <c r="AE765" s="70"/>
      <c r="AF765" s="70"/>
      <c r="AG765" s="70"/>
      <c r="AH765" s="70"/>
      <c r="AI765" s="70"/>
    </row>
    <row r="766" spans="1:35" ht="15">
      <c r="A766" s="70"/>
      <c r="B766" s="70"/>
      <c r="C766" s="70"/>
      <c r="D766" s="77"/>
      <c r="E766" s="77"/>
      <c r="F766" s="84"/>
      <c r="G766" s="77"/>
      <c r="H766" s="84"/>
      <c r="I766" s="70"/>
      <c r="J766" s="70"/>
      <c r="K766" s="70"/>
      <c r="L766" s="70"/>
      <c r="M766" s="70"/>
      <c r="N766" s="70"/>
      <c r="O766" s="70"/>
      <c r="P766" s="70"/>
      <c r="Q766" s="70"/>
      <c r="R766" s="70"/>
      <c r="S766" s="85"/>
      <c r="T766" s="70"/>
      <c r="U766" s="70"/>
      <c r="V766" s="70"/>
      <c r="W766" s="70"/>
      <c r="X766" s="70"/>
      <c r="Y766" s="70"/>
      <c r="Z766" s="70"/>
      <c r="AA766" s="70"/>
      <c r="AB766" s="70"/>
      <c r="AC766" s="70"/>
      <c r="AD766" s="70"/>
      <c r="AE766" s="70"/>
      <c r="AF766" s="70"/>
      <c r="AG766" s="70"/>
      <c r="AH766" s="70"/>
      <c r="AI766" s="70"/>
    </row>
    <row r="767" spans="1:35" ht="15">
      <c r="A767" s="70"/>
      <c r="B767" s="70"/>
      <c r="C767" s="70"/>
      <c r="D767" s="77"/>
      <c r="E767" s="77"/>
      <c r="F767" s="84"/>
      <c r="G767" s="77"/>
      <c r="H767" s="84"/>
      <c r="I767" s="70"/>
      <c r="J767" s="70"/>
      <c r="K767" s="70"/>
      <c r="L767" s="70"/>
      <c r="M767" s="70"/>
      <c r="N767" s="70"/>
      <c r="O767" s="70"/>
      <c r="P767" s="70"/>
      <c r="Q767" s="70"/>
      <c r="R767" s="70"/>
      <c r="S767" s="85"/>
      <c r="T767" s="70"/>
      <c r="U767" s="70"/>
      <c r="V767" s="70"/>
      <c r="W767" s="70"/>
      <c r="X767" s="70"/>
      <c r="Y767" s="70"/>
      <c r="Z767" s="70"/>
      <c r="AA767" s="70"/>
      <c r="AB767" s="70"/>
      <c r="AC767" s="70"/>
      <c r="AD767" s="70"/>
      <c r="AE767" s="70"/>
      <c r="AF767" s="70"/>
      <c r="AG767" s="70"/>
      <c r="AH767" s="70"/>
      <c r="AI767" s="70"/>
    </row>
    <row r="768" spans="1:35" ht="15">
      <c r="A768" s="70"/>
      <c r="B768" s="70"/>
      <c r="C768" s="70"/>
      <c r="D768" s="77"/>
      <c r="E768" s="77"/>
      <c r="F768" s="84"/>
      <c r="G768" s="77"/>
      <c r="H768" s="84"/>
      <c r="I768" s="70"/>
      <c r="J768" s="70"/>
      <c r="K768" s="70"/>
      <c r="L768" s="70"/>
      <c r="M768" s="70"/>
      <c r="N768" s="70"/>
      <c r="O768" s="70"/>
      <c r="P768" s="70"/>
      <c r="Q768" s="70"/>
      <c r="R768" s="70"/>
      <c r="S768" s="85"/>
      <c r="T768" s="70"/>
      <c r="U768" s="70"/>
      <c r="V768" s="70"/>
      <c r="W768" s="70"/>
      <c r="X768" s="70"/>
      <c r="Y768" s="70"/>
      <c r="Z768" s="70"/>
      <c r="AA768" s="70"/>
      <c r="AB768" s="70"/>
      <c r="AC768" s="70"/>
      <c r="AD768" s="70"/>
      <c r="AE768" s="70"/>
      <c r="AF768" s="70"/>
      <c r="AG768" s="70"/>
      <c r="AH768" s="70"/>
      <c r="AI768" s="70"/>
    </row>
    <row r="769" spans="1:35" ht="15">
      <c r="A769" s="70"/>
      <c r="B769" s="70"/>
      <c r="C769" s="70"/>
      <c r="D769" s="77"/>
      <c r="E769" s="77"/>
      <c r="F769" s="84"/>
      <c r="G769" s="77"/>
      <c r="H769" s="84"/>
      <c r="I769" s="70"/>
      <c r="J769" s="70"/>
      <c r="K769" s="70"/>
      <c r="L769" s="70"/>
      <c r="M769" s="70"/>
      <c r="N769" s="70"/>
      <c r="O769" s="70"/>
      <c r="P769" s="70"/>
      <c r="Q769" s="70"/>
      <c r="R769" s="70"/>
      <c r="S769" s="85"/>
      <c r="T769" s="70"/>
      <c r="U769" s="70"/>
      <c r="V769" s="70"/>
      <c r="W769" s="70"/>
      <c r="X769" s="70"/>
      <c r="Y769" s="70"/>
      <c r="Z769" s="70"/>
      <c r="AA769" s="70"/>
      <c r="AB769" s="70"/>
      <c r="AC769" s="70"/>
      <c r="AD769" s="70"/>
      <c r="AE769" s="70"/>
      <c r="AF769" s="70"/>
      <c r="AG769" s="70"/>
      <c r="AH769" s="70"/>
      <c r="AI769" s="70"/>
    </row>
    <row r="770" spans="1:35" ht="15">
      <c r="A770" s="70"/>
      <c r="B770" s="70"/>
      <c r="C770" s="70"/>
      <c r="D770" s="77"/>
      <c r="E770" s="77"/>
      <c r="F770" s="84"/>
      <c r="G770" s="77"/>
      <c r="H770" s="84"/>
      <c r="I770" s="70"/>
      <c r="J770" s="70"/>
      <c r="K770" s="70"/>
      <c r="L770" s="70"/>
      <c r="M770" s="70"/>
      <c r="N770" s="70"/>
      <c r="O770" s="70"/>
      <c r="P770" s="70"/>
      <c r="Q770" s="70"/>
      <c r="R770" s="70"/>
      <c r="S770" s="85"/>
      <c r="T770" s="70"/>
      <c r="U770" s="70"/>
      <c r="V770" s="70"/>
      <c r="W770" s="70"/>
      <c r="X770" s="70"/>
      <c r="Y770" s="70"/>
      <c r="Z770" s="70"/>
      <c r="AA770" s="70"/>
      <c r="AB770" s="70"/>
      <c r="AC770" s="70"/>
      <c r="AD770" s="70"/>
      <c r="AE770" s="70"/>
      <c r="AF770" s="70"/>
      <c r="AG770" s="70"/>
      <c r="AH770" s="70"/>
      <c r="AI770" s="70"/>
    </row>
    <row r="771" spans="1:35" ht="15">
      <c r="A771" s="70"/>
      <c r="B771" s="70"/>
      <c r="C771" s="70"/>
      <c r="D771" s="77"/>
      <c r="E771" s="77"/>
      <c r="F771" s="84"/>
      <c r="G771" s="77"/>
      <c r="H771" s="84"/>
      <c r="I771" s="70"/>
      <c r="J771" s="70"/>
      <c r="K771" s="70"/>
      <c r="L771" s="70"/>
      <c r="M771" s="70"/>
      <c r="N771" s="70"/>
      <c r="O771" s="70"/>
      <c r="P771" s="70"/>
      <c r="Q771" s="70"/>
      <c r="R771" s="70"/>
      <c r="S771" s="85"/>
      <c r="T771" s="70"/>
      <c r="U771" s="70"/>
      <c r="V771" s="70"/>
      <c r="W771" s="70"/>
      <c r="X771" s="70"/>
      <c r="Y771" s="70"/>
      <c r="Z771" s="70"/>
      <c r="AA771" s="70"/>
      <c r="AB771" s="70"/>
      <c r="AC771" s="70"/>
      <c r="AD771" s="70"/>
      <c r="AE771" s="70"/>
      <c r="AF771" s="70"/>
      <c r="AG771" s="70"/>
      <c r="AH771" s="70"/>
      <c r="AI771" s="70"/>
    </row>
    <row r="772" spans="1:35" ht="15">
      <c r="A772" s="70"/>
      <c r="B772" s="70"/>
      <c r="C772" s="70"/>
      <c r="D772" s="77"/>
      <c r="E772" s="77"/>
      <c r="F772" s="84"/>
      <c r="G772" s="77"/>
      <c r="H772" s="84"/>
      <c r="I772" s="70"/>
      <c r="J772" s="70"/>
      <c r="K772" s="70"/>
      <c r="L772" s="70"/>
      <c r="M772" s="70"/>
      <c r="N772" s="70"/>
      <c r="O772" s="70"/>
      <c r="P772" s="70"/>
      <c r="Q772" s="70"/>
      <c r="R772" s="70"/>
      <c r="S772" s="85"/>
      <c r="T772" s="70"/>
      <c r="U772" s="70"/>
      <c r="V772" s="70"/>
      <c r="W772" s="70"/>
      <c r="X772" s="70"/>
      <c r="Y772" s="70"/>
      <c r="Z772" s="70"/>
      <c r="AA772" s="70"/>
      <c r="AB772" s="70"/>
      <c r="AC772" s="70"/>
      <c r="AD772" s="70"/>
      <c r="AE772" s="70"/>
      <c r="AF772" s="70"/>
      <c r="AG772" s="70"/>
      <c r="AH772" s="70"/>
      <c r="AI772" s="70"/>
    </row>
    <row r="773" spans="1:35" ht="15">
      <c r="A773" s="70"/>
      <c r="B773" s="70"/>
      <c r="C773" s="70"/>
      <c r="D773" s="77"/>
      <c r="E773" s="77"/>
      <c r="F773" s="84"/>
      <c r="G773" s="77"/>
      <c r="H773" s="84"/>
      <c r="I773" s="70"/>
      <c r="J773" s="70"/>
      <c r="K773" s="70"/>
      <c r="L773" s="70"/>
      <c r="M773" s="70"/>
      <c r="N773" s="70"/>
      <c r="O773" s="70"/>
      <c r="P773" s="70"/>
      <c r="Q773" s="70"/>
      <c r="R773" s="70"/>
      <c r="S773" s="85"/>
      <c r="T773" s="70"/>
      <c r="U773" s="70"/>
      <c r="V773" s="70"/>
      <c r="W773" s="70"/>
      <c r="X773" s="70"/>
      <c r="Y773" s="70"/>
      <c r="Z773" s="70"/>
      <c r="AA773" s="70"/>
      <c r="AB773" s="70"/>
      <c r="AC773" s="70"/>
      <c r="AD773" s="70"/>
      <c r="AE773" s="70"/>
      <c r="AF773" s="70"/>
      <c r="AG773" s="70"/>
      <c r="AH773" s="70"/>
      <c r="AI773" s="70"/>
    </row>
    <row r="774" spans="1:35" ht="15">
      <c r="A774" s="70"/>
      <c r="B774" s="70"/>
      <c r="C774" s="70"/>
      <c r="D774" s="77"/>
      <c r="E774" s="77"/>
      <c r="F774" s="84"/>
      <c r="G774" s="77"/>
      <c r="H774" s="84"/>
      <c r="I774" s="70"/>
      <c r="J774" s="70"/>
      <c r="K774" s="70"/>
      <c r="L774" s="70"/>
      <c r="M774" s="70"/>
      <c r="N774" s="70"/>
      <c r="O774" s="70"/>
      <c r="P774" s="70"/>
      <c r="Q774" s="70"/>
      <c r="R774" s="70"/>
      <c r="S774" s="85"/>
      <c r="T774" s="70"/>
      <c r="U774" s="70"/>
      <c r="V774" s="70"/>
      <c r="W774" s="70"/>
      <c r="X774" s="70"/>
      <c r="Y774" s="70"/>
      <c r="Z774" s="70"/>
      <c r="AA774" s="70"/>
      <c r="AB774" s="70"/>
      <c r="AC774" s="70"/>
      <c r="AD774" s="70"/>
      <c r="AE774" s="70"/>
      <c r="AF774" s="70"/>
      <c r="AG774" s="70"/>
      <c r="AH774" s="70"/>
      <c r="AI774" s="70"/>
    </row>
    <row r="775" spans="1:35" ht="15">
      <c r="A775" s="70"/>
      <c r="B775" s="70"/>
      <c r="C775" s="70"/>
      <c r="D775" s="77"/>
      <c r="E775" s="77"/>
      <c r="F775" s="84"/>
      <c r="G775" s="77"/>
      <c r="H775" s="84"/>
      <c r="I775" s="70"/>
      <c r="J775" s="70"/>
      <c r="K775" s="70"/>
      <c r="L775" s="70"/>
      <c r="M775" s="70"/>
      <c r="N775" s="70"/>
      <c r="O775" s="70"/>
      <c r="P775" s="70"/>
      <c r="Q775" s="70"/>
      <c r="R775" s="70"/>
      <c r="S775" s="85"/>
      <c r="T775" s="70"/>
      <c r="U775" s="70"/>
      <c r="V775" s="70"/>
      <c r="W775" s="70"/>
      <c r="X775" s="70"/>
      <c r="Y775" s="70"/>
      <c r="Z775" s="70"/>
      <c r="AA775" s="70"/>
      <c r="AB775" s="70"/>
      <c r="AC775" s="70"/>
      <c r="AD775" s="70"/>
      <c r="AE775" s="70"/>
      <c r="AF775" s="70"/>
      <c r="AG775" s="70"/>
      <c r="AH775" s="70"/>
      <c r="AI775" s="70"/>
    </row>
    <row r="776" spans="1:35" ht="15">
      <c r="A776" s="70"/>
      <c r="B776" s="70"/>
      <c r="C776" s="70"/>
      <c r="D776" s="77"/>
      <c r="E776" s="77"/>
      <c r="F776" s="84"/>
      <c r="G776" s="77"/>
      <c r="H776" s="84"/>
      <c r="I776" s="70"/>
      <c r="J776" s="70"/>
      <c r="K776" s="70"/>
      <c r="L776" s="70"/>
      <c r="M776" s="70"/>
      <c r="N776" s="70"/>
      <c r="O776" s="70"/>
      <c r="P776" s="70"/>
      <c r="Q776" s="70"/>
      <c r="R776" s="70"/>
      <c r="S776" s="85"/>
      <c r="T776" s="70"/>
      <c r="U776" s="70"/>
      <c r="V776" s="70"/>
      <c r="W776" s="70"/>
      <c r="X776" s="70"/>
      <c r="Y776" s="70"/>
      <c r="Z776" s="70"/>
      <c r="AA776" s="70"/>
      <c r="AB776" s="70"/>
      <c r="AC776" s="70"/>
      <c r="AD776" s="70"/>
      <c r="AE776" s="70"/>
      <c r="AF776" s="70"/>
      <c r="AG776" s="70"/>
      <c r="AH776" s="70"/>
      <c r="AI776" s="70"/>
    </row>
    <row r="777" spans="1:35" ht="15">
      <c r="A777" s="70"/>
      <c r="B777" s="70"/>
      <c r="C777" s="70"/>
      <c r="D777" s="77"/>
      <c r="E777" s="77"/>
      <c r="F777" s="84"/>
      <c r="G777" s="77"/>
      <c r="H777" s="84"/>
      <c r="I777" s="70"/>
      <c r="J777" s="70"/>
      <c r="K777" s="70"/>
      <c r="L777" s="70"/>
      <c r="M777" s="70"/>
      <c r="N777" s="70"/>
      <c r="O777" s="70"/>
      <c r="P777" s="70"/>
      <c r="Q777" s="70"/>
      <c r="R777" s="70"/>
      <c r="S777" s="85"/>
      <c r="T777" s="70"/>
      <c r="U777" s="70"/>
      <c r="V777" s="70"/>
      <c r="W777" s="70"/>
      <c r="X777" s="70"/>
      <c r="Y777" s="70"/>
      <c r="Z777" s="70"/>
      <c r="AA777" s="70"/>
      <c r="AB777" s="70"/>
      <c r="AC777" s="70"/>
      <c r="AD777" s="70"/>
      <c r="AE777" s="70"/>
      <c r="AF777" s="70"/>
      <c r="AG777" s="70"/>
      <c r="AH777" s="70"/>
      <c r="AI777" s="70"/>
    </row>
    <row r="778" spans="1:35" ht="15">
      <c r="A778" s="70"/>
      <c r="B778" s="70"/>
      <c r="C778" s="70"/>
      <c r="D778" s="77"/>
      <c r="E778" s="77"/>
      <c r="F778" s="84"/>
      <c r="G778" s="77"/>
      <c r="H778" s="84"/>
      <c r="I778" s="70"/>
      <c r="J778" s="70"/>
      <c r="K778" s="70"/>
      <c r="L778" s="70"/>
      <c r="M778" s="70"/>
      <c r="N778" s="70"/>
      <c r="O778" s="70"/>
      <c r="P778" s="70"/>
      <c r="Q778" s="70"/>
      <c r="R778" s="70"/>
      <c r="S778" s="85"/>
      <c r="T778" s="70"/>
      <c r="U778" s="70"/>
      <c r="V778" s="70"/>
      <c r="W778" s="70"/>
      <c r="X778" s="70"/>
      <c r="Y778" s="70"/>
      <c r="Z778" s="70"/>
      <c r="AA778" s="70"/>
      <c r="AB778" s="70"/>
      <c r="AC778" s="70"/>
      <c r="AD778" s="70"/>
      <c r="AE778" s="70"/>
      <c r="AF778" s="70"/>
      <c r="AG778" s="70"/>
      <c r="AH778" s="70"/>
      <c r="AI778" s="70"/>
    </row>
    <row r="779" spans="1:35" ht="15">
      <c r="A779" s="70"/>
      <c r="B779" s="70"/>
      <c r="C779" s="70"/>
      <c r="D779" s="77"/>
      <c r="E779" s="77"/>
      <c r="F779" s="84"/>
      <c r="G779" s="77"/>
      <c r="H779" s="84"/>
      <c r="I779" s="70"/>
      <c r="J779" s="70"/>
      <c r="K779" s="70"/>
      <c r="L779" s="70"/>
      <c r="M779" s="70"/>
      <c r="N779" s="70"/>
      <c r="O779" s="70"/>
      <c r="P779" s="70"/>
      <c r="Q779" s="70"/>
      <c r="R779" s="70"/>
      <c r="S779" s="85"/>
      <c r="T779" s="70"/>
      <c r="U779" s="70"/>
      <c r="V779" s="70"/>
      <c r="W779" s="70"/>
      <c r="X779" s="70"/>
      <c r="Y779" s="70"/>
      <c r="Z779" s="70"/>
      <c r="AA779" s="70"/>
      <c r="AB779" s="70"/>
      <c r="AC779" s="70"/>
      <c r="AD779" s="70"/>
      <c r="AE779" s="70"/>
      <c r="AF779" s="70"/>
      <c r="AG779" s="70"/>
      <c r="AH779" s="70"/>
      <c r="AI779" s="70"/>
    </row>
    <row r="780" spans="1:35" ht="15">
      <c r="A780" s="70"/>
      <c r="B780" s="70"/>
      <c r="C780" s="70"/>
      <c r="D780" s="77"/>
      <c r="E780" s="77"/>
      <c r="F780" s="84"/>
      <c r="G780" s="77"/>
      <c r="H780" s="84"/>
      <c r="I780" s="70"/>
      <c r="J780" s="70"/>
      <c r="K780" s="70"/>
      <c r="L780" s="70"/>
      <c r="M780" s="70"/>
      <c r="N780" s="70"/>
      <c r="O780" s="70"/>
      <c r="P780" s="70"/>
      <c r="Q780" s="70"/>
      <c r="R780" s="70"/>
      <c r="S780" s="85"/>
      <c r="T780" s="70"/>
      <c r="U780" s="70"/>
      <c r="V780" s="70"/>
      <c r="W780" s="70"/>
      <c r="X780" s="70"/>
      <c r="Y780" s="70"/>
      <c r="Z780" s="70"/>
      <c r="AA780" s="70"/>
      <c r="AB780" s="70"/>
      <c r="AC780" s="70"/>
      <c r="AD780" s="70"/>
      <c r="AE780" s="70"/>
      <c r="AF780" s="70"/>
      <c r="AG780" s="70"/>
      <c r="AH780" s="70"/>
      <c r="AI780" s="70"/>
    </row>
    <row r="781" spans="1:35" ht="15">
      <c r="A781" s="70"/>
      <c r="B781" s="70"/>
      <c r="C781" s="70"/>
      <c r="D781" s="77"/>
      <c r="E781" s="77"/>
      <c r="F781" s="84"/>
      <c r="G781" s="77"/>
      <c r="H781" s="84"/>
      <c r="I781" s="70"/>
      <c r="J781" s="70"/>
      <c r="K781" s="70"/>
      <c r="L781" s="70"/>
      <c r="M781" s="70"/>
      <c r="N781" s="70"/>
      <c r="O781" s="70"/>
      <c r="P781" s="70"/>
      <c r="Q781" s="70"/>
      <c r="R781" s="70"/>
      <c r="S781" s="85"/>
      <c r="T781" s="70"/>
      <c r="U781" s="70"/>
      <c r="V781" s="70"/>
      <c r="W781" s="70"/>
      <c r="X781" s="70"/>
      <c r="Y781" s="70"/>
      <c r="Z781" s="70"/>
      <c r="AA781" s="70"/>
      <c r="AB781" s="70"/>
      <c r="AC781" s="70"/>
      <c r="AD781" s="70"/>
      <c r="AE781" s="70"/>
      <c r="AF781" s="70"/>
      <c r="AG781" s="70"/>
      <c r="AH781" s="70"/>
      <c r="AI781" s="70"/>
    </row>
    <row r="782" spans="1:35" ht="15">
      <c r="A782" s="70"/>
      <c r="B782" s="70"/>
      <c r="C782" s="70"/>
      <c r="D782" s="77"/>
      <c r="E782" s="77"/>
      <c r="F782" s="84"/>
      <c r="G782" s="77"/>
      <c r="H782" s="84"/>
      <c r="I782" s="70"/>
      <c r="J782" s="70"/>
      <c r="K782" s="70"/>
      <c r="L782" s="70"/>
      <c r="M782" s="70"/>
      <c r="N782" s="70"/>
      <c r="O782" s="70"/>
      <c r="P782" s="70"/>
      <c r="Q782" s="70"/>
      <c r="R782" s="70"/>
      <c r="S782" s="85"/>
      <c r="T782" s="70"/>
      <c r="U782" s="70"/>
      <c r="V782" s="70"/>
      <c r="W782" s="70"/>
      <c r="X782" s="70"/>
      <c r="Y782" s="70"/>
      <c r="Z782" s="70"/>
      <c r="AA782" s="70"/>
      <c r="AB782" s="70"/>
      <c r="AC782" s="70"/>
      <c r="AD782" s="70"/>
      <c r="AE782" s="70"/>
      <c r="AF782" s="70"/>
      <c r="AG782" s="70"/>
      <c r="AH782" s="70"/>
      <c r="AI782" s="70"/>
    </row>
    <row r="783" spans="1:35" ht="15">
      <c r="A783" s="70"/>
      <c r="B783" s="70"/>
      <c r="C783" s="70"/>
      <c r="D783" s="77"/>
      <c r="E783" s="77"/>
      <c r="F783" s="84"/>
      <c r="G783" s="77"/>
      <c r="H783" s="84"/>
      <c r="I783" s="70"/>
      <c r="J783" s="70"/>
      <c r="K783" s="70"/>
      <c r="L783" s="70"/>
      <c r="M783" s="70"/>
      <c r="N783" s="70"/>
      <c r="O783" s="70"/>
      <c r="P783" s="70"/>
      <c r="Q783" s="70"/>
      <c r="R783" s="70"/>
      <c r="S783" s="85"/>
      <c r="T783" s="70"/>
      <c r="U783" s="70"/>
      <c r="V783" s="70"/>
      <c r="W783" s="70"/>
      <c r="X783" s="70"/>
      <c r="Y783" s="70"/>
      <c r="Z783" s="70"/>
      <c r="AA783" s="70"/>
      <c r="AB783" s="70"/>
      <c r="AC783" s="70"/>
      <c r="AD783" s="70"/>
      <c r="AE783" s="70"/>
      <c r="AF783" s="70"/>
      <c r="AG783" s="70"/>
      <c r="AH783" s="70"/>
      <c r="AI783" s="70"/>
    </row>
    <row r="784" spans="1:35" ht="15">
      <c r="A784" s="70"/>
      <c r="B784" s="70"/>
      <c r="C784" s="70"/>
      <c r="D784" s="77"/>
      <c r="E784" s="77"/>
      <c r="F784" s="84"/>
      <c r="G784" s="77"/>
      <c r="H784" s="84"/>
      <c r="I784" s="70"/>
      <c r="J784" s="70"/>
      <c r="K784" s="70"/>
      <c r="L784" s="70"/>
      <c r="M784" s="70"/>
      <c r="N784" s="70"/>
      <c r="O784" s="70"/>
      <c r="P784" s="70"/>
      <c r="Q784" s="70"/>
      <c r="R784" s="70"/>
      <c r="S784" s="85"/>
      <c r="T784" s="70"/>
      <c r="U784" s="70"/>
      <c r="V784" s="70"/>
      <c r="W784" s="70"/>
      <c r="X784" s="70"/>
      <c r="Y784" s="70"/>
      <c r="Z784" s="70"/>
      <c r="AA784" s="70"/>
      <c r="AB784" s="70"/>
      <c r="AC784" s="70"/>
      <c r="AD784" s="70"/>
      <c r="AE784" s="70"/>
      <c r="AF784" s="70"/>
      <c r="AG784" s="70"/>
      <c r="AH784" s="70"/>
      <c r="AI784" s="70"/>
    </row>
    <row r="785" spans="1:35" ht="15">
      <c r="A785" s="70"/>
      <c r="B785" s="70"/>
      <c r="C785" s="70"/>
      <c r="D785" s="77"/>
      <c r="E785" s="77"/>
      <c r="F785" s="84"/>
      <c r="G785" s="77"/>
      <c r="H785" s="84"/>
      <c r="I785" s="70"/>
      <c r="J785" s="70"/>
      <c r="K785" s="70"/>
      <c r="L785" s="70"/>
      <c r="M785" s="70"/>
      <c r="N785" s="70"/>
      <c r="O785" s="70"/>
      <c r="P785" s="70"/>
      <c r="Q785" s="70"/>
      <c r="R785" s="70"/>
      <c r="S785" s="85"/>
      <c r="T785" s="70"/>
      <c r="U785" s="70"/>
      <c r="V785" s="70"/>
      <c r="W785" s="70"/>
      <c r="X785" s="70"/>
      <c r="Y785" s="70"/>
      <c r="Z785" s="70"/>
      <c r="AA785" s="70"/>
      <c r="AB785" s="70"/>
      <c r="AC785" s="70"/>
      <c r="AD785" s="70"/>
      <c r="AE785" s="70"/>
      <c r="AF785" s="70"/>
      <c r="AG785" s="70"/>
      <c r="AH785" s="70"/>
      <c r="AI785" s="70"/>
    </row>
    <row r="786" spans="1:35" ht="15">
      <c r="A786" s="70"/>
      <c r="B786" s="70"/>
      <c r="C786" s="70"/>
      <c r="D786" s="77"/>
      <c r="E786" s="77"/>
      <c r="F786" s="84"/>
      <c r="G786" s="77"/>
      <c r="H786" s="84"/>
      <c r="I786" s="70"/>
      <c r="J786" s="70"/>
      <c r="K786" s="70"/>
      <c r="L786" s="70"/>
      <c r="M786" s="70"/>
      <c r="N786" s="70"/>
      <c r="O786" s="70"/>
      <c r="P786" s="70"/>
      <c r="Q786" s="70"/>
      <c r="R786" s="70"/>
      <c r="S786" s="85"/>
      <c r="T786" s="70"/>
      <c r="U786" s="70"/>
      <c r="V786" s="70"/>
      <c r="W786" s="70"/>
      <c r="X786" s="70"/>
      <c r="Y786" s="70"/>
      <c r="Z786" s="70"/>
      <c r="AA786" s="70"/>
      <c r="AB786" s="70"/>
      <c r="AC786" s="70"/>
      <c r="AD786" s="70"/>
      <c r="AE786" s="70"/>
      <c r="AF786" s="70"/>
      <c r="AG786" s="70"/>
      <c r="AH786" s="70"/>
      <c r="AI786" s="70"/>
    </row>
    <row r="787" spans="1:35" ht="15">
      <c r="A787" s="70"/>
      <c r="B787" s="70"/>
      <c r="C787" s="70"/>
      <c r="D787" s="77"/>
      <c r="E787" s="77"/>
      <c r="F787" s="84"/>
      <c r="G787" s="77"/>
      <c r="H787" s="84"/>
      <c r="I787" s="70"/>
      <c r="J787" s="70"/>
      <c r="K787" s="70"/>
      <c r="L787" s="70"/>
      <c r="M787" s="70"/>
      <c r="N787" s="70"/>
      <c r="O787" s="70"/>
      <c r="P787" s="70"/>
      <c r="Q787" s="70"/>
      <c r="R787" s="70"/>
      <c r="S787" s="85"/>
      <c r="T787" s="70"/>
      <c r="U787" s="70"/>
      <c r="V787" s="70"/>
      <c r="W787" s="70"/>
      <c r="X787" s="70"/>
      <c r="Y787" s="70"/>
      <c r="Z787" s="70"/>
      <c r="AA787" s="70"/>
      <c r="AB787" s="70"/>
      <c r="AC787" s="70"/>
      <c r="AD787" s="70"/>
      <c r="AE787" s="70"/>
      <c r="AF787" s="70"/>
      <c r="AG787" s="70"/>
      <c r="AH787" s="70"/>
      <c r="AI787" s="70"/>
    </row>
    <row r="788" spans="1:35" ht="15">
      <c r="A788" s="70"/>
      <c r="B788" s="70"/>
      <c r="C788" s="70"/>
      <c r="D788" s="77"/>
      <c r="E788" s="77"/>
      <c r="F788" s="84"/>
      <c r="G788" s="77"/>
      <c r="H788" s="84"/>
      <c r="I788" s="70"/>
      <c r="J788" s="70"/>
      <c r="K788" s="70"/>
      <c r="L788" s="70"/>
      <c r="M788" s="70"/>
      <c r="N788" s="70"/>
      <c r="O788" s="70"/>
      <c r="P788" s="70"/>
      <c r="Q788" s="70"/>
      <c r="R788" s="70"/>
      <c r="S788" s="85"/>
      <c r="T788" s="70"/>
      <c r="U788" s="70"/>
      <c r="V788" s="70"/>
      <c r="W788" s="70"/>
      <c r="X788" s="70"/>
      <c r="Y788" s="70"/>
      <c r="Z788" s="70"/>
      <c r="AA788" s="70"/>
      <c r="AB788" s="70"/>
      <c r="AC788" s="70"/>
      <c r="AD788" s="70"/>
      <c r="AE788" s="70"/>
      <c r="AF788" s="70"/>
      <c r="AG788" s="70"/>
      <c r="AH788" s="70"/>
      <c r="AI788" s="70"/>
    </row>
    <row r="789" spans="1:35" ht="15">
      <c r="A789" s="70"/>
      <c r="B789" s="70"/>
      <c r="C789" s="70"/>
      <c r="D789" s="77"/>
      <c r="E789" s="77"/>
      <c r="F789" s="84"/>
      <c r="G789" s="77"/>
      <c r="H789" s="84"/>
      <c r="I789" s="70"/>
      <c r="J789" s="70"/>
      <c r="K789" s="70"/>
      <c r="L789" s="70"/>
      <c r="M789" s="70"/>
      <c r="N789" s="70"/>
      <c r="O789" s="70"/>
      <c r="P789" s="70"/>
      <c r="Q789" s="70"/>
      <c r="R789" s="70"/>
      <c r="S789" s="85"/>
      <c r="T789" s="70"/>
      <c r="U789" s="70"/>
      <c r="V789" s="70"/>
      <c r="W789" s="70"/>
      <c r="X789" s="70"/>
      <c r="Y789" s="70"/>
      <c r="Z789" s="70"/>
      <c r="AA789" s="70"/>
      <c r="AB789" s="70"/>
      <c r="AC789" s="70"/>
      <c r="AD789" s="70"/>
      <c r="AE789" s="70"/>
      <c r="AF789" s="70"/>
      <c r="AG789" s="70"/>
      <c r="AH789" s="70"/>
      <c r="AI789" s="70"/>
    </row>
    <row r="790" spans="1:35" ht="15">
      <c r="A790" s="70"/>
      <c r="B790" s="70"/>
      <c r="C790" s="70"/>
      <c r="D790" s="77"/>
      <c r="E790" s="77"/>
      <c r="F790" s="84"/>
      <c r="G790" s="77"/>
      <c r="H790" s="84"/>
      <c r="I790" s="70"/>
      <c r="J790" s="70"/>
      <c r="K790" s="70"/>
      <c r="L790" s="70"/>
      <c r="M790" s="70"/>
      <c r="N790" s="70"/>
      <c r="O790" s="70"/>
      <c r="P790" s="70"/>
      <c r="Q790" s="70"/>
      <c r="R790" s="70"/>
      <c r="S790" s="85"/>
      <c r="T790" s="70"/>
      <c r="U790" s="70"/>
      <c r="V790" s="70"/>
      <c r="W790" s="70"/>
      <c r="X790" s="70"/>
      <c r="Y790" s="70"/>
      <c r="Z790" s="70"/>
      <c r="AA790" s="70"/>
      <c r="AB790" s="70"/>
      <c r="AC790" s="70"/>
      <c r="AD790" s="70"/>
      <c r="AE790" s="70"/>
      <c r="AF790" s="70"/>
      <c r="AG790" s="70"/>
      <c r="AH790" s="70"/>
      <c r="AI790" s="70"/>
    </row>
    <row r="791" spans="1:35" ht="15">
      <c r="A791" s="70"/>
      <c r="B791" s="70"/>
      <c r="C791" s="70"/>
      <c r="D791" s="77"/>
      <c r="E791" s="77"/>
      <c r="F791" s="84"/>
      <c r="G791" s="77"/>
      <c r="H791" s="84"/>
      <c r="I791" s="70"/>
      <c r="J791" s="70"/>
      <c r="K791" s="70"/>
      <c r="L791" s="70"/>
      <c r="M791" s="70"/>
      <c r="N791" s="70"/>
      <c r="O791" s="70"/>
      <c r="P791" s="70"/>
      <c r="Q791" s="70"/>
      <c r="R791" s="70"/>
      <c r="S791" s="85"/>
      <c r="T791" s="70"/>
      <c r="U791" s="70"/>
      <c r="V791" s="70"/>
      <c r="W791" s="70"/>
      <c r="X791" s="70"/>
      <c r="Y791" s="70"/>
      <c r="Z791" s="70"/>
      <c r="AA791" s="70"/>
      <c r="AB791" s="70"/>
      <c r="AC791" s="70"/>
      <c r="AD791" s="70"/>
      <c r="AE791" s="70"/>
      <c r="AF791" s="70"/>
      <c r="AG791" s="70"/>
      <c r="AH791" s="70"/>
      <c r="AI791" s="70"/>
    </row>
    <row r="792" spans="1:35" ht="15">
      <c r="A792" s="70"/>
      <c r="B792" s="70"/>
      <c r="C792" s="70"/>
      <c r="D792" s="77"/>
      <c r="E792" s="77"/>
      <c r="F792" s="84"/>
      <c r="G792" s="77"/>
      <c r="H792" s="84"/>
      <c r="I792" s="70"/>
      <c r="J792" s="70"/>
      <c r="K792" s="70"/>
      <c r="L792" s="70"/>
      <c r="M792" s="70"/>
      <c r="N792" s="70"/>
      <c r="O792" s="70"/>
      <c r="P792" s="70"/>
      <c r="Q792" s="70"/>
      <c r="R792" s="70"/>
      <c r="S792" s="85"/>
      <c r="T792" s="70"/>
      <c r="U792" s="70"/>
      <c r="V792" s="70"/>
      <c r="W792" s="70"/>
      <c r="X792" s="70"/>
      <c r="Y792" s="70"/>
      <c r="Z792" s="70"/>
      <c r="AA792" s="70"/>
      <c r="AB792" s="70"/>
      <c r="AC792" s="70"/>
      <c r="AD792" s="70"/>
      <c r="AE792" s="70"/>
      <c r="AF792" s="70"/>
      <c r="AG792" s="70"/>
      <c r="AH792" s="70"/>
      <c r="AI792" s="70"/>
    </row>
    <row r="793" spans="1:35" ht="15">
      <c r="A793" s="70"/>
      <c r="B793" s="70"/>
      <c r="C793" s="70"/>
      <c r="D793" s="77"/>
      <c r="E793" s="77"/>
      <c r="F793" s="84"/>
      <c r="G793" s="77"/>
      <c r="H793" s="84"/>
      <c r="I793" s="70"/>
      <c r="J793" s="70"/>
      <c r="K793" s="70"/>
      <c r="L793" s="70"/>
      <c r="M793" s="70"/>
      <c r="N793" s="70"/>
      <c r="O793" s="70"/>
      <c r="P793" s="70"/>
      <c r="Q793" s="70"/>
      <c r="R793" s="70"/>
      <c r="S793" s="85"/>
      <c r="T793" s="70"/>
      <c r="U793" s="70"/>
      <c r="V793" s="70"/>
      <c r="W793" s="70"/>
      <c r="X793" s="70"/>
      <c r="Y793" s="70"/>
      <c r="Z793" s="70"/>
      <c r="AA793" s="70"/>
      <c r="AB793" s="70"/>
      <c r="AC793" s="70"/>
      <c r="AD793" s="70"/>
      <c r="AE793" s="70"/>
      <c r="AF793" s="70"/>
      <c r="AG793" s="70"/>
      <c r="AH793" s="70"/>
      <c r="AI793" s="70"/>
    </row>
    <row r="794" spans="1:35" ht="15">
      <c r="A794" s="70"/>
      <c r="B794" s="70"/>
      <c r="C794" s="70"/>
      <c r="D794" s="77"/>
      <c r="E794" s="77"/>
      <c r="F794" s="84"/>
      <c r="G794" s="77"/>
      <c r="H794" s="84"/>
      <c r="I794" s="70"/>
      <c r="J794" s="70"/>
      <c r="K794" s="70"/>
      <c r="L794" s="70"/>
      <c r="M794" s="70"/>
      <c r="N794" s="70"/>
      <c r="O794" s="70"/>
      <c r="P794" s="70"/>
      <c r="Q794" s="70"/>
      <c r="R794" s="70"/>
      <c r="S794" s="85"/>
      <c r="T794" s="70"/>
      <c r="U794" s="70"/>
      <c r="V794" s="70"/>
      <c r="W794" s="70"/>
      <c r="X794" s="70"/>
      <c r="Y794" s="70"/>
      <c r="Z794" s="70"/>
      <c r="AA794" s="70"/>
      <c r="AB794" s="70"/>
      <c r="AC794" s="70"/>
      <c r="AD794" s="70"/>
      <c r="AE794" s="70"/>
      <c r="AF794" s="70"/>
      <c r="AG794" s="70"/>
      <c r="AH794" s="70"/>
      <c r="AI794" s="70"/>
    </row>
    <row r="795" spans="1:35" ht="15">
      <c r="A795" s="70"/>
      <c r="B795" s="70"/>
      <c r="C795" s="70"/>
      <c r="D795" s="77"/>
      <c r="E795" s="77"/>
      <c r="F795" s="84"/>
      <c r="G795" s="77"/>
      <c r="H795" s="84"/>
      <c r="I795" s="70"/>
      <c r="J795" s="70"/>
      <c r="K795" s="70"/>
      <c r="L795" s="70"/>
      <c r="M795" s="70"/>
      <c r="N795" s="70"/>
      <c r="O795" s="70"/>
      <c r="P795" s="70"/>
      <c r="Q795" s="70"/>
      <c r="R795" s="70"/>
      <c r="S795" s="85"/>
      <c r="T795" s="70"/>
      <c r="U795" s="70"/>
      <c r="V795" s="70"/>
      <c r="W795" s="70"/>
      <c r="X795" s="70"/>
      <c r="Y795" s="70"/>
      <c r="Z795" s="70"/>
      <c r="AA795" s="70"/>
      <c r="AB795" s="70"/>
      <c r="AC795" s="70"/>
      <c r="AD795" s="70"/>
      <c r="AE795" s="70"/>
      <c r="AF795" s="70"/>
      <c r="AG795" s="70"/>
      <c r="AH795" s="70"/>
      <c r="AI795" s="70"/>
    </row>
    <row r="796" spans="1:35" ht="15">
      <c r="A796" s="70"/>
      <c r="B796" s="70"/>
      <c r="C796" s="70"/>
      <c r="D796" s="77"/>
      <c r="E796" s="77"/>
      <c r="F796" s="84"/>
      <c r="G796" s="77"/>
      <c r="H796" s="84"/>
      <c r="I796" s="70"/>
      <c r="J796" s="70"/>
      <c r="K796" s="70"/>
      <c r="L796" s="70"/>
      <c r="M796" s="70"/>
      <c r="N796" s="70"/>
      <c r="O796" s="70"/>
      <c r="P796" s="70"/>
      <c r="Q796" s="70"/>
      <c r="R796" s="70"/>
      <c r="S796" s="85"/>
      <c r="T796" s="70"/>
      <c r="U796" s="70"/>
      <c r="V796" s="70"/>
      <c r="W796" s="70"/>
      <c r="X796" s="70"/>
      <c r="Y796" s="70"/>
      <c r="Z796" s="70"/>
      <c r="AA796" s="70"/>
      <c r="AB796" s="70"/>
      <c r="AC796" s="70"/>
      <c r="AD796" s="70"/>
      <c r="AE796" s="70"/>
      <c r="AF796" s="70"/>
      <c r="AG796" s="70"/>
      <c r="AH796" s="70"/>
      <c r="AI796" s="70"/>
    </row>
    <row r="797" spans="1:35" ht="15">
      <c r="A797" s="70"/>
      <c r="B797" s="70"/>
      <c r="C797" s="70"/>
      <c r="D797" s="77"/>
      <c r="E797" s="77"/>
      <c r="F797" s="84"/>
      <c r="G797" s="77"/>
      <c r="H797" s="84"/>
      <c r="I797" s="70"/>
      <c r="J797" s="70"/>
      <c r="K797" s="70"/>
      <c r="L797" s="70"/>
      <c r="M797" s="70"/>
      <c r="N797" s="70"/>
      <c r="O797" s="70"/>
      <c r="P797" s="70"/>
      <c r="Q797" s="70"/>
      <c r="R797" s="70"/>
      <c r="S797" s="85"/>
      <c r="T797" s="70"/>
      <c r="U797" s="70"/>
      <c r="V797" s="70"/>
      <c r="W797" s="70"/>
      <c r="X797" s="70"/>
      <c r="Y797" s="70"/>
      <c r="Z797" s="70"/>
      <c r="AA797" s="70"/>
      <c r="AB797" s="70"/>
      <c r="AC797" s="70"/>
      <c r="AD797" s="70"/>
      <c r="AE797" s="70"/>
      <c r="AF797" s="70"/>
      <c r="AG797" s="70"/>
      <c r="AH797" s="70"/>
      <c r="AI797" s="70"/>
    </row>
    <row r="798" spans="1:35" ht="15">
      <c r="A798" s="70"/>
      <c r="B798" s="70"/>
      <c r="C798" s="70"/>
      <c r="D798" s="77"/>
      <c r="E798" s="77"/>
      <c r="F798" s="84"/>
      <c r="G798" s="77"/>
      <c r="H798" s="84"/>
      <c r="I798" s="70"/>
      <c r="J798" s="70"/>
      <c r="K798" s="70"/>
      <c r="L798" s="70"/>
      <c r="M798" s="70"/>
      <c r="N798" s="70"/>
      <c r="O798" s="70"/>
      <c r="P798" s="70"/>
      <c r="Q798" s="70"/>
      <c r="R798" s="70"/>
      <c r="S798" s="85"/>
      <c r="T798" s="70"/>
      <c r="U798" s="70"/>
      <c r="V798" s="70"/>
      <c r="W798" s="70"/>
      <c r="X798" s="70"/>
      <c r="Y798" s="70"/>
      <c r="Z798" s="70"/>
      <c r="AA798" s="70"/>
      <c r="AB798" s="70"/>
      <c r="AC798" s="70"/>
      <c r="AD798" s="70"/>
      <c r="AE798" s="70"/>
      <c r="AF798" s="70"/>
      <c r="AG798" s="70"/>
      <c r="AH798" s="70"/>
      <c r="AI798" s="70"/>
    </row>
    <row r="799" spans="1:35" ht="15">
      <c r="A799" s="70"/>
      <c r="B799" s="70"/>
      <c r="C799" s="70"/>
      <c r="D799" s="77"/>
      <c r="E799" s="77"/>
      <c r="F799" s="84"/>
      <c r="G799" s="77"/>
      <c r="H799" s="84"/>
      <c r="I799" s="70"/>
      <c r="J799" s="70"/>
      <c r="K799" s="70"/>
      <c r="L799" s="70"/>
      <c r="M799" s="70"/>
      <c r="N799" s="70"/>
      <c r="O799" s="70"/>
      <c r="P799" s="70"/>
      <c r="Q799" s="70"/>
      <c r="R799" s="70"/>
      <c r="S799" s="85"/>
      <c r="T799" s="70"/>
      <c r="U799" s="70"/>
      <c r="V799" s="70"/>
      <c r="W799" s="70"/>
      <c r="X799" s="70"/>
      <c r="Y799" s="70"/>
      <c r="Z799" s="70"/>
      <c r="AA799" s="70"/>
      <c r="AB799" s="70"/>
      <c r="AC799" s="70"/>
      <c r="AD799" s="70"/>
      <c r="AE799" s="70"/>
      <c r="AF799" s="70"/>
      <c r="AG799" s="70"/>
      <c r="AH799" s="70"/>
      <c r="AI799" s="70"/>
    </row>
    <row r="800" spans="1:35" ht="15">
      <c r="A800" s="70"/>
      <c r="B800" s="70"/>
      <c r="C800" s="70"/>
      <c r="D800" s="77"/>
      <c r="E800" s="77"/>
      <c r="F800" s="84"/>
      <c r="G800" s="77"/>
      <c r="H800" s="84"/>
      <c r="I800" s="70"/>
      <c r="J800" s="70"/>
      <c r="K800" s="70"/>
      <c r="L800" s="70"/>
      <c r="M800" s="70"/>
      <c r="N800" s="70"/>
      <c r="O800" s="70"/>
      <c r="P800" s="70"/>
      <c r="Q800" s="70"/>
      <c r="R800" s="70"/>
      <c r="S800" s="85"/>
      <c r="T800" s="70"/>
      <c r="U800" s="70"/>
      <c r="V800" s="70"/>
      <c r="W800" s="70"/>
      <c r="X800" s="70"/>
      <c r="Y800" s="70"/>
      <c r="Z800" s="70"/>
      <c r="AA800" s="70"/>
      <c r="AB800" s="70"/>
      <c r="AC800" s="70"/>
      <c r="AD800" s="70"/>
      <c r="AE800" s="70"/>
      <c r="AF800" s="70"/>
      <c r="AG800" s="70"/>
      <c r="AH800" s="70"/>
      <c r="AI800" s="70"/>
    </row>
    <row r="801" spans="1:35" ht="15">
      <c r="A801" s="70"/>
      <c r="B801" s="70"/>
      <c r="C801" s="70"/>
      <c r="D801" s="77"/>
      <c r="E801" s="77"/>
      <c r="F801" s="84"/>
      <c r="G801" s="77"/>
      <c r="H801" s="84"/>
      <c r="I801" s="70"/>
      <c r="J801" s="70"/>
      <c r="K801" s="70"/>
      <c r="L801" s="70"/>
      <c r="M801" s="70"/>
      <c r="N801" s="70"/>
      <c r="O801" s="70"/>
      <c r="P801" s="70"/>
      <c r="Q801" s="70"/>
      <c r="R801" s="70"/>
      <c r="S801" s="85"/>
      <c r="T801" s="70"/>
      <c r="U801" s="70"/>
      <c r="V801" s="70"/>
      <c r="W801" s="70"/>
      <c r="X801" s="70"/>
      <c r="Y801" s="70"/>
      <c r="Z801" s="70"/>
      <c r="AA801" s="70"/>
      <c r="AB801" s="70"/>
      <c r="AC801" s="70"/>
      <c r="AD801" s="70"/>
      <c r="AE801" s="70"/>
      <c r="AF801" s="70"/>
      <c r="AG801" s="70"/>
      <c r="AH801" s="70"/>
      <c r="AI801" s="70"/>
    </row>
    <row r="802" spans="1:35" ht="15">
      <c r="A802" s="70"/>
      <c r="B802" s="70"/>
      <c r="C802" s="70"/>
      <c r="D802" s="77"/>
      <c r="E802" s="77"/>
      <c r="F802" s="84"/>
      <c r="G802" s="77"/>
      <c r="H802" s="84"/>
      <c r="I802" s="70"/>
      <c r="J802" s="70"/>
      <c r="K802" s="70"/>
      <c r="L802" s="70"/>
      <c r="M802" s="70"/>
      <c r="N802" s="70"/>
      <c r="O802" s="70"/>
      <c r="P802" s="70"/>
      <c r="Q802" s="70"/>
      <c r="R802" s="70"/>
      <c r="S802" s="85"/>
      <c r="T802" s="70"/>
      <c r="U802" s="70"/>
      <c r="V802" s="70"/>
      <c r="W802" s="70"/>
      <c r="X802" s="70"/>
      <c r="Y802" s="70"/>
      <c r="Z802" s="70"/>
      <c r="AA802" s="70"/>
      <c r="AB802" s="70"/>
      <c r="AC802" s="70"/>
      <c r="AD802" s="70"/>
      <c r="AE802" s="70"/>
      <c r="AF802" s="70"/>
      <c r="AG802" s="70"/>
      <c r="AH802" s="70"/>
      <c r="AI802" s="70"/>
    </row>
    <row r="803" spans="1:35" ht="15">
      <c r="A803" s="70"/>
      <c r="B803" s="70"/>
      <c r="C803" s="70"/>
      <c r="D803" s="77"/>
      <c r="E803" s="77"/>
      <c r="F803" s="84"/>
      <c r="G803" s="77"/>
      <c r="H803" s="84"/>
      <c r="I803" s="70"/>
      <c r="J803" s="70"/>
      <c r="K803" s="70"/>
      <c r="L803" s="70"/>
      <c r="M803" s="70"/>
      <c r="N803" s="70"/>
      <c r="O803" s="70"/>
      <c r="P803" s="70"/>
      <c r="Q803" s="70"/>
      <c r="R803" s="70"/>
      <c r="S803" s="85"/>
      <c r="T803" s="70"/>
      <c r="U803" s="70"/>
      <c r="V803" s="70"/>
      <c r="W803" s="70"/>
      <c r="X803" s="70"/>
      <c r="Y803" s="70"/>
      <c r="Z803" s="70"/>
      <c r="AA803" s="70"/>
      <c r="AB803" s="70"/>
      <c r="AC803" s="70"/>
      <c r="AD803" s="70"/>
      <c r="AE803" s="70"/>
      <c r="AF803" s="70"/>
      <c r="AG803" s="70"/>
      <c r="AH803" s="70"/>
      <c r="AI803" s="70"/>
    </row>
    <row r="804" spans="1:35" ht="15">
      <c r="A804" s="70"/>
      <c r="B804" s="70"/>
      <c r="C804" s="70"/>
      <c r="D804" s="77"/>
      <c r="E804" s="77"/>
      <c r="F804" s="84"/>
      <c r="G804" s="77"/>
      <c r="H804" s="84"/>
      <c r="I804" s="70"/>
      <c r="J804" s="70"/>
      <c r="K804" s="70"/>
      <c r="L804" s="70"/>
      <c r="M804" s="70"/>
      <c r="N804" s="70"/>
      <c r="O804" s="70"/>
      <c r="P804" s="70"/>
      <c r="Q804" s="70"/>
      <c r="R804" s="70"/>
      <c r="S804" s="85"/>
      <c r="T804" s="70"/>
      <c r="U804" s="70"/>
      <c r="V804" s="70"/>
      <c r="W804" s="70"/>
      <c r="X804" s="70"/>
      <c r="Y804" s="70"/>
      <c r="Z804" s="70"/>
      <c r="AA804" s="70"/>
      <c r="AB804" s="70"/>
      <c r="AC804" s="70"/>
      <c r="AD804" s="70"/>
      <c r="AE804" s="70"/>
      <c r="AF804" s="70"/>
      <c r="AG804" s="70"/>
      <c r="AH804" s="70"/>
      <c r="AI804" s="70"/>
    </row>
    <row r="805" spans="1:35" ht="15">
      <c r="A805" s="70"/>
      <c r="B805" s="70"/>
      <c r="C805" s="70"/>
      <c r="D805" s="77"/>
      <c r="E805" s="77"/>
      <c r="F805" s="84"/>
      <c r="G805" s="77"/>
      <c r="H805" s="84"/>
      <c r="I805" s="70"/>
      <c r="J805" s="70"/>
      <c r="K805" s="70"/>
      <c r="L805" s="70"/>
      <c r="M805" s="70"/>
      <c r="N805" s="70"/>
      <c r="O805" s="70"/>
      <c r="P805" s="70"/>
      <c r="Q805" s="70"/>
      <c r="R805" s="70"/>
      <c r="S805" s="85"/>
      <c r="T805" s="70"/>
      <c r="U805" s="70"/>
      <c r="V805" s="70"/>
      <c r="W805" s="70"/>
      <c r="X805" s="70"/>
      <c r="Y805" s="70"/>
      <c r="Z805" s="70"/>
      <c r="AA805" s="70"/>
      <c r="AB805" s="70"/>
      <c r="AC805" s="70"/>
      <c r="AD805" s="70"/>
      <c r="AE805" s="70"/>
      <c r="AF805" s="70"/>
      <c r="AG805" s="70"/>
      <c r="AH805" s="70"/>
      <c r="AI805" s="70"/>
    </row>
    <row r="806" spans="1:35" ht="15">
      <c r="A806" s="70"/>
      <c r="B806" s="70"/>
      <c r="C806" s="70"/>
      <c r="D806" s="77"/>
      <c r="E806" s="77"/>
      <c r="F806" s="84"/>
      <c r="G806" s="77"/>
      <c r="H806" s="84"/>
      <c r="I806" s="70"/>
      <c r="J806" s="70"/>
      <c r="K806" s="70"/>
      <c r="L806" s="70"/>
      <c r="M806" s="70"/>
      <c r="N806" s="70"/>
      <c r="O806" s="70"/>
      <c r="P806" s="70"/>
      <c r="Q806" s="70"/>
      <c r="R806" s="70"/>
      <c r="S806" s="85"/>
      <c r="T806" s="70"/>
      <c r="U806" s="70"/>
      <c r="V806" s="70"/>
      <c r="W806" s="70"/>
      <c r="X806" s="70"/>
      <c r="Y806" s="70"/>
      <c r="Z806" s="70"/>
      <c r="AA806" s="70"/>
      <c r="AB806" s="70"/>
      <c r="AC806" s="70"/>
      <c r="AD806" s="70"/>
      <c r="AE806" s="70"/>
      <c r="AF806" s="70"/>
      <c r="AG806" s="70"/>
      <c r="AH806" s="70"/>
      <c r="AI806" s="70"/>
    </row>
    <row r="807" spans="1:35" ht="15">
      <c r="A807" s="70"/>
      <c r="B807" s="70"/>
      <c r="C807" s="70"/>
      <c r="D807" s="77"/>
      <c r="E807" s="77"/>
      <c r="F807" s="84"/>
      <c r="G807" s="77"/>
      <c r="H807" s="84"/>
      <c r="I807" s="70"/>
      <c r="J807" s="70"/>
      <c r="K807" s="70"/>
      <c r="L807" s="70"/>
      <c r="M807" s="70"/>
      <c r="N807" s="70"/>
      <c r="O807" s="70"/>
      <c r="P807" s="70"/>
      <c r="Q807" s="70"/>
      <c r="R807" s="70"/>
      <c r="S807" s="85"/>
      <c r="T807" s="70"/>
      <c r="U807" s="70"/>
      <c r="V807" s="70"/>
      <c r="W807" s="70"/>
      <c r="X807" s="70"/>
      <c r="Y807" s="70"/>
      <c r="Z807" s="70"/>
      <c r="AA807" s="70"/>
      <c r="AB807" s="70"/>
      <c r="AC807" s="70"/>
      <c r="AD807" s="70"/>
      <c r="AE807" s="70"/>
      <c r="AF807" s="70"/>
      <c r="AG807" s="70"/>
      <c r="AH807" s="70"/>
      <c r="AI807" s="70"/>
    </row>
    <row r="808" spans="1:35" ht="15">
      <c r="A808" s="70"/>
      <c r="B808" s="70"/>
      <c r="C808" s="70"/>
      <c r="D808" s="77"/>
      <c r="E808" s="77"/>
      <c r="F808" s="84"/>
      <c r="G808" s="77"/>
      <c r="H808" s="84"/>
      <c r="I808" s="70"/>
      <c r="J808" s="70"/>
      <c r="K808" s="70"/>
      <c r="L808" s="70"/>
      <c r="M808" s="70"/>
      <c r="N808" s="70"/>
      <c r="O808" s="70"/>
      <c r="P808" s="70"/>
      <c r="Q808" s="70"/>
      <c r="R808" s="70"/>
      <c r="S808" s="85"/>
      <c r="T808" s="70"/>
      <c r="U808" s="70"/>
      <c r="V808" s="70"/>
      <c r="W808" s="70"/>
      <c r="X808" s="70"/>
      <c r="Y808" s="70"/>
      <c r="Z808" s="70"/>
      <c r="AA808" s="70"/>
      <c r="AB808" s="70"/>
      <c r="AC808" s="70"/>
      <c r="AD808" s="70"/>
      <c r="AE808" s="70"/>
      <c r="AF808" s="70"/>
      <c r="AG808" s="70"/>
      <c r="AH808" s="70"/>
      <c r="AI808" s="70"/>
    </row>
    <row r="809" spans="1:35" ht="15">
      <c r="A809" s="70"/>
      <c r="B809" s="70"/>
      <c r="C809" s="70"/>
      <c r="D809" s="77"/>
      <c r="E809" s="77"/>
      <c r="F809" s="84"/>
      <c r="G809" s="77"/>
      <c r="H809" s="84"/>
      <c r="I809" s="70"/>
      <c r="J809" s="70"/>
      <c r="K809" s="70"/>
      <c r="L809" s="70"/>
      <c r="M809" s="70"/>
      <c r="N809" s="70"/>
      <c r="O809" s="70"/>
      <c r="P809" s="70"/>
      <c r="Q809" s="70"/>
      <c r="R809" s="70"/>
      <c r="S809" s="85"/>
      <c r="T809" s="70"/>
      <c r="U809" s="70"/>
      <c r="V809" s="70"/>
      <c r="W809" s="70"/>
      <c r="X809" s="70"/>
      <c r="Y809" s="70"/>
      <c r="Z809" s="70"/>
      <c r="AA809" s="70"/>
      <c r="AB809" s="70"/>
      <c r="AC809" s="70"/>
      <c r="AD809" s="70"/>
      <c r="AE809" s="70"/>
      <c r="AF809" s="70"/>
      <c r="AG809" s="70"/>
      <c r="AH809" s="70"/>
      <c r="AI809" s="70"/>
    </row>
    <row r="810" spans="1:35" ht="15">
      <c r="A810" s="70"/>
      <c r="B810" s="70"/>
      <c r="C810" s="70"/>
      <c r="D810" s="77"/>
      <c r="E810" s="77"/>
      <c r="F810" s="84"/>
      <c r="G810" s="77"/>
      <c r="H810" s="84"/>
      <c r="I810" s="70"/>
      <c r="J810" s="70"/>
      <c r="K810" s="70"/>
      <c r="L810" s="70"/>
      <c r="M810" s="70"/>
      <c r="N810" s="70"/>
      <c r="O810" s="70"/>
      <c r="P810" s="70"/>
      <c r="Q810" s="70"/>
      <c r="R810" s="70"/>
      <c r="S810" s="85"/>
      <c r="T810" s="70"/>
      <c r="U810" s="70"/>
      <c r="V810" s="70"/>
      <c r="W810" s="70"/>
      <c r="X810" s="70"/>
      <c r="Y810" s="70"/>
      <c r="Z810" s="70"/>
      <c r="AA810" s="70"/>
      <c r="AB810" s="70"/>
      <c r="AC810" s="70"/>
      <c r="AD810" s="70"/>
      <c r="AE810" s="70"/>
      <c r="AF810" s="70"/>
      <c r="AG810" s="70"/>
      <c r="AH810" s="70"/>
      <c r="AI810" s="70"/>
    </row>
    <row r="811" spans="1:35" ht="15">
      <c r="A811" s="70"/>
      <c r="B811" s="70"/>
      <c r="C811" s="70"/>
      <c r="D811" s="77"/>
      <c r="E811" s="77"/>
      <c r="F811" s="84"/>
      <c r="G811" s="77"/>
      <c r="H811" s="84"/>
      <c r="I811" s="70"/>
      <c r="J811" s="70"/>
      <c r="K811" s="70"/>
      <c r="L811" s="70"/>
      <c r="M811" s="70"/>
      <c r="N811" s="70"/>
      <c r="O811" s="70"/>
      <c r="P811" s="70"/>
      <c r="Q811" s="70"/>
      <c r="R811" s="70"/>
      <c r="S811" s="85"/>
      <c r="T811" s="70"/>
      <c r="U811" s="70"/>
      <c r="V811" s="70"/>
      <c r="W811" s="70"/>
      <c r="X811" s="70"/>
      <c r="Y811" s="70"/>
      <c r="Z811" s="70"/>
      <c r="AA811" s="70"/>
      <c r="AB811" s="70"/>
      <c r="AC811" s="70"/>
      <c r="AD811" s="70"/>
      <c r="AE811" s="70"/>
      <c r="AF811" s="70"/>
      <c r="AG811" s="70"/>
      <c r="AH811" s="70"/>
      <c r="AI811" s="70"/>
    </row>
    <row r="812" spans="1:35" ht="15">
      <c r="A812" s="70"/>
      <c r="B812" s="70"/>
      <c r="C812" s="70"/>
      <c r="D812" s="77"/>
      <c r="E812" s="77"/>
      <c r="F812" s="84"/>
      <c r="G812" s="77"/>
      <c r="H812" s="84"/>
      <c r="I812" s="70"/>
      <c r="J812" s="70"/>
      <c r="K812" s="70"/>
      <c r="L812" s="70"/>
      <c r="M812" s="70"/>
      <c r="N812" s="70"/>
      <c r="O812" s="70"/>
      <c r="P812" s="70"/>
      <c r="Q812" s="70"/>
      <c r="R812" s="70"/>
      <c r="S812" s="85"/>
      <c r="T812" s="70"/>
      <c r="U812" s="70"/>
      <c r="V812" s="70"/>
      <c r="W812" s="70"/>
      <c r="X812" s="70"/>
      <c r="Y812" s="70"/>
      <c r="Z812" s="70"/>
      <c r="AA812" s="70"/>
      <c r="AB812" s="70"/>
      <c r="AC812" s="70"/>
      <c r="AD812" s="70"/>
      <c r="AE812" s="70"/>
      <c r="AF812" s="70"/>
      <c r="AG812" s="70"/>
      <c r="AH812" s="70"/>
      <c r="AI812" s="70"/>
    </row>
    <row r="813" spans="1:35" ht="15">
      <c r="A813" s="70"/>
      <c r="B813" s="70"/>
      <c r="C813" s="70"/>
      <c r="D813" s="77"/>
      <c r="E813" s="77"/>
      <c r="F813" s="84"/>
      <c r="G813" s="77"/>
      <c r="H813" s="84"/>
      <c r="I813" s="70"/>
      <c r="J813" s="70"/>
      <c r="K813" s="70"/>
      <c r="L813" s="70"/>
      <c r="M813" s="70"/>
      <c r="N813" s="70"/>
      <c r="O813" s="70"/>
      <c r="P813" s="70"/>
      <c r="Q813" s="70"/>
      <c r="R813" s="70"/>
      <c r="S813" s="85"/>
      <c r="T813" s="70"/>
      <c r="U813" s="70"/>
      <c r="V813" s="70"/>
      <c r="W813" s="70"/>
      <c r="X813" s="70"/>
      <c r="Y813" s="70"/>
      <c r="Z813" s="70"/>
      <c r="AA813" s="70"/>
      <c r="AB813" s="70"/>
      <c r="AC813" s="70"/>
      <c r="AD813" s="70"/>
      <c r="AE813" s="70"/>
      <c r="AF813" s="70"/>
      <c r="AG813" s="70"/>
      <c r="AH813" s="70"/>
      <c r="AI813" s="70"/>
    </row>
    <row r="814" spans="1:35" ht="15">
      <c r="A814" s="70"/>
      <c r="B814" s="70"/>
      <c r="C814" s="70"/>
      <c r="D814" s="77"/>
      <c r="E814" s="77"/>
      <c r="F814" s="84"/>
      <c r="G814" s="77"/>
      <c r="H814" s="84"/>
      <c r="I814" s="70"/>
      <c r="J814" s="70"/>
      <c r="K814" s="70"/>
      <c r="L814" s="70"/>
      <c r="M814" s="70"/>
      <c r="N814" s="70"/>
      <c r="O814" s="70"/>
      <c r="P814" s="70"/>
      <c r="Q814" s="70"/>
      <c r="R814" s="70"/>
      <c r="S814" s="85"/>
      <c r="T814" s="70"/>
      <c r="U814" s="70"/>
      <c r="V814" s="70"/>
      <c r="W814" s="70"/>
      <c r="X814" s="70"/>
      <c r="Y814" s="70"/>
      <c r="Z814" s="70"/>
      <c r="AA814" s="70"/>
      <c r="AB814" s="70"/>
      <c r="AC814" s="70"/>
      <c r="AD814" s="70"/>
      <c r="AE814" s="70"/>
      <c r="AF814" s="70"/>
      <c r="AG814" s="70"/>
      <c r="AH814" s="70"/>
      <c r="AI814" s="70"/>
    </row>
    <row r="815" spans="1:35" ht="15">
      <c r="A815" s="70"/>
      <c r="B815" s="70"/>
      <c r="C815" s="70"/>
      <c r="D815" s="77"/>
      <c r="E815" s="77"/>
      <c r="F815" s="84"/>
      <c r="G815" s="77"/>
      <c r="H815" s="84"/>
      <c r="I815" s="70"/>
      <c r="J815" s="70"/>
      <c r="K815" s="70"/>
      <c r="L815" s="70"/>
      <c r="M815" s="70"/>
      <c r="N815" s="70"/>
      <c r="O815" s="70"/>
      <c r="P815" s="70"/>
      <c r="Q815" s="70"/>
      <c r="R815" s="70"/>
      <c r="S815" s="85"/>
      <c r="T815" s="70"/>
      <c r="U815" s="70"/>
      <c r="V815" s="70"/>
      <c r="W815" s="70"/>
      <c r="X815" s="70"/>
      <c r="Y815" s="70"/>
      <c r="Z815" s="70"/>
      <c r="AA815" s="70"/>
      <c r="AB815" s="70"/>
      <c r="AC815" s="70"/>
      <c r="AD815" s="70"/>
      <c r="AE815" s="70"/>
      <c r="AF815" s="70"/>
      <c r="AG815" s="70"/>
      <c r="AH815" s="70"/>
      <c r="AI815" s="70"/>
    </row>
    <row r="816" spans="1:35" ht="15">
      <c r="A816" s="70"/>
      <c r="B816" s="70"/>
      <c r="C816" s="70"/>
      <c r="D816" s="77"/>
      <c r="E816" s="77"/>
      <c r="F816" s="84"/>
      <c r="G816" s="77"/>
      <c r="H816" s="84"/>
      <c r="I816" s="70"/>
      <c r="J816" s="70"/>
      <c r="K816" s="70"/>
      <c r="L816" s="70"/>
      <c r="M816" s="70"/>
      <c r="N816" s="70"/>
      <c r="O816" s="70"/>
      <c r="P816" s="70"/>
      <c r="Q816" s="70"/>
      <c r="R816" s="70"/>
      <c r="S816" s="85"/>
      <c r="T816" s="70"/>
      <c r="U816" s="70"/>
      <c r="V816" s="70"/>
      <c r="W816" s="70"/>
      <c r="X816" s="70"/>
      <c r="Y816" s="70"/>
      <c r="Z816" s="70"/>
      <c r="AA816" s="70"/>
      <c r="AB816" s="70"/>
      <c r="AC816" s="70"/>
      <c r="AD816" s="70"/>
      <c r="AE816" s="70"/>
      <c r="AF816" s="70"/>
      <c r="AG816" s="70"/>
      <c r="AH816" s="70"/>
      <c r="AI816" s="70"/>
    </row>
    <row r="817" spans="1:35" ht="15">
      <c r="A817" s="70"/>
      <c r="B817" s="70"/>
      <c r="C817" s="70"/>
      <c r="D817" s="77"/>
      <c r="E817" s="77"/>
      <c r="F817" s="84"/>
      <c r="G817" s="77"/>
      <c r="H817" s="84"/>
      <c r="I817" s="70"/>
      <c r="J817" s="70"/>
      <c r="K817" s="70"/>
      <c r="L817" s="70"/>
      <c r="M817" s="70"/>
      <c r="N817" s="70"/>
      <c r="O817" s="70"/>
      <c r="P817" s="70"/>
      <c r="Q817" s="70"/>
      <c r="R817" s="70"/>
      <c r="S817" s="85"/>
      <c r="T817" s="70"/>
      <c r="U817" s="70"/>
      <c r="V817" s="70"/>
      <c r="W817" s="70"/>
      <c r="X817" s="70"/>
      <c r="Y817" s="70"/>
      <c r="Z817" s="70"/>
      <c r="AA817" s="70"/>
      <c r="AB817" s="70"/>
      <c r="AC817" s="70"/>
      <c r="AD817" s="70"/>
      <c r="AE817" s="70"/>
      <c r="AF817" s="70"/>
      <c r="AG817" s="70"/>
      <c r="AH817" s="70"/>
      <c r="AI817" s="70"/>
    </row>
    <row r="818" spans="1:35" ht="15">
      <c r="A818" s="70"/>
      <c r="B818" s="70"/>
      <c r="C818" s="70"/>
      <c r="D818" s="77"/>
      <c r="E818" s="77"/>
      <c r="F818" s="84"/>
      <c r="G818" s="77"/>
      <c r="H818" s="84"/>
      <c r="I818" s="70"/>
      <c r="J818" s="70"/>
      <c r="K818" s="70"/>
      <c r="L818" s="70"/>
      <c r="M818" s="70"/>
      <c r="N818" s="70"/>
      <c r="O818" s="70"/>
      <c r="P818" s="70"/>
      <c r="Q818" s="70"/>
      <c r="R818" s="70"/>
      <c r="S818" s="85"/>
      <c r="T818" s="70"/>
      <c r="U818" s="70"/>
      <c r="V818" s="70"/>
      <c r="W818" s="70"/>
      <c r="X818" s="70"/>
      <c r="Y818" s="70"/>
      <c r="Z818" s="70"/>
      <c r="AA818" s="70"/>
      <c r="AB818" s="70"/>
      <c r="AC818" s="70"/>
      <c r="AD818" s="70"/>
      <c r="AE818" s="70"/>
      <c r="AF818" s="70"/>
      <c r="AG818" s="70"/>
      <c r="AH818" s="70"/>
      <c r="AI818" s="70"/>
    </row>
    <row r="819" spans="1:35" ht="15">
      <c r="A819" s="70"/>
      <c r="B819" s="70"/>
      <c r="C819" s="70"/>
      <c r="D819" s="77"/>
      <c r="E819" s="77"/>
      <c r="F819" s="84"/>
      <c r="G819" s="77"/>
      <c r="H819" s="84"/>
      <c r="I819" s="70"/>
      <c r="J819" s="70"/>
      <c r="K819" s="70"/>
      <c r="L819" s="70"/>
      <c r="M819" s="70"/>
      <c r="N819" s="70"/>
      <c r="O819" s="70"/>
      <c r="P819" s="70"/>
      <c r="Q819" s="70"/>
      <c r="R819" s="70"/>
      <c r="S819" s="85"/>
      <c r="T819" s="70"/>
      <c r="U819" s="70"/>
      <c r="V819" s="70"/>
      <c r="W819" s="70"/>
      <c r="X819" s="70"/>
      <c r="Y819" s="70"/>
      <c r="Z819" s="70"/>
      <c r="AA819" s="70"/>
      <c r="AB819" s="70"/>
      <c r="AC819" s="70"/>
      <c r="AD819" s="70"/>
      <c r="AE819" s="70"/>
      <c r="AF819" s="70"/>
      <c r="AG819" s="70"/>
      <c r="AH819" s="70"/>
      <c r="AI819" s="70"/>
    </row>
    <row r="820" spans="1:35" ht="15">
      <c r="A820" s="70"/>
      <c r="B820" s="70"/>
      <c r="C820" s="70"/>
      <c r="D820" s="77"/>
      <c r="E820" s="77"/>
      <c r="F820" s="84"/>
      <c r="G820" s="77"/>
      <c r="H820" s="84"/>
      <c r="I820" s="70"/>
      <c r="J820" s="70"/>
      <c r="K820" s="70"/>
      <c r="L820" s="70"/>
      <c r="M820" s="70"/>
      <c r="N820" s="70"/>
      <c r="O820" s="70"/>
      <c r="P820" s="70"/>
      <c r="Q820" s="70"/>
      <c r="R820" s="70"/>
      <c r="S820" s="85"/>
      <c r="T820" s="70"/>
      <c r="U820" s="70"/>
      <c r="V820" s="70"/>
      <c r="W820" s="70"/>
      <c r="X820" s="70"/>
      <c r="Y820" s="70"/>
      <c r="Z820" s="70"/>
      <c r="AA820" s="70"/>
      <c r="AB820" s="70"/>
      <c r="AC820" s="70"/>
      <c r="AD820" s="70"/>
      <c r="AE820" s="70"/>
      <c r="AF820" s="70"/>
      <c r="AG820" s="70"/>
      <c r="AH820" s="70"/>
      <c r="AI820" s="70"/>
    </row>
    <row r="821" spans="1:35" ht="15">
      <c r="A821" s="70"/>
      <c r="B821" s="70"/>
      <c r="C821" s="70"/>
      <c r="D821" s="77"/>
      <c r="E821" s="77"/>
      <c r="F821" s="84"/>
      <c r="G821" s="77"/>
      <c r="H821" s="84"/>
      <c r="I821" s="70"/>
      <c r="J821" s="70"/>
      <c r="K821" s="70"/>
      <c r="L821" s="70"/>
      <c r="M821" s="70"/>
      <c r="N821" s="70"/>
      <c r="O821" s="70"/>
      <c r="P821" s="70"/>
      <c r="Q821" s="70"/>
      <c r="R821" s="70"/>
      <c r="S821" s="85"/>
      <c r="T821" s="70"/>
      <c r="U821" s="70"/>
      <c r="V821" s="70"/>
      <c r="W821" s="70"/>
      <c r="X821" s="70"/>
      <c r="Y821" s="70"/>
      <c r="Z821" s="70"/>
      <c r="AA821" s="70"/>
      <c r="AB821" s="70"/>
      <c r="AC821" s="70"/>
      <c r="AD821" s="70"/>
      <c r="AE821" s="70"/>
      <c r="AF821" s="70"/>
      <c r="AG821" s="70"/>
      <c r="AH821" s="70"/>
      <c r="AI821" s="70"/>
    </row>
    <row r="822" spans="1:35" ht="15">
      <c r="A822" s="70"/>
      <c r="B822" s="70"/>
      <c r="C822" s="70"/>
      <c r="D822" s="77"/>
      <c r="E822" s="77"/>
      <c r="F822" s="84"/>
      <c r="G822" s="77"/>
      <c r="H822" s="84"/>
      <c r="I822" s="70"/>
      <c r="J822" s="70"/>
      <c r="K822" s="70"/>
      <c r="L822" s="70"/>
      <c r="M822" s="70"/>
      <c r="N822" s="70"/>
      <c r="O822" s="70"/>
      <c r="P822" s="70"/>
      <c r="Q822" s="70"/>
      <c r="R822" s="70"/>
      <c r="S822" s="85"/>
      <c r="T822" s="70"/>
      <c r="U822" s="70"/>
      <c r="V822" s="70"/>
      <c r="W822" s="70"/>
      <c r="X822" s="70"/>
      <c r="Y822" s="70"/>
      <c r="Z822" s="70"/>
      <c r="AA822" s="70"/>
      <c r="AB822" s="70"/>
      <c r="AC822" s="70"/>
      <c r="AD822" s="70"/>
      <c r="AE822" s="70"/>
      <c r="AF822" s="70"/>
      <c r="AG822" s="70"/>
      <c r="AH822" s="70"/>
      <c r="AI822" s="70"/>
    </row>
    <row r="823" spans="1:35" ht="15">
      <c r="A823" s="70"/>
      <c r="B823" s="70"/>
      <c r="C823" s="70"/>
      <c r="D823" s="77"/>
      <c r="E823" s="77"/>
      <c r="F823" s="84"/>
      <c r="G823" s="77"/>
      <c r="H823" s="84"/>
      <c r="I823" s="70"/>
      <c r="J823" s="70"/>
      <c r="K823" s="70"/>
      <c r="L823" s="70"/>
      <c r="M823" s="70"/>
      <c r="N823" s="70"/>
      <c r="O823" s="70"/>
      <c r="P823" s="70"/>
      <c r="Q823" s="70"/>
      <c r="R823" s="70"/>
      <c r="S823" s="85"/>
      <c r="T823" s="70"/>
      <c r="U823" s="70"/>
      <c r="V823" s="70"/>
      <c r="W823" s="70"/>
      <c r="X823" s="70"/>
      <c r="Y823" s="70"/>
      <c r="Z823" s="70"/>
      <c r="AA823" s="70"/>
      <c r="AB823" s="70"/>
      <c r="AC823" s="70"/>
      <c r="AD823" s="70"/>
      <c r="AE823" s="70"/>
      <c r="AF823" s="70"/>
      <c r="AG823" s="70"/>
      <c r="AH823" s="70"/>
      <c r="AI823" s="70"/>
    </row>
    <row r="824" spans="1:35" ht="15">
      <c r="A824" s="70"/>
      <c r="B824" s="70"/>
      <c r="C824" s="70"/>
      <c r="D824" s="77"/>
      <c r="E824" s="77"/>
      <c r="F824" s="84"/>
      <c r="G824" s="77"/>
      <c r="H824" s="84"/>
      <c r="I824" s="70"/>
      <c r="J824" s="70"/>
      <c r="K824" s="70"/>
      <c r="L824" s="70"/>
      <c r="M824" s="70"/>
      <c r="N824" s="70"/>
      <c r="O824" s="70"/>
      <c r="P824" s="70"/>
      <c r="Q824" s="70"/>
      <c r="R824" s="70"/>
      <c r="S824" s="85"/>
      <c r="T824" s="70"/>
      <c r="U824" s="70"/>
      <c r="V824" s="70"/>
      <c r="W824" s="70"/>
      <c r="X824" s="70"/>
      <c r="Y824" s="70"/>
      <c r="Z824" s="70"/>
      <c r="AA824" s="70"/>
      <c r="AB824" s="70"/>
      <c r="AC824" s="70"/>
      <c r="AD824" s="70"/>
      <c r="AE824" s="70"/>
      <c r="AF824" s="70"/>
      <c r="AG824" s="70"/>
      <c r="AH824" s="70"/>
      <c r="AI824" s="70"/>
    </row>
    <row r="825" spans="1:35" ht="15">
      <c r="A825" s="70"/>
      <c r="B825" s="70"/>
      <c r="C825" s="70"/>
      <c r="D825" s="77"/>
      <c r="E825" s="77"/>
      <c r="F825" s="84"/>
      <c r="G825" s="77"/>
      <c r="H825" s="84"/>
      <c r="I825" s="70"/>
      <c r="J825" s="70"/>
      <c r="K825" s="70"/>
      <c r="L825" s="70"/>
      <c r="M825" s="70"/>
      <c r="N825" s="70"/>
      <c r="O825" s="70"/>
      <c r="P825" s="70"/>
      <c r="Q825" s="70"/>
      <c r="R825" s="70"/>
      <c r="S825" s="85"/>
      <c r="T825" s="70"/>
      <c r="U825" s="70"/>
      <c r="V825" s="70"/>
      <c r="W825" s="70"/>
      <c r="X825" s="70"/>
      <c r="Y825" s="70"/>
      <c r="Z825" s="70"/>
      <c r="AA825" s="70"/>
      <c r="AB825" s="70"/>
      <c r="AC825" s="70"/>
      <c r="AD825" s="70"/>
      <c r="AE825" s="70"/>
      <c r="AF825" s="70"/>
      <c r="AG825" s="70"/>
      <c r="AH825" s="70"/>
      <c r="AI825" s="70"/>
    </row>
    <row r="826" spans="1:35" ht="15">
      <c r="A826" s="70"/>
      <c r="B826" s="70"/>
      <c r="C826" s="70"/>
      <c r="D826" s="77"/>
      <c r="E826" s="77"/>
      <c r="F826" s="84"/>
      <c r="G826" s="77"/>
      <c r="H826" s="84"/>
      <c r="I826" s="70"/>
      <c r="J826" s="70"/>
      <c r="K826" s="70"/>
      <c r="L826" s="70"/>
      <c r="M826" s="70"/>
      <c r="N826" s="70"/>
      <c r="O826" s="70"/>
      <c r="P826" s="70"/>
      <c r="Q826" s="70"/>
      <c r="R826" s="70"/>
      <c r="S826" s="85"/>
      <c r="T826" s="70"/>
      <c r="U826" s="70"/>
      <c r="V826" s="70"/>
      <c r="W826" s="70"/>
      <c r="X826" s="70"/>
      <c r="Y826" s="70"/>
      <c r="Z826" s="70"/>
      <c r="AA826" s="70"/>
      <c r="AB826" s="70"/>
      <c r="AC826" s="70"/>
      <c r="AD826" s="70"/>
      <c r="AE826" s="70"/>
      <c r="AF826" s="70"/>
      <c r="AG826" s="70"/>
      <c r="AH826" s="70"/>
      <c r="AI826" s="70"/>
    </row>
    <row r="827" spans="1:35" ht="15">
      <c r="A827" s="70"/>
      <c r="B827" s="70"/>
      <c r="C827" s="70"/>
      <c r="D827" s="77"/>
      <c r="E827" s="77"/>
      <c r="F827" s="84"/>
      <c r="G827" s="77"/>
      <c r="H827" s="84"/>
      <c r="I827" s="70"/>
      <c r="J827" s="70"/>
      <c r="K827" s="70"/>
      <c r="L827" s="70"/>
      <c r="M827" s="70"/>
      <c r="N827" s="70"/>
      <c r="O827" s="70"/>
      <c r="P827" s="70"/>
      <c r="Q827" s="70"/>
      <c r="R827" s="70"/>
      <c r="S827" s="85"/>
      <c r="T827" s="70"/>
      <c r="U827" s="70"/>
      <c r="V827" s="70"/>
      <c r="W827" s="70"/>
      <c r="X827" s="70"/>
      <c r="Y827" s="70"/>
      <c r="Z827" s="70"/>
      <c r="AA827" s="70"/>
      <c r="AB827" s="70"/>
      <c r="AC827" s="70"/>
      <c r="AD827" s="70"/>
      <c r="AE827" s="70"/>
      <c r="AF827" s="70"/>
      <c r="AG827" s="70"/>
      <c r="AH827" s="70"/>
      <c r="AI827" s="70"/>
    </row>
    <row r="828" spans="1:35" ht="15">
      <c r="A828" s="70"/>
      <c r="B828" s="70"/>
      <c r="C828" s="70"/>
      <c r="D828" s="77"/>
      <c r="E828" s="77"/>
      <c r="F828" s="84"/>
      <c r="G828" s="77"/>
      <c r="H828" s="84"/>
      <c r="I828" s="70"/>
      <c r="J828" s="70"/>
      <c r="K828" s="70"/>
      <c r="L828" s="70"/>
      <c r="M828" s="70"/>
      <c r="N828" s="70"/>
      <c r="O828" s="70"/>
      <c r="P828" s="70"/>
      <c r="Q828" s="70"/>
      <c r="R828" s="70"/>
      <c r="S828" s="85"/>
      <c r="T828" s="70"/>
      <c r="U828" s="70"/>
      <c r="V828" s="70"/>
      <c r="W828" s="70"/>
      <c r="X828" s="70"/>
      <c r="Y828" s="70"/>
      <c r="Z828" s="70"/>
      <c r="AA828" s="70"/>
      <c r="AB828" s="70"/>
      <c r="AC828" s="70"/>
      <c r="AD828" s="70"/>
      <c r="AE828" s="70"/>
      <c r="AF828" s="70"/>
      <c r="AG828" s="70"/>
      <c r="AH828" s="70"/>
      <c r="AI828" s="70"/>
    </row>
    <row r="829" spans="1:35" ht="15">
      <c r="A829" s="70"/>
      <c r="B829" s="70"/>
      <c r="C829" s="70"/>
      <c r="D829" s="77"/>
      <c r="E829" s="77"/>
      <c r="F829" s="84"/>
      <c r="G829" s="77"/>
      <c r="H829" s="84"/>
      <c r="I829" s="70"/>
      <c r="J829" s="70"/>
      <c r="K829" s="70"/>
      <c r="L829" s="70"/>
      <c r="M829" s="70"/>
      <c r="N829" s="70"/>
      <c r="O829" s="70"/>
      <c r="P829" s="70"/>
      <c r="Q829" s="70"/>
      <c r="R829" s="70"/>
      <c r="S829" s="85"/>
      <c r="T829" s="70"/>
      <c r="U829" s="70"/>
      <c r="V829" s="70"/>
      <c r="W829" s="70"/>
      <c r="X829" s="70"/>
      <c r="Y829" s="70"/>
      <c r="Z829" s="70"/>
      <c r="AA829" s="70"/>
      <c r="AB829" s="70"/>
      <c r="AC829" s="70"/>
      <c r="AD829" s="70"/>
      <c r="AE829" s="70"/>
      <c r="AF829" s="70"/>
      <c r="AG829" s="70"/>
      <c r="AH829" s="70"/>
      <c r="AI829" s="70"/>
    </row>
    <row r="830" spans="1:35" ht="15">
      <c r="A830" s="70"/>
      <c r="B830" s="70"/>
      <c r="C830" s="70"/>
      <c r="D830" s="77"/>
      <c r="E830" s="77"/>
      <c r="F830" s="84"/>
      <c r="G830" s="77"/>
      <c r="H830" s="84"/>
      <c r="I830" s="70"/>
      <c r="J830" s="70"/>
      <c r="K830" s="70"/>
      <c r="L830" s="70"/>
      <c r="M830" s="70"/>
      <c r="N830" s="70"/>
      <c r="O830" s="70"/>
      <c r="P830" s="70"/>
      <c r="Q830" s="70"/>
      <c r="R830" s="70"/>
      <c r="S830" s="85"/>
      <c r="T830" s="70"/>
      <c r="U830" s="70"/>
      <c r="V830" s="70"/>
      <c r="W830" s="70"/>
      <c r="X830" s="70"/>
      <c r="Y830" s="70"/>
      <c r="Z830" s="70"/>
      <c r="AA830" s="70"/>
      <c r="AB830" s="70"/>
      <c r="AC830" s="70"/>
      <c r="AD830" s="70"/>
      <c r="AE830" s="70"/>
      <c r="AF830" s="70"/>
      <c r="AG830" s="70"/>
      <c r="AH830" s="70"/>
      <c r="AI830" s="70"/>
    </row>
    <row r="831" spans="1:35" ht="15">
      <c r="A831" s="70"/>
      <c r="B831" s="70"/>
      <c r="C831" s="70"/>
      <c r="D831" s="77"/>
      <c r="E831" s="77"/>
      <c r="F831" s="84"/>
      <c r="G831" s="77"/>
      <c r="H831" s="84"/>
      <c r="I831" s="70"/>
      <c r="J831" s="70"/>
      <c r="K831" s="70"/>
      <c r="L831" s="70"/>
      <c r="M831" s="70"/>
      <c r="N831" s="70"/>
      <c r="O831" s="70"/>
      <c r="P831" s="70"/>
      <c r="Q831" s="70"/>
      <c r="R831" s="70"/>
      <c r="S831" s="85"/>
      <c r="T831" s="70"/>
      <c r="U831" s="70"/>
      <c r="V831" s="70"/>
      <c r="W831" s="70"/>
      <c r="X831" s="70"/>
      <c r="Y831" s="70"/>
      <c r="Z831" s="70"/>
      <c r="AA831" s="70"/>
      <c r="AB831" s="70"/>
      <c r="AC831" s="70"/>
      <c r="AD831" s="70"/>
      <c r="AE831" s="70"/>
      <c r="AF831" s="70"/>
      <c r="AG831" s="70"/>
      <c r="AH831" s="70"/>
      <c r="AI831" s="70"/>
    </row>
    <row r="832" spans="1:35" ht="15">
      <c r="A832" s="70"/>
      <c r="B832" s="70"/>
      <c r="C832" s="70"/>
      <c r="D832" s="77"/>
      <c r="E832" s="77"/>
      <c r="F832" s="84"/>
      <c r="G832" s="77"/>
      <c r="H832" s="84"/>
      <c r="I832" s="70"/>
      <c r="J832" s="70"/>
      <c r="K832" s="70"/>
      <c r="L832" s="70"/>
      <c r="M832" s="70"/>
      <c r="N832" s="70"/>
      <c r="O832" s="70"/>
      <c r="P832" s="70"/>
      <c r="Q832" s="70"/>
      <c r="R832" s="70"/>
      <c r="S832" s="85"/>
      <c r="T832" s="70"/>
      <c r="U832" s="70"/>
      <c r="V832" s="70"/>
      <c r="W832" s="70"/>
      <c r="X832" s="70"/>
      <c r="Y832" s="70"/>
      <c r="Z832" s="70"/>
      <c r="AA832" s="70"/>
      <c r="AB832" s="70"/>
      <c r="AC832" s="70"/>
      <c r="AD832" s="70"/>
      <c r="AE832" s="70"/>
      <c r="AF832" s="70"/>
      <c r="AG832" s="70"/>
      <c r="AH832" s="70"/>
      <c r="AI832" s="70"/>
    </row>
    <row r="833" spans="1:35" ht="15">
      <c r="A833" s="70"/>
      <c r="B833" s="70"/>
      <c r="C833" s="70"/>
      <c r="D833" s="77"/>
      <c r="E833" s="77"/>
      <c r="F833" s="84"/>
      <c r="G833" s="77"/>
      <c r="H833" s="84"/>
      <c r="I833" s="70"/>
      <c r="J833" s="70"/>
      <c r="K833" s="70"/>
      <c r="L833" s="70"/>
      <c r="M833" s="70"/>
      <c r="N833" s="70"/>
      <c r="O833" s="70"/>
      <c r="P833" s="70"/>
      <c r="Q833" s="70"/>
      <c r="R833" s="70"/>
      <c r="S833" s="85"/>
      <c r="T833" s="70"/>
      <c r="U833" s="70"/>
      <c r="V833" s="70"/>
      <c r="W833" s="70"/>
      <c r="X833" s="70"/>
      <c r="Y833" s="70"/>
      <c r="Z833" s="70"/>
      <c r="AA833" s="70"/>
      <c r="AB833" s="70"/>
      <c r="AC833" s="70"/>
      <c r="AD833" s="70"/>
      <c r="AE833" s="70"/>
      <c r="AF833" s="70"/>
      <c r="AG833" s="70"/>
      <c r="AH833" s="70"/>
      <c r="AI833" s="70"/>
    </row>
    <row r="834" spans="1:35" ht="15">
      <c r="A834" s="70"/>
      <c r="B834" s="70"/>
      <c r="C834" s="70"/>
      <c r="D834" s="77"/>
      <c r="E834" s="77"/>
      <c r="F834" s="84"/>
      <c r="G834" s="77"/>
      <c r="H834" s="84"/>
      <c r="I834" s="70"/>
      <c r="J834" s="70"/>
      <c r="K834" s="70"/>
      <c r="L834" s="70"/>
      <c r="M834" s="70"/>
      <c r="N834" s="70"/>
      <c r="O834" s="70"/>
      <c r="P834" s="70"/>
      <c r="Q834" s="70"/>
      <c r="R834" s="70"/>
      <c r="S834" s="85"/>
      <c r="T834" s="70"/>
      <c r="U834" s="70"/>
      <c r="V834" s="70"/>
      <c r="W834" s="70"/>
      <c r="X834" s="70"/>
      <c r="Y834" s="70"/>
      <c r="Z834" s="70"/>
      <c r="AA834" s="70"/>
      <c r="AB834" s="70"/>
      <c r="AC834" s="70"/>
      <c r="AD834" s="70"/>
      <c r="AE834" s="70"/>
      <c r="AF834" s="70"/>
      <c r="AG834" s="70"/>
      <c r="AH834" s="70"/>
      <c r="AI834" s="70"/>
    </row>
    <row r="835" spans="1:35" ht="15">
      <c r="A835" s="70"/>
      <c r="B835" s="70"/>
      <c r="C835" s="70"/>
      <c r="D835" s="77"/>
      <c r="E835" s="77"/>
      <c r="F835" s="84"/>
      <c r="G835" s="77"/>
      <c r="H835" s="84"/>
      <c r="I835" s="70"/>
      <c r="J835" s="70"/>
      <c r="K835" s="70"/>
      <c r="L835" s="70"/>
      <c r="M835" s="70"/>
      <c r="N835" s="70"/>
      <c r="O835" s="70"/>
      <c r="P835" s="70"/>
      <c r="Q835" s="70"/>
      <c r="R835" s="70"/>
      <c r="S835" s="85"/>
      <c r="T835" s="70"/>
      <c r="U835" s="70"/>
      <c r="V835" s="70"/>
      <c r="W835" s="70"/>
      <c r="X835" s="70"/>
      <c r="Y835" s="70"/>
      <c r="Z835" s="70"/>
      <c r="AA835" s="70"/>
      <c r="AB835" s="70"/>
      <c r="AC835" s="70"/>
      <c r="AD835" s="70"/>
      <c r="AE835" s="70"/>
      <c r="AF835" s="70"/>
      <c r="AG835" s="70"/>
      <c r="AH835" s="70"/>
      <c r="AI835" s="70"/>
    </row>
    <row r="836" spans="1:35" ht="15">
      <c r="A836" s="70"/>
      <c r="B836" s="70"/>
      <c r="C836" s="70"/>
      <c r="D836" s="77"/>
      <c r="E836" s="77"/>
      <c r="F836" s="84"/>
      <c r="G836" s="77"/>
      <c r="H836" s="84"/>
      <c r="I836" s="70"/>
      <c r="J836" s="70"/>
      <c r="K836" s="70"/>
      <c r="L836" s="70"/>
      <c r="M836" s="70"/>
      <c r="N836" s="70"/>
      <c r="O836" s="70"/>
      <c r="P836" s="70"/>
      <c r="Q836" s="70"/>
      <c r="R836" s="70"/>
      <c r="S836" s="85"/>
      <c r="T836" s="70"/>
      <c r="U836" s="70"/>
      <c r="V836" s="70"/>
      <c r="W836" s="70"/>
      <c r="X836" s="70"/>
      <c r="Y836" s="70"/>
      <c r="Z836" s="70"/>
      <c r="AA836" s="70"/>
      <c r="AB836" s="70"/>
      <c r="AC836" s="70"/>
      <c r="AD836" s="70"/>
      <c r="AE836" s="70"/>
      <c r="AF836" s="70"/>
      <c r="AG836" s="70"/>
      <c r="AH836" s="70"/>
      <c r="AI836" s="70"/>
    </row>
    <row r="837" spans="1:35" ht="15">
      <c r="A837" s="70"/>
      <c r="B837" s="70"/>
      <c r="C837" s="70"/>
      <c r="D837" s="77"/>
      <c r="E837" s="77"/>
      <c r="F837" s="84"/>
      <c r="G837" s="77"/>
      <c r="H837" s="84"/>
      <c r="I837" s="70"/>
      <c r="J837" s="70"/>
      <c r="K837" s="70"/>
      <c r="L837" s="70"/>
      <c r="M837" s="70"/>
      <c r="N837" s="70"/>
      <c r="O837" s="70"/>
      <c r="P837" s="70"/>
      <c r="Q837" s="70"/>
      <c r="R837" s="70"/>
      <c r="S837" s="85"/>
      <c r="T837" s="70"/>
      <c r="U837" s="70"/>
      <c r="V837" s="70"/>
      <c r="W837" s="70"/>
      <c r="X837" s="70"/>
      <c r="Y837" s="70"/>
      <c r="Z837" s="70"/>
      <c r="AA837" s="70"/>
      <c r="AB837" s="70"/>
      <c r="AC837" s="70"/>
      <c r="AD837" s="70"/>
      <c r="AE837" s="70"/>
      <c r="AF837" s="70"/>
      <c r="AG837" s="70"/>
      <c r="AH837" s="70"/>
      <c r="AI837" s="70"/>
    </row>
    <row r="838" spans="1:35" ht="15">
      <c r="A838" s="70"/>
      <c r="B838" s="70"/>
      <c r="C838" s="70"/>
      <c r="D838" s="77"/>
      <c r="E838" s="77"/>
      <c r="F838" s="84"/>
      <c r="G838" s="77"/>
      <c r="H838" s="84"/>
      <c r="I838" s="70"/>
      <c r="J838" s="70"/>
      <c r="K838" s="70"/>
      <c r="L838" s="70"/>
      <c r="M838" s="70"/>
      <c r="N838" s="70"/>
      <c r="O838" s="70"/>
      <c r="P838" s="70"/>
      <c r="Q838" s="70"/>
      <c r="R838" s="70"/>
      <c r="S838" s="85"/>
      <c r="T838" s="70"/>
      <c r="U838" s="70"/>
      <c r="V838" s="70"/>
      <c r="W838" s="70"/>
      <c r="X838" s="70"/>
      <c r="Y838" s="70"/>
      <c r="Z838" s="70"/>
      <c r="AA838" s="70"/>
      <c r="AB838" s="70"/>
      <c r="AC838" s="70"/>
      <c r="AD838" s="70"/>
      <c r="AE838" s="70"/>
      <c r="AF838" s="70"/>
      <c r="AG838" s="70"/>
      <c r="AH838" s="70"/>
      <c r="AI838" s="70"/>
    </row>
    <row r="839" spans="1:35" ht="15">
      <c r="A839" s="70"/>
      <c r="B839" s="70"/>
      <c r="C839" s="70"/>
      <c r="D839" s="77"/>
      <c r="E839" s="77"/>
      <c r="F839" s="84"/>
      <c r="G839" s="77"/>
      <c r="H839" s="84"/>
      <c r="I839" s="70"/>
      <c r="J839" s="70"/>
      <c r="K839" s="70"/>
      <c r="L839" s="70"/>
      <c r="M839" s="70"/>
      <c r="N839" s="70"/>
      <c r="O839" s="70"/>
      <c r="P839" s="70"/>
      <c r="Q839" s="70"/>
      <c r="R839" s="70"/>
      <c r="S839" s="85"/>
      <c r="T839" s="70"/>
      <c r="U839" s="70"/>
      <c r="V839" s="70"/>
      <c r="W839" s="70"/>
      <c r="X839" s="70"/>
      <c r="Y839" s="70"/>
      <c r="Z839" s="70"/>
      <c r="AA839" s="70"/>
      <c r="AB839" s="70"/>
      <c r="AC839" s="70"/>
      <c r="AD839" s="70"/>
      <c r="AE839" s="70"/>
      <c r="AF839" s="70"/>
      <c r="AG839" s="70"/>
      <c r="AH839" s="70"/>
      <c r="AI839" s="70"/>
    </row>
    <row r="840" spans="1:35" ht="15">
      <c r="A840" s="70"/>
      <c r="B840" s="70"/>
      <c r="C840" s="70"/>
      <c r="D840" s="77"/>
      <c r="E840" s="77"/>
      <c r="F840" s="84"/>
      <c r="G840" s="77"/>
      <c r="H840" s="84"/>
      <c r="I840" s="70"/>
      <c r="J840" s="70"/>
      <c r="K840" s="70"/>
      <c r="L840" s="70"/>
      <c r="M840" s="70"/>
      <c r="N840" s="70"/>
      <c r="O840" s="70"/>
      <c r="P840" s="70"/>
      <c r="Q840" s="70"/>
      <c r="R840" s="70"/>
      <c r="S840" s="85"/>
      <c r="T840" s="70"/>
      <c r="U840" s="70"/>
      <c r="V840" s="70"/>
      <c r="W840" s="70"/>
      <c r="X840" s="70"/>
      <c r="Y840" s="70"/>
      <c r="Z840" s="70"/>
      <c r="AA840" s="70"/>
      <c r="AB840" s="70"/>
      <c r="AC840" s="70"/>
      <c r="AD840" s="70"/>
      <c r="AE840" s="70"/>
      <c r="AF840" s="70"/>
      <c r="AG840" s="70"/>
      <c r="AH840" s="70"/>
      <c r="AI840" s="70"/>
    </row>
    <row r="841" spans="1:35" ht="15">
      <c r="A841" s="70"/>
      <c r="B841" s="70"/>
      <c r="C841" s="70"/>
      <c r="D841" s="77"/>
      <c r="E841" s="77"/>
      <c r="F841" s="84"/>
      <c r="G841" s="77"/>
      <c r="H841" s="84"/>
      <c r="I841" s="70"/>
      <c r="J841" s="70"/>
      <c r="K841" s="70"/>
      <c r="L841" s="70"/>
      <c r="M841" s="70"/>
      <c r="N841" s="70"/>
      <c r="O841" s="70"/>
      <c r="P841" s="70"/>
      <c r="Q841" s="70"/>
      <c r="R841" s="70"/>
      <c r="S841" s="85"/>
      <c r="T841" s="70"/>
      <c r="U841" s="70"/>
      <c r="V841" s="70"/>
      <c r="W841" s="70"/>
      <c r="X841" s="70"/>
      <c r="Y841" s="70"/>
      <c r="Z841" s="70"/>
      <c r="AA841" s="70"/>
      <c r="AB841" s="70"/>
      <c r="AC841" s="70"/>
      <c r="AD841" s="70"/>
      <c r="AE841" s="70"/>
      <c r="AF841" s="70"/>
      <c r="AG841" s="70"/>
      <c r="AH841" s="70"/>
      <c r="AI841" s="70"/>
    </row>
    <row r="842" spans="1:35" ht="15">
      <c r="A842" s="70"/>
      <c r="B842" s="70"/>
      <c r="C842" s="70"/>
      <c r="D842" s="77"/>
      <c r="E842" s="77"/>
      <c r="F842" s="84"/>
      <c r="G842" s="77"/>
      <c r="H842" s="84"/>
      <c r="I842" s="70"/>
      <c r="J842" s="70"/>
      <c r="K842" s="70"/>
      <c r="L842" s="70"/>
      <c r="M842" s="70"/>
      <c r="N842" s="70"/>
      <c r="O842" s="70"/>
      <c r="P842" s="70"/>
      <c r="Q842" s="70"/>
      <c r="R842" s="70"/>
      <c r="S842" s="85"/>
      <c r="T842" s="70"/>
      <c r="U842" s="70"/>
      <c r="V842" s="70"/>
      <c r="W842" s="70"/>
      <c r="X842" s="70"/>
      <c r="Y842" s="70"/>
      <c r="Z842" s="70"/>
      <c r="AA842" s="70"/>
      <c r="AB842" s="70"/>
      <c r="AC842" s="70"/>
      <c r="AD842" s="70"/>
      <c r="AE842" s="70"/>
      <c r="AF842" s="70"/>
      <c r="AG842" s="70"/>
      <c r="AH842" s="70"/>
      <c r="AI842" s="70"/>
    </row>
    <row r="843" spans="1:35" ht="15">
      <c r="A843" s="70"/>
      <c r="B843" s="70"/>
      <c r="C843" s="70"/>
      <c r="D843" s="77"/>
      <c r="E843" s="77"/>
      <c r="F843" s="84"/>
      <c r="G843" s="77"/>
      <c r="H843" s="84"/>
      <c r="I843" s="70"/>
      <c r="J843" s="70"/>
      <c r="K843" s="70"/>
      <c r="L843" s="70"/>
      <c r="M843" s="70"/>
      <c r="N843" s="70"/>
      <c r="O843" s="70"/>
      <c r="P843" s="70"/>
      <c r="Q843" s="70"/>
      <c r="R843" s="70"/>
      <c r="S843" s="85"/>
      <c r="T843" s="70"/>
      <c r="U843" s="70"/>
      <c r="V843" s="70"/>
      <c r="W843" s="70"/>
      <c r="X843" s="70"/>
      <c r="Y843" s="70"/>
      <c r="Z843" s="70"/>
      <c r="AA843" s="70"/>
      <c r="AB843" s="70"/>
      <c r="AC843" s="70"/>
      <c r="AD843" s="70"/>
      <c r="AE843" s="70"/>
      <c r="AF843" s="70"/>
      <c r="AG843" s="70"/>
      <c r="AH843" s="70"/>
      <c r="AI843" s="70"/>
    </row>
    <row r="844" spans="1:35" ht="15">
      <c r="A844" s="70"/>
      <c r="B844" s="70"/>
      <c r="C844" s="70"/>
      <c r="D844" s="77"/>
      <c r="E844" s="77"/>
      <c r="F844" s="84"/>
      <c r="G844" s="77"/>
      <c r="H844" s="84"/>
      <c r="I844" s="70"/>
      <c r="J844" s="70"/>
      <c r="K844" s="70"/>
      <c r="L844" s="70"/>
      <c r="M844" s="70"/>
      <c r="N844" s="70"/>
      <c r="O844" s="70"/>
      <c r="P844" s="70"/>
      <c r="Q844" s="70"/>
      <c r="R844" s="70"/>
      <c r="S844" s="85"/>
      <c r="T844" s="70"/>
      <c r="U844" s="70"/>
      <c r="V844" s="70"/>
      <c r="W844" s="70"/>
      <c r="X844" s="70"/>
      <c r="Y844" s="70"/>
      <c r="Z844" s="70"/>
      <c r="AA844" s="70"/>
      <c r="AB844" s="70"/>
      <c r="AC844" s="70"/>
      <c r="AD844" s="70"/>
      <c r="AE844" s="70"/>
      <c r="AF844" s="70"/>
      <c r="AG844" s="70"/>
      <c r="AH844" s="70"/>
      <c r="AI844" s="70"/>
    </row>
    <row r="845" spans="1:35" ht="15">
      <c r="A845" s="70"/>
      <c r="B845" s="70"/>
      <c r="C845" s="70"/>
      <c r="D845" s="77"/>
      <c r="E845" s="77"/>
      <c r="F845" s="84"/>
      <c r="G845" s="77"/>
      <c r="H845" s="84"/>
      <c r="I845" s="70"/>
      <c r="J845" s="70"/>
      <c r="K845" s="70"/>
      <c r="L845" s="70"/>
      <c r="M845" s="70"/>
      <c r="N845" s="70"/>
      <c r="O845" s="70"/>
      <c r="P845" s="70"/>
      <c r="Q845" s="70"/>
      <c r="R845" s="70"/>
      <c r="S845" s="85"/>
      <c r="T845" s="70"/>
      <c r="U845" s="70"/>
      <c r="V845" s="70"/>
      <c r="W845" s="70"/>
      <c r="X845" s="70"/>
      <c r="Y845" s="70"/>
      <c r="Z845" s="70"/>
      <c r="AA845" s="70"/>
      <c r="AB845" s="70"/>
      <c r="AC845" s="70"/>
      <c r="AD845" s="70"/>
      <c r="AE845" s="70"/>
      <c r="AF845" s="70"/>
      <c r="AG845" s="70"/>
      <c r="AH845" s="70"/>
      <c r="AI845" s="70"/>
    </row>
    <row r="846" spans="1:35" ht="15">
      <c r="A846" s="70"/>
      <c r="B846" s="70"/>
      <c r="C846" s="70"/>
      <c r="D846" s="77"/>
      <c r="E846" s="77"/>
      <c r="F846" s="84"/>
      <c r="G846" s="77"/>
      <c r="H846" s="84"/>
      <c r="I846" s="70"/>
      <c r="J846" s="70"/>
      <c r="K846" s="70"/>
      <c r="L846" s="70"/>
      <c r="M846" s="70"/>
      <c r="N846" s="70"/>
      <c r="O846" s="70"/>
      <c r="P846" s="70"/>
      <c r="Q846" s="70"/>
      <c r="R846" s="70"/>
      <c r="S846" s="85"/>
      <c r="T846" s="70"/>
      <c r="U846" s="70"/>
      <c r="V846" s="70"/>
      <c r="W846" s="70"/>
      <c r="X846" s="70"/>
      <c r="Y846" s="70"/>
      <c r="Z846" s="70"/>
      <c r="AA846" s="70"/>
      <c r="AB846" s="70"/>
      <c r="AC846" s="70"/>
      <c r="AD846" s="70"/>
      <c r="AE846" s="70"/>
      <c r="AF846" s="70"/>
      <c r="AG846" s="70"/>
      <c r="AH846" s="70"/>
      <c r="AI846" s="70"/>
    </row>
    <row r="847" spans="1:35" ht="15">
      <c r="A847" s="70"/>
      <c r="B847" s="70"/>
      <c r="C847" s="70"/>
      <c r="D847" s="77"/>
      <c r="E847" s="77"/>
      <c r="F847" s="84"/>
      <c r="G847" s="77"/>
      <c r="H847" s="84"/>
      <c r="I847" s="70"/>
      <c r="J847" s="70"/>
      <c r="K847" s="70"/>
      <c r="L847" s="70"/>
      <c r="M847" s="70"/>
      <c r="N847" s="70"/>
      <c r="O847" s="70"/>
      <c r="P847" s="70"/>
      <c r="Q847" s="70"/>
      <c r="R847" s="70"/>
      <c r="S847" s="85"/>
      <c r="T847" s="70"/>
      <c r="U847" s="70"/>
      <c r="V847" s="70"/>
      <c r="W847" s="70"/>
      <c r="X847" s="70"/>
      <c r="Y847" s="70"/>
      <c r="Z847" s="70"/>
      <c r="AA847" s="70"/>
      <c r="AB847" s="70"/>
      <c r="AC847" s="70"/>
      <c r="AD847" s="70"/>
      <c r="AE847" s="70"/>
      <c r="AF847" s="70"/>
      <c r="AG847" s="70"/>
      <c r="AH847" s="70"/>
      <c r="AI847" s="70"/>
    </row>
    <row r="848" spans="1:35" ht="15">
      <c r="A848" s="70"/>
      <c r="B848" s="70"/>
      <c r="C848" s="70"/>
      <c r="D848" s="77"/>
      <c r="E848" s="77"/>
      <c r="F848" s="84"/>
      <c r="G848" s="77"/>
      <c r="H848" s="84"/>
      <c r="I848" s="70"/>
      <c r="J848" s="70"/>
      <c r="K848" s="70"/>
      <c r="L848" s="70"/>
      <c r="M848" s="70"/>
      <c r="N848" s="70"/>
      <c r="O848" s="70"/>
      <c r="P848" s="70"/>
      <c r="Q848" s="70"/>
      <c r="R848" s="70"/>
      <c r="S848" s="85"/>
      <c r="T848" s="70"/>
      <c r="U848" s="70"/>
      <c r="V848" s="70"/>
      <c r="W848" s="70"/>
      <c r="X848" s="70"/>
      <c r="Y848" s="70"/>
      <c r="Z848" s="70"/>
      <c r="AA848" s="70"/>
      <c r="AB848" s="70"/>
      <c r="AC848" s="70"/>
      <c r="AD848" s="70"/>
      <c r="AE848" s="70"/>
      <c r="AF848" s="70"/>
      <c r="AG848" s="70"/>
      <c r="AH848" s="70"/>
      <c r="AI848" s="70"/>
    </row>
    <row r="849" spans="1:35" ht="15">
      <c r="A849" s="70"/>
      <c r="B849" s="70"/>
      <c r="C849" s="70"/>
      <c r="D849" s="77"/>
      <c r="E849" s="77"/>
      <c r="F849" s="84"/>
      <c r="G849" s="77"/>
      <c r="H849" s="84"/>
      <c r="I849" s="70"/>
      <c r="J849" s="70"/>
      <c r="K849" s="70"/>
      <c r="L849" s="70"/>
      <c r="M849" s="70"/>
      <c r="N849" s="70"/>
      <c r="O849" s="70"/>
      <c r="P849" s="70"/>
      <c r="Q849" s="70"/>
      <c r="R849" s="70"/>
      <c r="S849" s="85"/>
      <c r="T849" s="70"/>
      <c r="U849" s="70"/>
      <c r="V849" s="70"/>
      <c r="W849" s="70"/>
      <c r="X849" s="70"/>
      <c r="Y849" s="70"/>
      <c r="Z849" s="70"/>
      <c r="AA849" s="70"/>
      <c r="AB849" s="70"/>
      <c r="AC849" s="70"/>
      <c r="AD849" s="70"/>
      <c r="AE849" s="70"/>
      <c r="AF849" s="70"/>
      <c r="AG849" s="70"/>
      <c r="AH849" s="70"/>
      <c r="AI849" s="70"/>
    </row>
    <row r="850" spans="1:35" ht="15">
      <c r="A850" s="70"/>
      <c r="B850" s="70"/>
      <c r="C850" s="70"/>
      <c r="D850" s="77"/>
      <c r="E850" s="77"/>
      <c r="F850" s="84"/>
      <c r="G850" s="77"/>
      <c r="H850" s="84"/>
      <c r="I850" s="70"/>
      <c r="J850" s="70"/>
      <c r="K850" s="70"/>
      <c r="L850" s="70"/>
      <c r="M850" s="70"/>
      <c r="N850" s="70"/>
      <c r="O850" s="70"/>
      <c r="P850" s="70"/>
      <c r="Q850" s="70"/>
      <c r="R850" s="70"/>
      <c r="S850" s="85"/>
      <c r="T850" s="70"/>
      <c r="U850" s="70"/>
      <c r="V850" s="70"/>
      <c r="W850" s="70"/>
      <c r="X850" s="70"/>
      <c r="Y850" s="70"/>
      <c r="Z850" s="70"/>
      <c r="AA850" s="70"/>
      <c r="AB850" s="70"/>
      <c r="AC850" s="70"/>
      <c r="AD850" s="70"/>
      <c r="AE850" s="70"/>
      <c r="AF850" s="70"/>
      <c r="AG850" s="70"/>
      <c r="AH850" s="70"/>
      <c r="AI850" s="70"/>
    </row>
    <row r="851" spans="1:35" ht="15">
      <c r="A851" s="70"/>
      <c r="B851" s="70"/>
      <c r="C851" s="70"/>
      <c r="D851" s="77"/>
      <c r="E851" s="77"/>
      <c r="F851" s="84"/>
      <c r="G851" s="77"/>
      <c r="H851" s="84"/>
      <c r="I851" s="70"/>
      <c r="J851" s="70"/>
      <c r="K851" s="70"/>
      <c r="L851" s="70"/>
      <c r="M851" s="70"/>
      <c r="N851" s="70"/>
      <c r="O851" s="70"/>
      <c r="P851" s="70"/>
      <c r="Q851" s="70"/>
      <c r="R851" s="70"/>
      <c r="S851" s="85"/>
      <c r="T851" s="70"/>
      <c r="U851" s="70"/>
      <c r="V851" s="70"/>
      <c r="W851" s="70"/>
      <c r="X851" s="70"/>
      <c r="Y851" s="70"/>
      <c r="Z851" s="70"/>
      <c r="AA851" s="70"/>
      <c r="AB851" s="70"/>
      <c r="AC851" s="70"/>
      <c r="AD851" s="70"/>
      <c r="AE851" s="70"/>
      <c r="AF851" s="70"/>
      <c r="AG851" s="70"/>
      <c r="AH851" s="70"/>
      <c r="AI851" s="70"/>
    </row>
    <row r="852" spans="1:35" ht="15">
      <c r="A852" s="70"/>
      <c r="B852" s="70"/>
      <c r="C852" s="70"/>
      <c r="D852" s="77"/>
      <c r="E852" s="77"/>
      <c r="F852" s="84"/>
      <c r="G852" s="77"/>
      <c r="H852" s="84"/>
      <c r="I852" s="70"/>
      <c r="J852" s="70"/>
      <c r="K852" s="70"/>
      <c r="L852" s="70"/>
      <c r="M852" s="70"/>
      <c r="N852" s="70"/>
      <c r="O852" s="70"/>
      <c r="P852" s="70"/>
      <c r="Q852" s="70"/>
      <c r="R852" s="70"/>
      <c r="S852" s="85"/>
      <c r="T852" s="70"/>
      <c r="U852" s="70"/>
      <c r="V852" s="70"/>
      <c r="W852" s="70"/>
      <c r="X852" s="70"/>
      <c r="Y852" s="70"/>
      <c r="Z852" s="70"/>
      <c r="AA852" s="70"/>
      <c r="AB852" s="70"/>
      <c r="AC852" s="70"/>
      <c r="AD852" s="70"/>
      <c r="AE852" s="70"/>
      <c r="AF852" s="70"/>
      <c r="AG852" s="70"/>
      <c r="AH852" s="70"/>
      <c r="AI852" s="70"/>
    </row>
    <row r="853" spans="1:35" ht="15">
      <c r="A853" s="70"/>
      <c r="B853" s="70"/>
      <c r="C853" s="70"/>
      <c r="D853" s="77"/>
      <c r="E853" s="77"/>
      <c r="F853" s="84"/>
      <c r="G853" s="77"/>
      <c r="H853" s="84"/>
      <c r="I853" s="70"/>
      <c r="J853" s="70"/>
      <c r="K853" s="70"/>
      <c r="L853" s="70"/>
      <c r="M853" s="70"/>
      <c r="N853" s="70"/>
      <c r="O853" s="70"/>
      <c r="P853" s="70"/>
      <c r="Q853" s="70"/>
      <c r="R853" s="70"/>
      <c r="S853" s="85"/>
      <c r="T853" s="70"/>
      <c r="U853" s="70"/>
      <c r="V853" s="70"/>
      <c r="W853" s="70"/>
      <c r="X853" s="70"/>
      <c r="Y853" s="70"/>
      <c r="Z853" s="70"/>
      <c r="AA853" s="70"/>
      <c r="AB853" s="70"/>
      <c r="AC853" s="70"/>
      <c r="AD853" s="70"/>
      <c r="AE853" s="70"/>
      <c r="AF853" s="70"/>
      <c r="AG853" s="70"/>
      <c r="AH853" s="70"/>
      <c r="AI853" s="70"/>
    </row>
    <row r="854" spans="1:35" ht="15">
      <c r="A854" s="70"/>
      <c r="B854" s="70"/>
      <c r="C854" s="70"/>
      <c r="D854" s="77"/>
      <c r="E854" s="77"/>
      <c r="F854" s="84"/>
      <c r="G854" s="77"/>
      <c r="H854" s="84"/>
      <c r="I854" s="70"/>
      <c r="J854" s="70"/>
      <c r="K854" s="70"/>
      <c r="L854" s="70"/>
      <c r="M854" s="70"/>
      <c r="N854" s="70"/>
      <c r="O854" s="70"/>
      <c r="P854" s="70"/>
      <c r="Q854" s="70"/>
      <c r="R854" s="70"/>
      <c r="S854" s="85"/>
      <c r="T854" s="70"/>
      <c r="U854" s="70"/>
      <c r="V854" s="70"/>
      <c r="W854" s="70"/>
      <c r="X854" s="70"/>
      <c r="Y854" s="70"/>
      <c r="Z854" s="70"/>
      <c r="AA854" s="70"/>
      <c r="AB854" s="70"/>
      <c r="AC854" s="70"/>
      <c r="AD854" s="70"/>
      <c r="AE854" s="70"/>
      <c r="AF854" s="70"/>
      <c r="AG854" s="70"/>
      <c r="AH854" s="70"/>
      <c r="AI854" s="70"/>
    </row>
    <row r="855" spans="1:35" ht="15">
      <c r="A855" s="70"/>
      <c r="B855" s="70"/>
      <c r="C855" s="70"/>
      <c r="D855" s="77"/>
      <c r="E855" s="77"/>
      <c r="F855" s="84"/>
      <c r="G855" s="77"/>
      <c r="H855" s="84"/>
      <c r="I855" s="70"/>
      <c r="J855" s="70"/>
      <c r="K855" s="70"/>
      <c r="L855" s="70"/>
      <c r="M855" s="70"/>
      <c r="N855" s="70"/>
      <c r="O855" s="70"/>
      <c r="P855" s="70"/>
      <c r="Q855" s="70"/>
      <c r="R855" s="70"/>
      <c r="S855" s="85"/>
      <c r="T855" s="70"/>
      <c r="U855" s="70"/>
      <c r="V855" s="70"/>
      <c r="W855" s="70"/>
      <c r="X855" s="70"/>
      <c r="Y855" s="70"/>
      <c r="Z855" s="70"/>
      <c r="AA855" s="70"/>
      <c r="AB855" s="70"/>
      <c r="AC855" s="70"/>
      <c r="AD855" s="70"/>
      <c r="AE855" s="70"/>
      <c r="AF855" s="70"/>
      <c r="AG855" s="70"/>
      <c r="AH855" s="70"/>
      <c r="AI855" s="70"/>
    </row>
    <row r="856" spans="1:35" ht="15">
      <c r="A856" s="70"/>
      <c r="B856" s="70"/>
      <c r="C856" s="70"/>
      <c r="D856" s="77"/>
      <c r="E856" s="77"/>
      <c r="F856" s="84"/>
      <c r="G856" s="77"/>
      <c r="H856" s="84"/>
      <c r="I856" s="70"/>
      <c r="J856" s="70"/>
      <c r="K856" s="70"/>
      <c r="L856" s="70"/>
      <c r="M856" s="70"/>
      <c r="N856" s="70"/>
      <c r="O856" s="70"/>
      <c r="P856" s="70"/>
      <c r="Q856" s="70"/>
      <c r="R856" s="70"/>
      <c r="S856" s="85"/>
      <c r="T856" s="70"/>
      <c r="U856" s="70"/>
      <c r="V856" s="70"/>
      <c r="W856" s="70"/>
      <c r="X856" s="70"/>
      <c r="Y856" s="70"/>
      <c r="Z856" s="70"/>
      <c r="AA856" s="70"/>
      <c r="AB856" s="70"/>
      <c r="AC856" s="70"/>
      <c r="AD856" s="70"/>
      <c r="AE856" s="70"/>
      <c r="AF856" s="70"/>
      <c r="AG856" s="70"/>
      <c r="AH856" s="70"/>
      <c r="AI856" s="70"/>
    </row>
    <row r="857" spans="1:35" ht="15">
      <c r="A857" s="70"/>
      <c r="B857" s="70"/>
      <c r="C857" s="70"/>
      <c r="D857" s="77"/>
      <c r="E857" s="77"/>
      <c r="F857" s="84"/>
      <c r="G857" s="77"/>
      <c r="H857" s="84"/>
      <c r="I857" s="70"/>
      <c r="J857" s="70"/>
      <c r="K857" s="70"/>
      <c r="L857" s="70"/>
      <c r="M857" s="70"/>
      <c r="N857" s="70"/>
      <c r="O857" s="70"/>
      <c r="P857" s="70"/>
      <c r="Q857" s="70"/>
      <c r="R857" s="70"/>
      <c r="S857" s="85"/>
      <c r="T857" s="70"/>
      <c r="U857" s="70"/>
      <c r="V857" s="70"/>
      <c r="W857" s="70"/>
      <c r="X857" s="70"/>
      <c r="Y857" s="70"/>
      <c r="Z857" s="70"/>
      <c r="AA857" s="70"/>
      <c r="AB857" s="70"/>
      <c r="AC857" s="70"/>
      <c r="AD857" s="70"/>
      <c r="AE857" s="70"/>
      <c r="AF857" s="70"/>
      <c r="AG857" s="70"/>
      <c r="AH857" s="70"/>
      <c r="AI857" s="70"/>
    </row>
    <row r="858" spans="1:35" ht="15">
      <c r="A858" s="70"/>
      <c r="B858" s="70"/>
      <c r="C858" s="70"/>
      <c r="D858" s="77"/>
      <c r="E858" s="77"/>
      <c r="F858" s="84"/>
      <c r="G858" s="77"/>
      <c r="H858" s="84"/>
      <c r="I858" s="70"/>
      <c r="J858" s="70"/>
      <c r="K858" s="70"/>
      <c r="L858" s="70"/>
      <c r="M858" s="70"/>
      <c r="N858" s="70"/>
      <c r="O858" s="70"/>
      <c r="P858" s="70"/>
      <c r="Q858" s="70"/>
      <c r="R858" s="70"/>
      <c r="S858" s="85"/>
      <c r="T858" s="70"/>
      <c r="U858" s="70"/>
      <c r="V858" s="70"/>
      <c r="W858" s="70"/>
      <c r="X858" s="70"/>
      <c r="Y858" s="70"/>
      <c r="Z858" s="70"/>
      <c r="AA858" s="70"/>
      <c r="AB858" s="70"/>
      <c r="AC858" s="70"/>
      <c r="AD858" s="70"/>
      <c r="AE858" s="70"/>
      <c r="AF858" s="70"/>
      <c r="AG858" s="70"/>
      <c r="AH858" s="70"/>
      <c r="AI858" s="70"/>
    </row>
    <row r="859" spans="1:35" ht="15">
      <c r="A859" s="70"/>
      <c r="B859" s="70"/>
      <c r="C859" s="70"/>
      <c r="D859" s="77"/>
      <c r="E859" s="77"/>
      <c r="F859" s="84"/>
      <c r="G859" s="77"/>
      <c r="H859" s="84"/>
      <c r="I859" s="70"/>
      <c r="J859" s="70"/>
      <c r="K859" s="70"/>
      <c r="L859" s="70"/>
      <c r="M859" s="70"/>
      <c r="N859" s="70"/>
      <c r="O859" s="70"/>
      <c r="P859" s="70"/>
      <c r="Q859" s="70"/>
      <c r="R859" s="70"/>
      <c r="S859" s="85"/>
      <c r="T859" s="70"/>
      <c r="U859" s="70"/>
      <c r="V859" s="70"/>
      <c r="W859" s="70"/>
      <c r="X859" s="70"/>
      <c r="Y859" s="70"/>
      <c r="Z859" s="70"/>
      <c r="AA859" s="70"/>
      <c r="AB859" s="70"/>
      <c r="AC859" s="70"/>
      <c r="AD859" s="70"/>
      <c r="AE859" s="70"/>
      <c r="AF859" s="70"/>
      <c r="AG859" s="70"/>
      <c r="AH859" s="70"/>
      <c r="AI859" s="70"/>
    </row>
    <row r="860" spans="1:35" ht="15">
      <c r="A860" s="70"/>
      <c r="B860" s="70"/>
      <c r="C860" s="70"/>
      <c r="D860" s="77"/>
      <c r="E860" s="77"/>
      <c r="F860" s="84"/>
      <c r="G860" s="77"/>
      <c r="H860" s="84"/>
      <c r="I860" s="70"/>
      <c r="J860" s="70"/>
      <c r="K860" s="70"/>
      <c r="L860" s="70"/>
      <c r="M860" s="70"/>
      <c r="N860" s="70"/>
      <c r="O860" s="70"/>
      <c r="P860" s="70"/>
      <c r="Q860" s="70"/>
      <c r="R860" s="70"/>
      <c r="S860" s="85"/>
      <c r="T860" s="70"/>
      <c r="U860" s="70"/>
      <c r="V860" s="70"/>
      <c r="W860" s="70"/>
      <c r="X860" s="70"/>
      <c r="Y860" s="70"/>
      <c r="Z860" s="70"/>
      <c r="AA860" s="70"/>
      <c r="AB860" s="70"/>
      <c r="AC860" s="70"/>
      <c r="AD860" s="70"/>
      <c r="AE860" s="70"/>
      <c r="AF860" s="70"/>
      <c r="AG860" s="70"/>
      <c r="AH860" s="70"/>
      <c r="AI860" s="70"/>
    </row>
    <row r="861" spans="1:35" ht="15">
      <c r="A861" s="70"/>
      <c r="B861" s="70"/>
      <c r="C861" s="70"/>
      <c r="D861" s="77"/>
      <c r="E861" s="77"/>
      <c r="F861" s="84"/>
      <c r="G861" s="77"/>
      <c r="H861" s="84"/>
      <c r="I861" s="70"/>
      <c r="J861" s="70"/>
      <c r="K861" s="70"/>
      <c r="L861" s="70"/>
      <c r="M861" s="70"/>
      <c r="N861" s="70"/>
      <c r="O861" s="70"/>
      <c r="P861" s="70"/>
      <c r="Q861" s="70"/>
      <c r="R861" s="70"/>
      <c r="S861" s="85"/>
      <c r="T861" s="70"/>
      <c r="U861" s="70"/>
      <c r="V861" s="70"/>
      <c r="W861" s="70"/>
      <c r="X861" s="70"/>
      <c r="Y861" s="70"/>
      <c r="Z861" s="70"/>
      <c r="AA861" s="70"/>
      <c r="AB861" s="70"/>
      <c r="AC861" s="70"/>
      <c r="AD861" s="70"/>
      <c r="AE861" s="70"/>
      <c r="AF861" s="70"/>
      <c r="AG861" s="70"/>
      <c r="AH861" s="70"/>
      <c r="AI861" s="70"/>
    </row>
    <row r="862" spans="1:35" ht="15">
      <c r="A862" s="70"/>
      <c r="B862" s="70"/>
      <c r="C862" s="70"/>
      <c r="D862" s="77"/>
      <c r="E862" s="77"/>
      <c r="F862" s="84"/>
      <c r="G862" s="77"/>
      <c r="H862" s="84"/>
      <c r="I862" s="70"/>
      <c r="J862" s="70"/>
      <c r="K862" s="70"/>
      <c r="L862" s="70"/>
      <c r="M862" s="70"/>
      <c r="N862" s="70"/>
      <c r="O862" s="70"/>
      <c r="P862" s="70"/>
      <c r="Q862" s="70"/>
      <c r="R862" s="70"/>
      <c r="S862" s="85"/>
      <c r="T862" s="70"/>
      <c r="U862" s="70"/>
      <c r="V862" s="70"/>
      <c r="W862" s="70"/>
      <c r="X862" s="70"/>
      <c r="Y862" s="70"/>
      <c r="Z862" s="70"/>
      <c r="AA862" s="70"/>
      <c r="AB862" s="70"/>
      <c r="AC862" s="70"/>
      <c r="AD862" s="70"/>
      <c r="AE862" s="70"/>
      <c r="AF862" s="70"/>
      <c r="AG862" s="70"/>
      <c r="AH862" s="70"/>
      <c r="AI862" s="70"/>
    </row>
    <row r="863" spans="1:35" ht="15">
      <c r="A863" s="70"/>
      <c r="B863" s="70"/>
      <c r="C863" s="70"/>
      <c r="D863" s="77"/>
      <c r="E863" s="77"/>
      <c r="F863" s="84"/>
      <c r="G863" s="77"/>
      <c r="H863" s="84"/>
      <c r="I863" s="70"/>
      <c r="J863" s="70"/>
      <c r="K863" s="70"/>
      <c r="L863" s="70"/>
      <c r="M863" s="70"/>
      <c r="N863" s="70"/>
      <c r="O863" s="70"/>
      <c r="P863" s="70"/>
      <c r="Q863" s="70"/>
      <c r="R863" s="70"/>
      <c r="S863" s="85"/>
      <c r="T863" s="70"/>
      <c r="U863" s="70"/>
      <c r="V863" s="70"/>
      <c r="W863" s="70"/>
      <c r="X863" s="70"/>
      <c r="Y863" s="70"/>
      <c r="Z863" s="70"/>
      <c r="AA863" s="70"/>
      <c r="AB863" s="70"/>
      <c r="AC863" s="70"/>
      <c r="AD863" s="70"/>
      <c r="AE863" s="70"/>
      <c r="AF863" s="70"/>
      <c r="AG863" s="70"/>
      <c r="AH863" s="70"/>
      <c r="AI863" s="70"/>
    </row>
    <row r="864" spans="1:35" ht="15">
      <c r="A864" s="70"/>
      <c r="B864" s="70"/>
      <c r="C864" s="70"/>
      <c r="D864" s="77"/>
      <c r="E864" s="77"/>
      <c r="F864" s="84"/>
      <c r="G864" s="77"/>
      <c r="H864" s="84"/>
      <c r="I864" s="70"/>
      <c r="J864" s="70"/>
      <c r="K864" s="70"/>
      <c r="L864" s="70"/>
      <c r="M864" s="70"/>
      <c r="N864" s="70"/>
      <c r="O864" s="70"/>
      <c r="P864" s="70"/>
      <c r="Q864" s="70"/>
      <c r="R864" s="70"/>
      <c r="S864" s="85"/>
      <c r="T864" s="70"/>
      <c r="U864" s="70"/>
      <c r="V864" s="70"/>
      <c r="W864" s="70"/>
      <c r="X864" s="70"/>
      <c r="Y864" s="70"/>
      <c r="Z864" s="70"/>
      <c r="AA864" s="70"/>
      <c r="AB864" s="70"/>
      <c r="AC864" s="70"/>
      <c r="AD864" s="70"/>
      <c r="AE864" s="70"/>
      <c r="AF864" s="70"/>
      <c r="AG864" s="70"/>
      <c r="AH864" s="70"/>
      <c r="AI864" s="70"/>
    </row>
    <row r="865" spans="1:35" ht="15">
      <c r="A865" s="70"/>
      <c r="B865" s="70"/>
      <c r="C865" s="70"/>
      <c r="D865" s="77"/>
      <c r="E865" s="77"/>
      <c r="F865" s="84"/>
      <c r="G865" s="77"/>
      <c r="H865" s="84"/>
      <c r="I865" s="70"/>
      <c r="J865" s="70"/>
      <c r="K865" s="70"/>
      <c r="L865" s="70"/>
      <c r="M865" s="70"/>
      <c r="N865" s="70"/>
      <c r="O865" s="70"/>
      <c r="P865" s="70"/>
      <c r="Q865" s="70"/>
      <c r="R865" s="70"/>
      <c r="S865" s="85"/>
      <c r="T865" s="70"/>
      <c r="U865" s="70"/>
      <c r="V865" s="70"/>
      <c r="W865" s="70"/>
      <c r="X865" s="70"/>
      <c r="Y865" s="70"/>
      <c r="Z865" s="70"/>
      <c r="AA865" s="70"/>
      <c r="AB865" s="70"/>
      <c r="AC865" s="70"/>
      <c r="AD865" s="70"/>
      <c r="AE865" s="70"/>
      <c r="AF865" s="70"/>
      <c r="AG865" s="70"/>
      <c r="AH865" s="70"/>
      <c r="AI865" s="70"/>
    </row>
    <row r="866" spans="1:35" ht="15">
      <c r="A866" s="70"/>
      <c r="B866" s="70"/>
      <c r="C866" s="70"/>
      <c r="D866" s="77"/>
      <c r="E866" s="77"/>
      <c r="F866" s="84"/>
      <c r="G866" s="77"/>
      <c r="H866" s="84"/>
      <c r="I866" s="70"/>
      <c r="J866" s="70"/>
      <c r="K866" s="70"/>
      <c r="L866" s="70"/>
      <c r="M866" s="70"/>
      <c r="N866" s="70"/>
      <c r="O866" s="70"/>
      <c r="P866" s="70"/>
      <c r="Q866" s="70"/>
      <c r="R866" s="70"/>
      <c r="S866" s="85"/>
      <c r="T866" s="70"/>
      <c r="U866" s="70"/>
      <c r="V866" s="70"/>
      <c r="W866" s="70"/>
      <c r="X866" s="70"/>
      <c r="Y866" s="70"/>
      <c r="Z866" s="70"/>
      <c r="AA866" s="70"/>
      <c r="AB866" s="70"/>
      <c r="AC866" s="70"/>
      <c r="AD866" s="70"/>
      <c r="AE866" s="70"/>
      <c r="AF866" s="70"/>
      <c r="AG866" s="70"/>
      <c r="AH866" s="70"/>
      <c r="AI866" s="70"/>
    </row>
    <row r="867" spans="1:35" ht="15">
      <c r="A867" s="70"/>
      <c r="B867" s="70"/>
      <c r="C867" s="70"/>
      <c r="D867" s="77"/>
      <c r="E867" s="77"/>
      <c r="F867" s="84"/>
      <c r="G867" s="77"/>
      <c r="H867" s="84"/>
      <c r="I867" s="70"/>
      <c r="J867" s="70"/>
      <c r="K867" s="70"/>
      <c r="L867" s="70"/>
      <c r="M867" s="70"/>
      <c r="N867" s="70"/>
      <c r="O867" s="70"/>
      <c r="P867" s="70"/>
      <c r="Q867" s="70"/>
      <c r="R867" s="70"/>
      <c r="S867" s="85"/>
      <c r="T867" s="70"/>
      <c r="U867" s="70"/>
      <c r="V867" s="70"/>
      <c r="W867" s="70"/>
      <c r="X867" s="70"/>
      <c r="Y867" s="70"/>
      <c r="Z867" s="70"/>
      <c r="AA867" s="70"/>
      <c r="AB867" s="70"/>
      <c r="AC867" s="70"/>
      <c r="AD867" s="70"/>
      <c r="AE867" s="70"/>
      <c r="AF867" s="70"/>
      <c r="AG867" s="70"/>
      <c r="AH867" s="70"/>
      <c r="AI867" s="70"/>
    </row>
    <row r="868" spans="1:35" ht="15">
      <c r="A868" s="70"/>
      <c r="B868" s="70"/>
      <c r="C868" s="70"/>
      <c r="D868" s="77"/>
      <c r="E868" s="77"/>
      <c r="F868" s="84"/>
      <c r="G868" s="77"/>
      <c r="H868" s="84"/>
      <c r="I868" s="70"/>
      <c r="J868" s="70"/>
      <c r="K868" s="70"/>
      <c r="L868" s="70"/>
      <c r="M868" s="70"/>
      <c r="N868" s="70"/>
      <c r="O868" s="70"/>
      <c r="P868" s="70"/>
      <c r="Q868" s="70"/>
      <c r="R868" s="70"/>
      <c r="S868" s="85"/>
      <c r="T868" s="70"/>
      <c r="U868" s="70"/>
      <c r="V868" s="70"/>
      <c r="W868" s="70"/>
      <c r="X868" s="70"/>
      <c r="Y868" s="70"/>
      <c r="Z868" s="70"/>
      <c r="AA868" s="70"/>
      <c r="AB868" s="70"/>
      <c r="AC868" s="70"/>
      <c r="AD868" s="70"/>
      <c r="AE868" s="70"/>
      <c r="AF868" s="70"/>
      <c r="AG868" s="70"/>
      <c r="AH868" s="70"/>
      <c r="AI868" s="70"/>
    </row>
    <row r="869" spans="1:35" ht="15">
      <c r="A869" s="70"/>
      <c r="B869" s="70"/>
      <c r="C869" s="70"/>
      <c r="D869" s="77"/>
      <c r="E869" s="77"/>
      <c r="F869" s="84"/>
      <c r="G869" s="77"/>
      <c r="H869" s="84"/>
      <c r="I869" s="70"/>
      <c r="J869" s="70"/>
      <c r="K869" s="70"/>
      <c r="L869" s="70"/>
      <c r="M869" s="70"/>
      <c r="N869" s="70"/>
      <c r="O869" s="70"/>
      <c r="P869" s="70"/>
      <c r="Q869" s="70"/>
      <c r="R869" s="70"/>
      <c r="S869" s="85"/>
      <c r="T869" s="70"/>
      <c r="U869" s="70"/>
      <c r="V869" s="70"/>
      <c r="W869" s="70"/>
      <c r="X869" s="70"/>
      <c r="Y869" s="70"/>
      <c r="Z869" s="70"/>
      <c r="AA869" s="70"/>
      <c r="AB869" s="70"/>
      <c r="AC869" s="70"/>
      <c r="AD869" s="70"/>
      <c r="AE869" s="70"/>
      <c r="AF869" s="70"/>
      <c r="AG869" s="70"/>
      <c r="AH869" s="70"/>
      <c r="AI869" s="70"/>
    </row>
    <row r="870" spans="1:35" ht="15">
      <c r="A870" s="70"/>
      <c r="B870" s="70"/>
      <c r="C870" s="70"/>
      <c r="D870" s="77"/>
      <c r="E870" s="77"/>
      <c r="F870" s="84"/>
      <c r="G870" s="77"/>
      <c r="H870" s="84"/>
      <c r="I870" s="70"/>
      <c r="J870" s="70"/>
      <c r="K870" s="70"/>
      <c r="L870" s="70"/>
      <c r="M870" s="70"/>
      <c r="N870" s="70"/>
      <c r="O870" s="70"/>
      <c r="P870" s="70"/>
      <c r="Q870" s="70"/>
      <c r="R870" s="70"/>
      <c r="S870" s="85"/>
      <c r="T870" s="70"/>
      <c r="U870" s="70"/>
      <c r="V870" s="70"/>
      <c r="W870" s="70"/>
      <c r="X870" s="70"/>
      <c r="Y870" s="70"/>
      <c r="Z870" s="70"/>
      <c r="AA870" s="70"/>
      <c r="AB870" s="70"/>
      <c r="AC870" s="70"/>
      <c r="AD870" s="70"/>
      <c r="AE870" s="70"/>
      <c r="AF870" s="70"/>
      <c r="AG870" s="70"/>
      <c r="AH870" s="70"/>
      <c r="AI870" s="70"/>
    </row>
    <row r="871" spans="1:35" ht="15">
      <c r="A871" s="70"/>
      <c r="B871" s="70"/>
      <c r="C871" s="70"/>
      <c r="D871" s="77"/>
      <c r="E871" s="77"/>
      <c r="F871" s="84"/>
      <c r="G871" s="77"/>
      <c r="H871" s="84"/>
      <c r="I871" s="70"/>
      <c r="J871" s="70"/>
      <c r="K871" s="70"/>
      <c r="L871" s="70"/>
      <c r="M871" s="70"/>
      <c r="N871" s="70"/>
      <c r="O871" s="70"/>
      <c r="P871" s="70"/>
      <c r="Q871" s="70"/>
      <c r="R871" s="70"/>
      <c r="S871" s="85"/>
      <c r="T871" s="70"/>
      <c r="U871" s="70"/>
      <c r="V871" s="70"/>
      <c r="W871" s="70"/>
      <c r="X871" s="70"/>
      <c r="Y871" s="70"/>
      <c r="Z871" s="70"/>
      <c r="AA871" s="70"/>
      <c r="AB871" s="70"/>
      <c r="AC871" s="70"/>
      <c r="AD871" s="70"/>
      <c r="AE871" s="70"/>
      <c r="AF871" s="70"/>
      <c r="AG871" s="70"/>
      <c r="AH871" s="70"/>
      <c r="AI871" s="70"/>
    </row>
    <row r="872" spans="1:35" ht="15">
      <c r="A872" s="70"/>
      <c r="B872" s="70"/>
      <c r="C872" s="70"/>
      <c r="D872" s="77"/>
      <c r="E872" s="77"/>
      <c r="F872" s="84"/>
      <c r="G872" s="77"/>
      <c r="H872" s="84"/>
      <c r="I872" s="70"/>
      <c r="J872" s="70"/>
      <c r="K872" s="70"/>
      <c r="L872" s="70"/>
      <c r="M872" s="70"/>
      <c r="N872" s="70"/>
      <c r="O872" s="70"/>
      <c r="P872" s="70"/>
      <c r="Q872" s="70"/>
      <c r="R872" s="70"/>
      <c r="S872" s="85"/>
      <c r="T872" s="70"/>
      <c r="U872" s="70"/>
      <c r="V872" s="70"/>
      <c r="W872" s="70"/>
      <c r="X872" s="70"/>
      <c r="Y872" s="70"/>
      <c r="Z872" s="70"/>
      <c r="AA872" s="70"/>
      <c r="AB872" s="70"/>
      <c r="AC872" s="70"/>
      <c r="AD872" s="70"/>
      <c r="AE872" s="70"/>
      <c r="AF872" s="70"/>
      <c r="AG872" s="70"/>
      <c r="AH872" s="70"/>
      <c r="AI872" s="70"/>
    </row>
    <row r="873" spans="1:35" ht="15">
      <c r="A873" s="70"/>
      <c r="B873" s="70"/>
      <c r="C873" s="70"/>
      <c r="D873" s="77"/>
      <c r="E873" s="77"/>
      <c r="F873" s="84"/>
      <c r="G873" s="77"/>
      <c r="H873" s="84"/>
      <c r="I873" s="70"/>
      <c r="J873" s="70"/>
      <c r="K873" s="70"/>
      <c r="L873" s="70"/>
      <c r="M873" s="70"/>
      <c r="N873" s="70"/>
      <c r="O873" s="70"/>
      <c r="P873" s="70"/>
      <c r="Q873" s="70"/>
      <c r="R873" s="70"/>
      <c r="S873" s="85"/>
      <c r="T873" s="70"/>
      <c r="U873" s="70"/>
      <c r="V873" s="70"/>
      <c r="W873" s="70"/>
      <c r="X873" s="70"/>
      <c r="Y873" s="70"/>
      <c r="Z873" s="70"/>
      <c r="AA873" s="70"/>
      <c r="AB873" s="70"/>
      <c r="AC873" s="70"/>
      <c r="AD873" s="70"/>
      <c r="AE873" s="70"/>
      <c r="AF873" s="70"/>
      <c r="AG873" s="70"/>
      <c r="AH873" s="70"/>
      <c r="AI873" s="70"/>
    </row>
    <row r="874" spans="1:35" ht="15">
      <c r="A874" s="70"/>
      <c r="B874" s="70"/>
      <c r="C874" s="70"/>
      <c r="D874" s="77"/>
      <c r="E874" s="77"/>
      <c r="F874" s="84"/>
      <c r="G874" s="77"/>
      <c r="H874" s="84"/>
      <c r="I874" s="70"/>
      <c r="J874" s="70"/>
      <c r="K874" s="70"/>
      <c r="L874" s="70"/>
      <c r="M874" s="70"/>
      <c r="N874" s="70"/>
      <c r="O874" s="70"/>
      <c r="P874" s="70"/>
      <c r="Q874" s="70"/>
      <c r="R874" s="70"/>
      <c r="S874" s="85"/>
      <c r="T874" s="70"/>
      <c r="U874" s="70"/>
      <c r="V874" s="70"/>
      <c r="W874" s="70"/>
      <c r="X874" s="70"/>
      <c r="Y874" s="70"/>
      <c r="Z874" s="70"/>
      <c r="AA874" s="70"/>
      <c r="AB874" s="70"/>
      <c r="AC874" s="70"/>
      <c r="AD874" s="70"/>
      <c r="AE874" s="70"/>
      <c r="AF874" s="70"/>
      <c r="AG874" s="70"/>
      <c r="AH874" s="70"/>
      <c r="AI874" s="70"/>
    </row>
    <row r="875" spans="1:35" ht="15">
      <c r="A875" s="70"/>
      <c r="B875" s="70"/>
      <c r="C875" s="70"/>
      <c r="D875" s="77"/>
      <c r="E875" s="77"/>
      <c r="F875" s="84"/>
      <c r="G875" s="77"/>
      <c r="H875" s="84"/>
      <c r="I875" s="70"/>
      <c r="J875" s="70"/>
      <c r="K875" s="70"/>
      <c r="L875" s="70"/>
      <c r="M875" s="70"/>
      <c r="N875" s="70"/>
      <c r="O875" s="70"/>
      <c r="P875" s="70"/>
      <c r="Q875" s="70"/>
      <c r="R875" s="70"/>
      <c r="S875" s="85"/>
      <c r="T875" s="70"/>
      <c r="U875" s="70"/>
      <c r="V875" s="70"/>
      <c r="W875" s="70"/>
      <c r="X875" s="70"/>
      <c r="Y875" s="70"/>
      <c r="Z875" s="70"/>
      <c r="AA875" s="70"/>
      <c r="AB875" s="70"/>
      <c r="AC875" s="70"/>
      <c r="AD875" s="70"/>
      <c r="AE875" s="70"/>
      <c r="AF875" s="70"/>
      <c r="AG875" s="70"/>
      <c r="AH875" s="70"/>
      <c r="AI875" s="70"/>
    </row>
    <row r="876" spans="1:35" ht="15">
      <c r="A876" s="70"/>
      <c r="B876" s="70"/>
      <c r="C876" s="70"/>
      <c r="D876" s="77"/>
      <c r="E876" s="77"/>
      <c r="F876" s="84"/>
      <c r="G876" s="77"/>
      <c r="H876" s="84"/>
      <c r="I876" s="70"/>
      <c r="J876" s="70"/>
      <c r="K876" s="70"/>
      <c r="L876" s="70"/>
      <c r="M876" s="70"/>
      <c r="N876" s="70"/>
      <c r="O876" s="70"/>
      <c r="P876" s="70"/>
      <c r="Q876" s="70"/>
      <c r="R876" s="70"/>
      <c r="S876" s="85"/>
      <c r="T876" s="70"/>
      <c r="U876" s="70"/>
      <c r="V876" s="70"/>
      <c r="W876" s="70"/>
      <c r="X876" s="70"/>
      <c r="Y876" s="70"/>
      <c r="Z876" s="70"/>
      <c r="AA876" s="70"/>
      <c r="AB876" s="70"/>
      <c r="AC876" s="70"/>
      <c r="AD876" s="70"/>
      <c r="AE876" s="70"/>
      <c r="AF876" s="70"/>
      <c r="AG876" s="70"/>
      <c r="AH876" s="70"/>
      <c r="AI876" s="70"/>
    </row>
    <row r="877" spans="1:35" ht="15">
      <c r="A877" s="70"/>
      <c r="B877" s="70"/>
      <c r="C877" s="70"/>
      <c r="D877" s="77"/>
      <c r="E877" s="77"/>
      <c r="F877" s="84"/>
      <c r="G877" s="77"/>
      <c r="H877" s="84"/>
      <c r="I877" s="70"/>
      <c r="J877" s="70"/>
      <c r="K877" s="70"/>
      <c r="L877" s="70"/>
      <c r="M877" s="70"/>
      <c r="N877" s="70"/>
      <c r="O877" s="70"/>
      <c r="P877" s="70"/>
      <c r="Q877" s="70"/>
      <c r="R877" s="70"/>
      <c r="S877" s="85"/>
      <c r="T877" s="70"/>
      <c r="U877" s="70"/>
      <c r="V877" s="70"/>
      <c r="W877" s="70"/>
      <c r="X877" s="70"/>
      <c r="Y877" s="70"/>
      <c r="Z877" s="70"/>
      <c r="AA877" s="70"/>
      <c r="AB877" s="70"/>
      <c r="AC877" s="70"/>
      <c r="AD877" s="70"/>
      <c r="AE877" s="70"/>
      <c r="AF877" s="70"/>
      <c r="AG877" s="70"/>
      <c r="AH877" s="70"/>
      <c r="AI877" s="70"/>
    </row>
    <row r="878" spans="1:35" ht="15">
      <c r="A878" s="70"/>
      <c r="B878" s="70"/>
      <c r="C878" s="70"/>
      <c r="D878" s="77"/>
      <c r="E878" s="77"/>
      <c r="F878" s="84"/>
      <c r="G878" s="77"/>
      <c r="H878" s="84"/>
      <c r="I878" s="70"/>
      <c r="J878" s="70"/>
      <c r="K878" s="70"/>
      <c r="L878" s="70"/>
      <c r="M878" s="70"/>
      <c r="N878" s="70"/>
      <c r="O878" s="70"/>
      <c r="P878" s="70"/>
      <c r="Q878" s="70"/>
      <c r="R878" s="70"/>
      <c r="S878" s="85"/>
      <c r="T878" s="70"/>
      <c r="U878" s="70"/>
      <c r="V878" s="70"/>
      <c r="W878" s="70"/>
      <c r="X878" s="70"/>
      <c r="Y878" s="70"/>
      <c r="Z878" s="70"/>
      <c r="AA878" s="70"/>
      <c r="AB878" s="70"/>
      <c r="AC878" s="70"/>
      <c r="AD878" s="70"/>
      <c r="AE878" s="70"/>
      <c r="AF878" s="70"/>
      <c r="AG878" s="70"/>
      <c r="AH878" s="70"/>
      <c r="AI878" s="70"/>
    </row>
    <row r="879" spans="1:35" ht="15">
      <c r="A879" s="70"/>
      <c r="B879" s="70"/>
      <c r="C879" s="70"/>
      <c r="D879" s="77"/>
      <c r="E879" s="77"/>
      <c r="F879" s="84"/>
      <c r="G879" s="77"/>
      <c r="H879" s="84"/>
      <c r="I879" s="70"/>
      <c r="J879" s="70"/>
      <c r="K879" s="70"/>
      <c r="L879" s="70"/>
      <c r="M879" s="70"/>
      <c r="N879" s="70"/>
      <c r="O879" s="70"/>
      <c r="P879" s="70"/>
      <c r="Q879" s="70"/>
      <c r="R879" s="70"/>
      <c r="S879" s="85"/>
      <c r="T879" s="70"/>
      <c r="U879" s="70"/>
      <c r="V879" s="70"/>
      <c r="W879" s="70"/>
      <c r="X879" s="70"/>
      <c r="Y879" s="70"/>
      <c r="Z879" s="70"/>
      <c r="AA879" s="70"/>
      <c r="AB879" s="70"/>
      <c r="AC879" s="70"/>
      <c r="AD879" s="70"/>
      <c r="AE879" s="70"/>
      <c r="AF879" s="70"/>
      <c r="AG879" s="70"/>
      <c r="AH879" s="70"/>
      <c r="AI879" s="70"/>
    </row>
    <row r="880" spans="1:35" ht="15">
      <c r="A880" s="70"/>
      <c r="B880" s="70"/>
      <c r="C880" s="70"/>
      <c r="D880" s="77"/>
      <c r="E880" s="77"/>
      <c r="F880" s="84"/>
      <c r="G880" s="77"/>
      <c r="H880" s="84"/>
      <c r="I880" s="70"/>
      <c r="J880" s="70"/>
      <c r="K880" s="70"/>
      <c r="L880" s="70"/>
      <c r="M880" s="70"/>
      <c r="N880" s="70"/>
      <c r="O880" s="70"/>
      <c r="P880" s="70"/>
      <c r="Q880" s="70"/>
      <c r="R880" s="70"/>
      <c r="S880" s="85"/>
      <c r="T880" s="70"/>
      <c r="U880" s="70"/>
      <c r="V880" s="70"/>
      <c r="W880" s="70"/>
      <c r="X880" s="70"/>
      <c r="Y880" s="70"/>
      <c r="Z880" s="70"/>
      <c r="AA880" s="70"/>
      <c r="AB880" s="70"/>
      <c r="AC880" s="70"/>
      <c r="AD880" s="70"/>
      <c r="AE880" s="70"/>
      <c r="AF880" s="70"/>
      <c r="AG880" s="70"/>
      <c r="AH880" s="70"/>
      <c r="AI880" s="70"/>
    </row>
    <row r="881" spans="1:35" ht="15">
      <c r="A881" s="70"/>
      <c r="B881" s="70"/>
      <c r="C881" s="70"/>
      <c r="D881" s="77"/>
      <c r="E881" s="77"/>
      <c r="F881" s="84"/>
      <c r="G881" s="77"/>
      <c r="H881" s="84"/>
      <c r="I881" s="70"/>
      <c r="J881" s="70"/>
      <c r="K881" s="70"/>
      <c r="L881" s="70"/>
      <c r="M881" s="70"/>
      <c r="N881" s="70"/>
      <c r="O881" s="70"/>
      <c r="P881" s="70"/>
      <c r="Q881" s="70"/>
      <c r="R881" s="70"/>
      <c r="S881" s="85"/>
      <c r="T881" s="70"/>
      <c r="U881" s="70"/>
      <c r="V881" s="70"/>
      <c r="W881" s="70"/>
      <c r="X881" s="70"/>
      <c r="Y881" s="70"/>
      <c r="Z881" s="70"/>
      <c r="AA881" s="70"/>
      <c r="AB881" s="70"/>
      <c r="AC881" s="70"/>
      <c r="AD881" s="70"/>
      <c r="AE881" s="70"/>
      <c r="AF881" s="70"/>
      <c r="AG881" s="70"/>
      <c r="AH881" s="70"/>
      <c r="AI881" s="70"/>
    </row>
    <row r="882" spans="1:35" ht="15">
      <c r="A882" s="70"/>
      <c r="B882" s="70"/>
      <c r="C882" s="70"/>
      <c r="D882" s="77"/>
      <c r="E882" s="77"/>
      <c r="F882" s="84"/>
      <c r="G882" s="77"/>
      <c r="H882" s="84"/>
      <c r="I882" s="70"/>
      <c r="J882" s="70"/>
      <c r="K882" s="70"/>
      <c r="L882" s="70"/>
      <c r="M882" s="70"/>
      <c r="N882" s="70"/>
      <c r="O882" s="70"/>
      <c r="P882" s="70"/>
      <c r="Q882" s="70"/>
      <c r="R882" s="70"/>
      <c r="S882" s="85"/>
      <c r="T882" s="70"/>
      <c r="U882" s="70"/>
      <c r="V882" s="70"/>
      <c r="W882" s="70"/>
      <c r="X882" s="70"/>
      <c r="Y882" s="70"/>
      <c r="Z882" s="70"/>
      <c r="AA882" s="70"/>
      <c r="AB882" s="70"/>
      <c r="AC882" s="70"/>
      <c r="AD882" s="70"/>
      <c r="AE882" s="70"/>
      <c r="AF882" s="70"/>
      <c r="AG882" s="70"/>
      <c r="AH882" s="70"/>
      <c r="AI882" s="70"/>
    </row>
    <row r="883" spans="1:35" ht="15">
      <c r="A883" s="70"/>
      <c r="B883" s="70"/>
      <c r="C883" s="70"/>
      <c r="D883" s="77"/>
      <c r="E883" s="77"/>
      <c r="F883" s="84"/>
      <c r="G883" s="77"/>
      <c r="H883" s="84"/>
      <c r="I883" s="70"/>
      <c r="J883" s="70"/>
      <c r="K883" s="70"/>
      <c r="L883" s="70"/>
      <c r="M883" s="70"/>
      <c r="N883" s="70"/>
      <c r="O883" s="70"/>
      <c r="P883" s="70"/>
      <c r="Q883" s="70"/>
      <c r="R883" s="70"/>
      <c r="S883" s="85"/>
      <c r="T883" s="70"/>
      <c r="U883" s="70"/>
      <c r="V883" s="70"/>
      <c r="W883" s="70"/>
      <c r="X883" s="70"/>
      <c r="Y883" s="70"/>
      <c r="Z883" s="70"/>
      <c r="AA883" s="70"/>
      <c r="AB883" s="70"/>
      <c r="AC883" s="70"/>
      <c r="AD883" s="70"/>
      <c r="AE883" s="70"/>
      <c r="AF883" s="70"/>
      <c r="AG883" s="70"/>
      <c r="AH883" s="70"/>
      <c r="AI883" s="70"/>
    </row>
    <row r="884" spans="1:35" ht="15">
      <c r="A884" s="70"/>
      <c r="B884" s="70"/>
      <c r="C884" s="70"/>
      <c r="D884" s="77"/>
      <c r="E884" s="77"/>
      <c r="F884" s="84"/>
      <c r="G884" s="77"/>
      <c r="H884" s="84"/>
      <c r="I884" s="70"/>
      <c r="J884" s="70"/>
      <c r="K884" s="70"/>
      <c r="L884" s="70"/>
      <c r="M884" s="70"/>
      <c r="N884" s="70"/>
      <c r="O884" s="70"/>
      <c r="P884" s="70"/>
      <c r="Q884" s="70"/>
      <c r="R884" s="70"/>
      <c r="S884" s="85"/>
      <c r="T884" s="70"/>
      <c r="U884" s="70"/>
      <c r="V884" s="70"/>
      <c r="W884" s="70"/>
      <c r="X884" s="70"/>
      <c r="Y884" s="70"/>
      <c r="Z884" s="70"/>
      <c r="AA884" s="70"/>
      <c r="AB884" s="70"/>
      <c r="AC884" s="70"/>
      <c r="AD884" s="70"/>
      <c r="AE884" s="70"/>
      <c r="AF884" s="70"/>
      <c r="AG884" s="70"/>
      <c r="AH884" s="70"/>
      <c r="AI884" s="70"/>
    </row>
    <row r="885" spans="1:35" ht="15">
      <c r="A885" s="70"/>
      <c r="B885" s="70"/>
      <c r="C885" s="70"/>
      <c r="D885" s="77"/>
      <c r="E885" s="77"/>
      <c r="F885" s="84"/>
      <c r="G885" s="77"/>
      <c r="H885" s="84"/>
      <c r="I885" s="70"/>
      <c r="J885" s="70"/>
      <c r="K885" s="70"/>
      <c r="L885" s="70"/>
      <c r="M885" s="70"/>
      <c r="N885" s="70"/>
      <c r="O885" s="70"/>
      <c r="P885" s="70"/>
      <c r="Q885" s="70"/>
      <c r="R885" s="70"/>
      <c r="S885" s="85"/>
      <c r="T885" s="70"/>
      <c r="U885" s="70"/>
      <c r="V885" s="70"/>
      <c r="W885" s="70"/>
      <c r="X885" s="70"/>
      <c r="Y885" s="70"/>
      <c r="Z885" s="70"/>
      <c r="AA885" s="70"/>
      <c r="AB885" s="70"/>
      <c r="AC885" s="70"/>
      <c r="AD885" s="70"/>
      <c r="AE885" s="70"/>
      <c r="AF885" s="70"/>
      <c r="AG885" s="70"/>
      <c r="AH885" s="70"/>
      <c r="AI885" s="70"/>
    </row>
    <row r="886" spans="1:35" ht="15">
      <c r="A886" s="70"/>
      <c r="B886" s="70"/>
      <c r="C886" s="70"/>
      <c r="D886" s="77"/>
      <c r="E886" s="77"/>
      <c r="F886" s="84"/>
      <c r="G886" s="77"/>
      <c r="H886" s="84"/>
      <c r="I886" s="70"/>
      <c r="J886" s="70"/>
      <c r="K886" s="70"/>
      <c r="L886" s="70"/>
      <c r="M886" s="70"/>
      <c r="N886" s="70"/>
      <c r="O886" s="70"/>
      <c r="P886" s="70"/>
      <c r="Q886" s="70"/>
      <c r="R886" s="70"/>
      <c r="S886" s="85"/>
      <c r="T886" s="70"/>
      <c r="U886" s="70"/>
      <c r="V886" s="70"/>
      <c r="W886" s="70"/>
      <c r="X886" s="70"/>
      <c r="Y886" s="70"/>
      <c r="Z886" s="70"/>
      <c r="AA886" s="70"/>
      <c r="AB886" s="70"/>
      <c r="AC886" s="70"/>
      <c r="AD886" s="70"/>
      <c r="AE886" s="70"/>
      <c r="AF886" s="70"/>
      <c r="AG886" s="70"/>
      <c r="AH886" s="70"/>
      <c r="AI886" s="70"/>
    </row>
    <row r="887" spans="1:35" ht="15">
      <c r="A887" s="70"/>
      <c r="B887" s="70"/>
      <c r="C887" s="70"/>
      <c r="D887" s="77"/>
      <c r="E887" s="77"/>
      <c r="F887" s="84"/>
      <c r="G887" s="77"/>
      <c r="H887" s="84"/>
      <c r="I887" s="70"/>
      <c r="J887" s="70"/>
      <c r="K887" s="70"/>
      <c r="L887" s="70"/>
      <c r="M887" s="70"/>
      <c r="N887" s="70"/>
      <c r="O887" s="70"/>
      <c r="P887" s="70"/>
      <c r="Q887" s="70"/>
      <c r="R887" s="70"/>
      <c r="S887" s="85"/>
      <c r="T887" s="70"/>
      <c r="U887" s="70"/>
      <c r="V887" s="70"/>
      <c r="W887" s="70"/>
      <c r="X887" s="70"/>
      <c r="Y887" s="70"/>
      <c r="Z887" s="70"/>
      <c r="AA887" s="70"/>
      <c r="AB887" s="70"/>
      <c r="AC887" s="70"/>
      <c r="AD887" s="70"/>
      <c r="AE887" s="70"/>
      <c r="AF887" s="70"/>
      <c r="AG887" s="70"/>
      <c r="AH887" s="70"/>
      <c r="AI887" s="70"/>
    </row>
    <row r="888" spans="1:35" ht="15">
      <c r="A888" s="70"/>
      <c r="B888" s="70"/>
      <c r="C888" s="70"/>
      <c r="D888" s="77"/>
      <c r="E888" s="77"/>
      <c r="F888" s="84"/>
      <c r="G888" s="77"/>
      <c r="H888" s="84"/>
      <c r="I888" s="70"/>
      <c r="J888" s="70"/>
      <c r="K888" s="70"/>
      <c r="L888" s="70"/>
      <c r="M888" s="70"/>
      <c r="N888" s="70"/>
      <c r="O888" s="70"/>
      <c r="P888" s="70"/>
      <c r="Q888" s="70"/>
      <c r="R888" s="70"/>
      <c r="S888" s="85"/>
      <c r="T888" s="70"/>
      <c r="U888" s="70"/>
      <c r="V888" s="70"/>
      <c r="W888" s="70"/>
      <c r="X888" s="70"/>
      <c r="Y888" s="70"/>
      <c r="Z888" s="70"/>
      <c r="AA888" s="70"/>
      <c r="AB888" s="70"/>
      <c r="AC888" s="70"/>
      <c r="AD888" s="70"/>
      <c r="AE888" s="70"/>
      <c r="AF888" s="70"/>
      <c r="AG888" s="70"/>
      <c r="AH888" s="70"/>
      <c r="AI888" s="70"/>
    </row>
    <row r="889" spans="1:35" ht="15">
      <c r="A889" s="70"/>
      <c r="B889" s="70"/>
      <c r="C889" s="70"/>
      <c r="D889" s="77"/>
      <c r="E889" s="77"/>
      <c r="F889" s="84"/>
      <c r="G889" s="77"/>
      <c r="H889" s="84"/>
      <c r="I889" s="70"/>
      <c r="J889" s="70"/>
      <c r="K889" s="70"/>
      <c r="L889" s="70"/>
      <c r="M889" s="70"/>
      <c r="N889" s="70"/>
      <c r="O889" s="70"/>
      <c r="P889" s="70"/>
      <c r="Q889" s="70"/>
      <c r="R889" s="70"/>
      <c r="S889" s="85"/>
      <c r="T889" s="70"/>
      <c r="U889" s="70"/>
      <c r="V889" s="70"/>
      <c r="W889" s="70"/>
      <c r="X889" s="70"/>
      <c r="Y889" s="70"/>
      <c r="Z889" s="70"/>
      <c r="AA889" s="70"/>
      <c r="AB889" s="70"/>
      <c r="AC889" s="70"/>
      <c r="AD889" s="70"/>
      <c r="AE889" s="70"/>
      <c r="AF889" s="70"/>
      <c r="AG889" s="70"/>
      <c r="AH889" s="70"/>
      <c r="AI889" s="70"/>
    </row>
    <row r="890" spans="1:35" ht="15">
      <c r="A890" s="70"/>
      <c r="B890" s="70"/>
      <c r="C890" s="70"/>
      <c r="D890" s="77"/>
      <c r="E890" s="77"/>
      <c r="F890" s="84"/>
      <c r="G890" s="77"/>
      <c r="H890" s="84"/>
      <c r="I890" s="70"/>
      <c r="J890" s="70"/>
      <c r="K890" s="70"/>
      <c r="L890" s="70"/>
      <c r="M890" s="70"/>
      <c r="N890" s="70"/>
      <c r="O890" s="70"/>
      <c r="P890" s="70"/>
      <c r="Q890" s="70"/>
      <c r="R890" s="70"/>
      <c r="S890" s="85"/>
      <c r="T890" s="70"/>
      <c r="U890" s="70"/>
      <c r="V890" s="70"/>
      <c r="W890" s="70"/>
      <c r="X890" s="70"/>
      <c r="Y890" s="70"/>
      <c r="Z890" s="70"/>
      <c r="AA890" s="70"/>
      <c r="AB890" s="70"/>
      <c r="AC890" s="70"/>
      <c r="AD890" s="70"/>
      <c r="AE890" s="70"/>
      <c r="AF890" s="70"/>
      <c r="AG890" s="70"/>
      <c r="AH890" s="70"/>
      <c r="AI890" s="70"/>
    </row>
    <row r="891" spans="1:35" ht="15">
      <c r="A891" s="70"/>
      <c r="B891" s="70"/>
      <c r="C891" s="70"/>
      <c r="D891" s="77"/>
      <c r="E891" s="77"/>
      <c r="F891" s="84"/>
      <c r="G891" s="77"/>
      <c r="H891" s="84"/>
      <c r="I891" s="70"/>
      <c r="J891" s="70"/>
      <c r="K891" s="70"/>
      <c r="L891" s="70"/>
      <c r="M891" s="70"/>
      <c r="N891" s="70"/>
      <c r="O891" s="70"/>
      <c r="P891" s="70"/>
      <c r="Q891" s="70"/>
      <c r="R891" s="70"/>
      <c r="S891" s="85"/>
      <c r="T891" s="70"/>
      <c r="U891" s="70"/>
      <c r="V891" s="70"/>
      <c r="W891" s="70"/>
      <c r="X891" s="70"/>
      <c r="Y891" s="70"/>
      <c r="Z891" s="70"/>
      <c r="AA891" s="70"/>
      <c r="AB891" s="70"/>
      <c r="AC891" s="70"/>
      <c r="AD891" s="70"/>
      <c r="AE891" s="70"/>
      <c r="AF891" s="70"/>
      <c r="AG891" s="70"/>
      <c r="AH891" s="70"/>
      <c r="AI891" s="70"/>
    </row>
    <row r="892" spans="1:35" ht="15">
      <c r="A892" s="70"/>
      <c r="B892" s="70"/>
      <c r="C892" s="70"/>
      <c r="D892" s="77"/>
      <c r="E892" s="77"/>
      <c r="F892" s="84"/>
      <c r="G892" s="77"/>
      <c r="H892" s="84"/>
      <c r="I892" s="70"/>
      <c r="J892" s="70"/>
      <c r="K892" s="70"/>
      <c r="L892" s="70"/>
      <c r="M892" s="70"/>
      <c r="N892" s="70"/>
      <c r="O892" s="70"/>
      <c r="P892" s="70"/>
      <c r="Q892" s="70"/>
      <c r="R892" s="70"/>
      <c r="S892" s="85"/>
      <c r="T892" s="70"/>
      <c r="U892" s="70"/>
      <c r="V892" s="70"/>
      <c r="W892" s="70"/>
      <c r="X892" s="70"/>
      <c r="Y892" s="70"/>
      <c r="Z892" s="70"/>
      <c r="AA892" s="70"/>
      <c r="AB892" s="70"/>
      <c r="AC892" s="70"/>
      <c r="AD892" s="70"/>
      <c r="AE892" s="70"/>
      <c r="AF892" s="70"/>
      <c r="AG892" s="70"/>
      <c r="AH892" s="70"/>
      <c r="AI892" s="70"/>
    </row>
    <row r="893" spans="1:35" ht="15">
      <c r="A893" s="70"/>
      <c r="B893" s="70"/>
      <c r="C893" s="70"/>
      <c r="D893" s="77"/>
      <c r="E893" s="77"/>
      <c r="F893" s="84"/>
      <c r="G893" s="77"/>
      <c r="H893" s="84"/>
      <c r="I893" s="70"/>
      <c r="J893" s="70"/>
      <c r="K893" s="70"/>
      <c r="L893" s="70"/>
      <c r="M893" s="70"/>
      <c r="N893" s="70"/>
      <c r="O893" s="70"/>
      <c r="P893" s="70"/>
      <c r="Q893" s="70"/>
      <c r="R893" s="70"/>
      <c r="S893" s="85"/>
      <c r="T893" s="70"/>
      <c r="U893" s="70"/>
      <c r="V893" s="70"/>
      <c r="W893" s="70"/>
      <c r="X893" s="70"/>
      <c r="Y893" s="70"/>
      <c r="Z893" s="70"/>
      <c r="AA893" s="70"/>
      <c r="AB893" s="70"/>
      <c r="AC893" s="70"/>
      <c r="AD893" s="70"/>
      <c r="AE893" s="70"/>
      <c r="AF893" s="70"/>
      <c r="AG893" s="70"/>
      <c r="AH893" s="70"/>
      <c r="AI893" s="70"/>
    </row>
    <row r="894" spans="1:35" ht="15">
      <c r="A894" s="70"/>
      <c r="B894" s="70"/>
      <c r="C894" s="70"/>
      <c r="D894" s="77"/>
      <c r="E894" s="77"/>
      <c r="F894" s="84"/>
      <c r="G894" s="77"/>
      <c r="H894" s="84"/>
      <c r="I894" s="70"/>
      <c r="J894" s="70"/>
      <c r="K894" s="70"/>
      <c r="L894" s="70"/>
      <c r="M894" s="70"/>
      <c r="N894" s="70"/>
      <c r="O894" s="70"/>
      <c r="P894" s="70"/>
      <c r="Q894" s="70"/>
      <c r="R894" s="70"/>
      <c r="S894" s="85"/>
      <c r="T894" s="70"/>
      <c r="U894" s="70"/>
      <c r="V894" s="70"/>
      <c r="W894" s="70"/>
      <c r="X894" s="70"/>
      <c r="Y894" s="70"/>
      <c r="Z894" s="70"/>
      <c r="AA894" s="70"/>
      <c r="AB894" s="70"/>
      <c r="AC894" s="70"/>
      <c r="AD894" s="70"/>
      <c r="AE894" s="70"/>
      <c r="AF894" s="70"/>
      <c r="AG894" s="70"/>
      <c r="AH894" s="70"/>
      <c r="AI894" s="70"/>
    </row>
    <row r="895" spans="1:35" ht="15">
      <c r="A895" s="70"/>
      <c r="B895" s="70"/>
      <c r="C895" s="70"/>
      <c r="D895" s="77"/>
      <c r="E895" s="77"/>
      <c r="F895" s="84"/>
      <c r="G895" s="77"/>
      <c r="H895" s="84"/>
      <c r="I895" s="70"/>
      <c r="J895" s="70"/>
      <c r="K895" s="70"/>
      <c r="L895" s="70"/>
      <c r="M895" s="70"/>
      <c r="N895" s="70"/>
      <c r="O895" s="70"/>
      <c r="P895" s="70"/>
      <c r="Q895" s="70"/>
      <c r="R895" s="70"/>
      <c r="S895" s="85"/>
      <c r="T895" s="70"/>
      <c r="U895" s="70"/>
      <c r="V895" s="70"/>
      <c r="W895" s="70"/>
      <c r="X895" s="70"/>
      <c r="Y895" s="70"/>
      <c r="Z895" s="70"/>
      <c r="AA895" s="70"/>
      <c r="AB895" s="70"/>
      <c r="AC895" s="70"/>
      <c r="AD895" s="70"/>
      <c r="AE895" s="70"/>
      <c r="AF895" s="70"/>
      <c r="AG895" s="70"/>
      <c r="AH895" s="70"/>
      <c r="AI895" s="70"/>
    </row>
    <row r="896" spans="1:35" ht="15">
      <c r="A896" s="70"/>
      <c r="B896" s="70"/>
      <c r="C896" s="70"/>
      <c r="D896" s="77"/>
      <c r="E896" s="77"/>
      <c r="F896" s="84"/>
      <c r="G896" s="77"/>
      <c r="H896" s="84"/>
      <c r="I896" s="70"/>
      <c r="J896" s="70"/>
      <c r="K896" s="70"/>
      <c r="L896" s="70"/>
      <c r="M896" s="70"/>
      <c r="N896" s="70"/>
      <c r="O896" s="70"/>
      <c r="P896" s="70"/>
      <c r="Q896" s="70"/>
      <c r="R896" s="70"/>
      <c r="S896" s="85"/>
      <c r="T896" s="70"/>
      <c r="U896" s="70"/>
      <c r="V896" s="70"/>
      <c r="W896" s="70"/>
      <c r="X896" s="70"/>
      <c r="Y896" s="70"/>
      <c r="Z896" s="70"/>
      <c r="AA896" s="70"/>
      <c r="AB896" s="70"/>
      <c r="AC896" s="70"/>
      <c r="AD896" s="70"/>
      <c r="AE896" s="70"/>
      <c r="AF896" s="70"/>
      <c r="AG896" s="70"/>
      <c r="AH896" s="70"/>
      <c r="AI896" s="70"/>
    </row>
    <row r="897" spans="1:35" ht="15">
      <c r="A897" s="70"/>
      <c r="B897" s="70"/>
      <c r="C897" s="70"/>
      <c r="D897" s="77"/>
      <c r="E897" s="77"/>
      <c r="F897" s="84"/>
      <c r="G897" s="77"/>
      <c r="H897" s="84"/>
      <c r="I897" s="70"/>
      <c r="J897" s="70"/>
      <c r="K897" s="70"/>
      <c r="L897" s="70"/>
      <c r="M897" s="70"/>
      <c r="N897" s="70"/>
      <c r="O897" s="70"/>
      <c r="P897" s="70"/>
      <c r="Q897" s="70"/>
      <c r="R897" s="70"/>
      <c r="S897" s="85"/>
      <c r="T897" s="70"/>
      <c r="U897" s="70"/>
      <c r="V897" s="70"/>
      <c r="W897" s="70"/>
      <c r="X897" s="70"/>
      <c r="Y897" s="70"/>
      <c r="Z897" s="70"/>
      <c r="AA897" s="70"/>
      <c r="AB897" s="70"/>
      <c r="AC897" s="70"/>
      <c r="AD897" s="70"/>
      <c r="AE897" s="70"/>
      <c r="AF897" s="70"/>
      <c r="AG897" s="70"/>
      <c r="AH897" s="70"/>
      <c r="AI897" s="70"/>
    </row>
    <row r="898" spans="1:35" ht="15">
      <c r="A898" s="70"/>
      <c r="B898" s="70"/>
      <c r="C898" s="70"/>
      <c r="D898" s="77"/>
      <c r="E898" s="77"/>
      <c r="F898" s="84"/>
      <c r="G898" s="77"/>
      <c r="H898" s="84"/>
      <c r="I898" s="70"/>
      <c r="J898" s="70"/>
      <c r="K898" s="70"/>
      <c r="L898" s="70"/>
      <c r="M898" s="70"/>
      <c r="N898" s="70"/>
      <c r="O898" s="70"/>
      <c r="P898" s="70"/>
      <c r="Q898" s="70"/>
      <c r="R898" s="70"/>
      <c r="S898" s="85"/>
      <c r="T898" s="70"/>
      <c r="U898" s="70"/>
      <c r="V898" s="70"/>
      <c r="W898" s="70"/>
      <c r="X898" s="70"/>
      <c r="Y898" s="70"/>
      <c r="Z898" s="70"/>
      <c r="AA898" s="70"/>
      <c r="AB898" s="70"/>
      <c r="AC898" s="70"/>
      <c r="AD898" s="70"/>
      <c r="AE898" s="70"/>
      <c r="AF898" s="70"/>
      <c r="AG898" s="70"/>
      <c r="AH898" s="70"/>
      <c r="AI898" s="70"/>
    </row>
    <row r="899" spans="1:35" ht="15">
      <c r="A899" s="70"/>
      <c r="B899" s="70"/>
      <c r="C899" s="70"/>
      <c r="D899" s="77"/>
      <c r="E899" s="77"/>
      <c r="F899" s="84"/>
      <c r="G899" s="77"/>
      <c r="H899" s="84"/>
      <c r="I899" s="70"/>
      <c r="J899" s="70"/>
      <c r="K899" s="70"/>
      <c r="L899" s="70"/>
      <c r="M899" s="70"/>
      <c r="N899" s="70"/>
      <c r="O899" s="70"/>
      <c r="P899" s="70"/>
      <c r="Q899" s="70"/>
      <c r="R899" s="70"/>
      <c r="S899" s="85"/>
      <c r="T899" s="70"/>
      <c r="U899" s="70"/>
      <c r="V899" s="70"/>
      <c r="W899" s="70"/>
      <c r="X899" s="70"/>
      <c r="Y899" s="70"/>
      <c r="Z899" s="70"/>
      <c r="AA899" s="70"/>
      <c r="AB899" s="70"/>
      <c r="AC899" s="70"/>
      <c r="AD899" s="70"/>
      <c r="AE899" s="70"/>
      <c r="AF899" s="70"/>
      <c r="AG899" s="70"/>
      <c r="AH899" s="70"/>
      <c r="AI899" s="70"/>
    </row>
    <row r="900" spans="1:35" ht="15">
      <c r="A900" s="70"/>
      <c r="B900" s="70"/>
      <c r="C900" s="70"/>
      <c r="D900" s="77"/>
      <c r="E900" s="77"/>
      <c r="F900" s="84"/>
      <c r="G900" s="77"/>
      <c r="H900" s="84"/>
      <c r="I900" s="70"/>
      <c r="J900" s="70"/>
      <c r="K900" s="70"/>
      <c r="L900" s="70"/>
      <c r="M900" s="70"/>
      <c r="N900" s="70"/>
      <c r="O900" s="70"/>
      <c r="P900" s="70"/>
      <c r="Q900" s="70"/>
      <c r="R900" s="70"/>
      <c r="S900" s="85"/>
      <c r="T900" s="70"/>
      <c r="U900" s="70"/>
      <c r="V900" s="70"/>
      <c r="W900" s="70"/>
      <c r="X900" s="70"/>
      <c r="Y900" s="70"/>
      <c r="Z900" s="70"/>
      <c r="AA900" s="70"/>
      <c r="AB900" s="70"/>
      <c r="AC900" s="70"/>
      <c r="AD900" s="70"/>
      <c r="AE900" s="70"/>
      <c r="AF900" s="70"/>
      <c r="AG900" s="70"/>
      <c r="AH900" s="70"/>
      <c r="AI900" s="70"/>
    </row>
    <row r="901" spans="1:35" ht="15">
      <c r="A901" s="70"/>
      <c r="B901" s="70"/>
      <c r="C901" s="70"/>
      <c r="D901" s="77"/>
      <c r="E901" s="77"/>
      <c r="F901" s="84"/>
      <c r="G901" s="77"/>
      <c r="H901" s="84"/>
      <c r="I901" s="70"/>
      <c r="J901" s="70"/>
      <c r="K901" s="70"/>
      <c r="L901" s="70"/>
      <c r="M901" s="70"/>
      <c r="N901" s="70"/>
      <c r="O901" s="70"/>
      <c r="P901" s="70"/>
      <c r="Q901" s="70"/>
      <c r="R901" s="70"/>
      <c r="S901" s="85"/>
      <c r="T901" s="70"/>
      <c r="U901" s="70"/>
      <c r="V901" s="70"/>
      <c r="W901" s="70"/>
      <c r="X901" s="70"/>
      <c r="Y901" s="70"/>
      <c r="Z901" s="70"/>
      <c r="AA901" s="70"/>
      <c r="AB901" s="70"/>
      <c r="AC901" s="70"/>
      <c r="AD901" s="70"/>
      <c r="AE901" s="70"/>
      <c r="AF901" s="70"/>
      <c r="AG901" s="70"/>
      <c r="AH901" s="70"/>
      <c r="AI901" s="70"/>
    </row>
    <row r="902" spans="1:35" ht="15">
      <c r="A902" s="70"/>
      <c r="B902" s="70"/>
      <c r="C902" s="70"/>
      <c r="D902" s="77"/>
      <c r="E902" s="77"/>
      <c r="F902" s="84"/>
      <c r="G902" s="77"/>
      <c r="H902" s="84"/>
      <c r="I902" s="70"/>
      <c r="J902" s="70"/>
      <c r="K902" s="70"/>
      <c r="L902" s="70"/>
      <c r="M902" s="70"/>
      <c r="N902" s="70"/>
      <c r="O902" s="70"/>
      <c r="P902" s="70"/>
      <c r="Q902" s="70"/>
      <c r="R902" s="70"/>
      <c r="S902" s="85"/>
      <c r="T902" s="70"/>
      <c r="U902" s="70"/>
      <c r="V902" s="70"/>
      <c r="W902" s="70"/>
      <c r="X902" s="70"/>
      <c r="Y902" s="70"/>
      <c r="Z902" s="70"/>
      <c r="AA902" s="70"/>
      <c r="AB902" s="70"/>
      <c r="AC902" s="70"/>
      <c r="AD902" s="70"/>
      <c r="AE902" s="70"/>
      <c r="AF902" s="70"/>
      <c r="AG902" s="70"/>
      <c r="AH902" s="70"/>
      <c r="AI902" s="70"/>
    </row>
    <row r="903" spans="1:35" ht="15">
      <c r="A903" s="70"/>
      <c r="B903" s="70"/>
      <c r="C903" s="70"/>
      <c r="D903" s="77"/>
      <c r="E903" s="77"/>
      <c r="F903" s="84"/>
      <c r="G903" s="77"/>
      <c r="H903" s="84"/>
      <c r="I903" s="70"/>
      <c r="J903" s="70"/>
      <c r="K903" s="70"/>
      <c r="L903" s="70"/>
      <c r="M903" s="70"/>
      <c r="N903" s="70"/>
      <c r="O903" s="70"/>
      <c r="P903" s="70"/>
      <c r="Q903" s="70"/>
      <c r="R903" s="70"/>
      <c r="S903" s="85"/>
      <c r="T903" s="70"/>
      <c r="U903" s="70"/>
      <c r="V903" s="70"/>
      <c r="W903" s="70"/>
      <c r="X903" s="70"/>
      <c r="Y903" s="70"/>
      <c r="Z903" s="70"/>
      <c r="AA903" s="70"/>
      <c r="AB903" s="70"/>
      <c r="AC903" s="70"/>
      <c r="AD903" s="70"/>
      <c r="AE903" s="70"/>
      <c r="AF903" s="70"/>
      <c r="AG903" s="70"/>
      <c r="AH903" s="70"/>
      <c r="AI903" s="70"/>
    </row>
    <row r="904" spans="1:35" ht="15">
      <c r="A904" s="70"/>
      <c r="B904" s="70"/>
      <c r="C904" s="70"/>
      <c r="D904" s="77"/>
      <c r="E904" s="77"/>
      <c r="F904" s="84"/>
      <c r="G904" s="77"/>
      <c r="H904" s="84"/>
      <c r="I904" s="70"/>
      <c r="J904" s="70"/>
      <c r="K904" s="70"/>
      <c r="L904" s="70"/>
      <c r="M904" s="70"/>
      <c r="N904" s="70"/>
      <c r="O904" s="70"/>
      <c r="P904" s="70"/>
      <c r="Q904" s="70"/>
      <c r="R904" s="70"/>
      <c r="S904" s="85"/>
      <c r="T904" s="70"/>
      <c r="U904" s="70"/>
      <c r="V904" s="70"/>
      <c r="W904" s="70"/>
      <c r="X904" s="70"/>
      <c r="Y904" s="70"/>
      <c r="Z904" s="70"/>
      <c r="AA904" s="70"/>
      <c r="AB904" s="70"/>
      <c r="AC904" s="70"/>
      <c r="AD904" s="70"/>
      <c r="AE904" s="70"/>
      <c r="AF904" s="70"/>
      <c r="AG904" s="70"/>
      <c r="AH904" s="70"/>
      <c r="AI904" s="70"/>
    </row>
    <row r="905" spans="1:35" ht="15">
      <c r="A905" s="70"/>
      <c r="B905" s="70"/>
      <c r="C905" s="70"/>
      <c r="D905" s="77"/>
      <c r="E905" s="77"/>
      <c r="F905" s="84"/>
      <c r="G905" s="77"/>
      <c r="H905" s="84"/>
      <c r="I905" s="70"/>
      <c r="J905" s="70"/>
      <c r="K905" s="70"/>
      <c r="L905" s="70"/>
      <c r="M905" s="70"/>
      <c r="N905" s="70"/>
      <c r="O905" s="70"/>
      <c r="P905" s="70"/>
      <c r="Q905" s="70"/>
      <c r="R905" s="70"/>
      <c r="S905" s="85"/>
      <c r="T905" s="70"/>
      <c r="U905" s="70"/>
      <c r="V905" s="70"/>
      <c r="W905" s="70"/>
      <c r="X905" s="70"/>
      <c r="Y905" s="70"/>
      <c r="Z905" s="70"/>
      <c r="AA905" s="70"/>
      <c r="AB905" s="70"/>
      <c r="AC905" s="70"/>
      <c r="AD905" s="70"/>
      <c r="AE905" s="70"/>
      <c r="AF905" s="70"/>
      <c r="AG905" s="70"/>
      <c r="AH905" s="70"/>
      <c r="AI905" s="70"/>
    </row>
    <row r="906" spans="1:35" ht="15">
      <c r="A906" s="70"/>
      <c r="B906" s="70"/>
      <c r="C906" s="70"/>
      <c r="D906" s="77"/>
      <c r="E906" s="77"/>
      <c r="F906" s="84"/>
      <c r="G906" s="77"/>
      <c r="H906" s="84"/>
      <c r="I906" s="70"/>
      <c r="J906" s="70"/>
      <c r="K906" s="70"/>
      <c r="L906" s="70"/>
      <c r="M906" s="70"/>
      <c r="N906" s="70"/>
      <c r="O906" s="70"/>
      <c r="P906" s="70"/>
      <c r="Q906" s="70"/>
      <c r="R906" s="70"/>
      <c r="S906" s="85"/>
      <c r="T906" s="70"/>
      <c r="U906" s="70"/>
      <c r="V906" s="70"/>
      <c r="W906" s="70"/>
      <c r="X906" s="70"/>
      <c r="Y906" s="70"/>
      <c r="Z906" s="70"/>
      <c r="AA906" s="70"/>
      <c r="AB906" s="70"/>
      <c r="AC906" s="70"/>
      <c r="AD906" s="70"/>
      <c r="AE906" s="70"/>
      <c r="AF906" s="70"/>
      <c r="AG906" s="70"/>
      <c r="AH906" s="70"/>
      <c r="AI906" s="70"/>
    </row>
    <row r="907" spans="1:35" ht="15">
      <c r="A907" s="70"/>
      <c r="B907" s="70"/>
      <c r="C907" s="70"/>
      <c r="D907" s="77"/>
      <c r="E907" s="77"/>
      <c r="F907" s="84"/>
      <c r="G907" s="77"/>
      <c r="H907" s="84"/>
      <c r="I907" s="70"/>
      <c r="J907" s="70"/>
      <c r="K907" s="70"/>
      <c r="L907" s="70"/>
      <c r="M907" s="70"/>
      <c r="N907" s="70"/>
      <c r="O907" s="70"/>
      <c r="P907" s="70"/>
      <c r="Q907" s="70"/>
      <c r="R907" s="70"/>
      <c r="S907" s="85"/>
      <c r="T907" s="70"/>
      <c r="U907" s="70"/>
      <c r="V907" s="70"/>
      <c r="W907" s="70"/>
      <c r="X907" s="70"/>
      <c r="Y907" s="70"/>
      <c r="Z907" s="70"/>
      <c r="AA907" s="70"/>
      <c r="AB907" s="70"/>
      <c r="AC907" s="70"/>
      <c r="AD907" s="70"/>
      <c r="AE907" s="70"/>
      <c r="AF907" s="70"/>
      <c r="AG907" s="70"/>
      <c r="AH907" s="70"/>
      <c r="AI907" s="70"/>
    </row>
    <row r="908" spans="1:35" ht="15">
      <c r="A908" s="70"/>
      <c r="B908" s="70"/>
      <c r="C908" s="70"/>
      <c r="D908" s="77"/>
      <c r="E908" s="77"/>
      <c r="F908" s="84"/>
      <c r="G908" s="77"/>
      <c r="H908" s="84"/>
      <c r="I908" s="70"/>
      <c r="J908" s="70"/>
      <c r="K908" s="70"/>
      <c r="L908" s="70"/>
      <c r="M908" s="70"/>
      <c r="N908" s="70"/>
      <c r="O908" s="70"/>
      <c r="P908" s="70"/>
      <c r="Q908" s="70"/>
      <c r="R908" s="70"/>
      <c r="S908" s="85"/>
      <c r="T908" s="70"/>
      <c r="U908" s="70"/>
      <c r="V908" s="70"/>
      <c r="W908" s="70"/>
      <c r="X908" s="70"/>
      <c r="Y908" s="70"/>
      <c r="Z908" s="70"/>
      <c r="AA908" s="70"/>
      <c r="AB908" s="70"/>
      <c r="AC908" s="70"/>
      <c r="AD908" s="70"/>
      <c r="AE908" s="70"/>
      <c r="AF908" s="70"/>
      <c r="AG908" s="70"/>
      <c r="AH908" s="70"/>
      <c r="AI908" s="70"/>
    </row>
    <row r="909" spans="1:35" ht="15">
      <c r="A909" s="70"/>
      <c r="B909" s="70"/>
      <c r="C909" s="70"/>
      <c r="D909" s="77"/>
      <c r="E909" s="77"/>
      <c r="F909" s="84"/>
      <c r="G909" s="77"/>
      <c r="H909" s="84"/>
      <c r="I909" s="70"/>
      <c r="J909" s="70"/>
      <c r="K909" s="70"/>
      <c r="L909" s="70"/>
      <c r="M909" s="70"/>
      <c r="N909" s="70"/>
      <c r="O909" s="70"/>
      <c r="P909" s="70"/>
      <c r="Q909" s="70"/>
      <c r="R909" s="70"/>
      <c r="S909" s="85"/>
      <c r="T909" s="70"/>
      <c r="U909" s="70"/>
      <c r="V909" s="70"/>
      <c r="W909" s="70"/>
      <c r="X909" s="70"/>
      <c r="Y909" s="70"/>
      <c r="Z909" s="70"/>
      <c r="AA909" s="70"/>
      <c r="AB909" s="70"/>
      <c r="AC909" s="70"/>
      <c r="AD909" s="70"/>
      <c r="AE909" s="70"/>
      <c r="AF909" s="70"/>
      <c r="AG909" s="70"/>
      <c r="AH909" s="70"/>
      <c r="AI909" s="70"/>
    </row>
    <row r="910" spans="1:35" ht="15">
      <c r="A910" s="70"/>
      <c r="B910" s="70"/>
      <c r="C910" s="70"/>
      <c r="D910" s="77"/>
      <c r="E910" s="77"/>
      <c r="F910" s="84"/>
      <c r="G910" s="77"/>
      <c r="H910" s="84"/>
      <c r="I910" s="70"/>
      <c r="J910" s="70"/>
      <c r="K910" s="70"/>
      <c r="L910" s="70"/>
      <c r="M910" s="70"/>
      <c r="N910" s="70"/>
      <c r="O910" s="70"/>
      <c r="P910" s="70"/>
      <c r="Q910" s="70"/>
      <c r="R910" s="70"/>
      <c r="S910" s="85"/>
      <c r="T910" s="70"/>
      <c r="U910" s="70"/>
      <c r="V910" s="70"/>
      <c r="W910" s="70"/>
      <c r="X910" s="70"/>
      <c r="Y910" s="70"/>
      <c r="Z910" s="70"/>
      <c r="AA910" s="70"/>
      <c r="AB910" s="70"/>
      <c r="AC910" s="70"/>
      <c r="AD910" s="70"/>
      <c r="AE910" s="70"/>
      <c r="AF910" s="70"/>
      <c r="AG910" s="70"/>
      <c r="AH910" s="70"/>
      <c r="AI910" s="70"/>
    </row>
    <row r="911" spans="1:35" ht="15">
      <c r="A911" s="70"/>
      <c r="B911" s="70"/>
      <c r="C911" s="70"/>
      <c r="D911" s="77"/>
      <c r="E911" s="77"/>
      <c r="F911" s="84"/>
      <c r="G911" s="77"/>
      <c r="H911" s="84"/>
      <c r="I911" s="70"/>
      <c r="J911" s="70"/>
      <c r="K911" s="70"/>
      <c r="L911" s="70"/>
      <c r="M911" s="70"/>
      <c r="N911" s="70"/>
      <c r="O911" s="70"/>
      <c r="P911" s="70"/>
      <c r="Q911" s="70"/>
      <c r="R911" s="70"/>
      <c r="S911" s="85"/>
      <c r="T911" s="70"/>
      <c r="U911" s="70"/>
      <c r="V911" s="70"/>
      <c r="W911" s="70"/>
      <c r="X911" s="70"/>
      <c r="Y911" s="70"/>
      <c r="Z911" s="70"/>
      <c r="AA911" s="70"/>
      <c r="AB911" s="70"/>
      <c r="AC911" s="70"/>
      <c r="AD911" s="70"/>
      <c r="AE911" s="70"/>
      <c r="AF911" s="70"/>
      <c r="AG911" s="70"/>
      <c r="AH911" s="70"/>
      <c r="AI911" s="70"/>
    </row>
    <row r="912" spans="1:35" ht="15">
      <c r="A912" s="70"/>
      <c r="B912" s="70"/>
      <c r="C912" s="70"/>
      <c r="D912" s="77"/>
      <c r="E912" s="77"/>
      <c r="F912" s="84"/>
      <c r="G912" s="77"/>
      <c r="H912" s="84"/>
      <c r="I912" s="70"/>
      <c r="J912" s="70"/>
      <c r="K912" s="70"/>
      <c r="L912" s="70"/>
      <c r="M912" s="70"/>
      <c r="N912" s="70"/>
      <c r="O912" s="70"/>
      <c r="P912" s="70"/>
      <c r="Q912" s="70"/>
      <c r="R912" s="70"/>
      <c r="S912" s="85"/>
      <c r="T912" s="70"/>
      <c r="U912" s="70"/>
      <c r="V912" s="70"/>
      <c r="W912" s="70"/>
      <c r="X912" s="70"/>
      <c r="Y912" s="70"/>
      <c r="Z912" s="70"/>
      <c r="AA912" s="70"/>
      <c r="AB912" s="70"/>
      <c r="AC912" s="70"/>
      <c r="AD912" s="70"/>
      <c r="AE912" s="70"/>
      <c r="AF912" s="70"/>
      <c r="AG912" s="70"/>
      <c r="AH912" s="70"/>
      <c r="AI912" s="70"/>
    </row>
    <row r="913" spans="1:35" ht="15">
      <c r="A913" s="70"/>
      <c r="B913" s="70"/>
      <c r="C913" s="70"/>
      <c r="D913" s="77"/>
      <c r="E913" s="77"/>
      <c r="F913" s="84"/>
      <c r="G913" s="77"/>
      <c r="H913" s="84"/>
      <c r="I913" s="70"/>
      <c r="J913" s="70"/>
      <c r="K913" s="70"/>
      <c r="L913" s="70"/>
      <c r="M913" s="70"/>
      <c r="N913" s="70"/>
      <c r="O913" s="70"/>
      <c r="P913" s="70"/>
      <c r="Q913" s="70"/>
      <c r="R913" s="70"/>
      <c r="S913" s="85"/>
      <c r="T913" s="70"/>
      <c r="U913" s="70"/>
      <c r="V913" s="70"/>
      <c r="W913" s="70"/>
      <c r="X913" s="70"/>
      <c r="Y913" s="70"/>
      <c r="Z913" s="70"/>
      <c r="AA913" s="70"/>
      <c r="AB913" s="70"/>
      <c r="AC913" s="70"/>
      <c r="AD913" s="70"/>
      <c r="AE913" s="70"/>
      <c r="AF913" s="70"/>
      <c r="AG913" s="70"/>
      <c r="AH913" s="70"/>
      <c r="AI913" s="70"/>
    </row>
    <row r="914" spans="1:35" ht="15">
      <c r="A914" s="70"/>
      <c r="B914" s="70"/>
      <c r="C914" s="70"/>
      <c r="D914" s="77"/>
      <c r="E914" s="77"/>
      <c r="F914" s="84"/>
      <c r="G914" s="77"/>
      <c r="H914" s="84"/>
      <c r="I914" s="70"/>
      <c r="J914" s="70"/>
      <c r="K914" s="70"/>
      <c r="L914" s="70"/>
      <c r="M914" s="70"/>
      <c r="N914" s="70"/>
      <c r="O914" s="70"/>
      <c r="P914" s="70"/>
      <c r="Q914" s="70"/>
      <c r="R914" s="70"/>
      <c r="S914" s="85"/>
      <c r="T914" s="70"/>
      <c r="U914" s="70"/>
      <c r="V914" s="70"/>
      <c r="W914" s="70"/>
      <c r="X914" s="70"/>
      <c r="Y914" s="70"/>
      <c r="Z914" s="70"/>
      <c r="AA914" s="70"/>
      <c r="AB914" s="70"/>
      <c r="AC914" s="70"/>
      <c r="AD914" s="70"/>
      <c r="AE914" s="70"/>
      <c r="AF914" s="70"/>
      <c r="AG914" s="70"/>
      <c r="AH914" s="70"/>
      <c r="AI914" s="70"/>
    </row>
    <row r="915" spans="1:35" ht="15">
      <c r="A915" s="70"/>
      <c r="B915" s="70"/>
      <c r="C915" s="70"/>
      <c r="D915" s="77"/>
      <c r="E915" s="77"/>
      <c r="F915" s="84"/>
      <c r="G915" s="77"/>
      <c r="H915" s="84"/>
      <c r="I915" s="70"/>
      <c r="J915" s="70"/>
      <c r="K915" s="70"/>
      <c r="L915" s="70"/>
      <c r="M915" s="70"/>
      <c r="N915" s="70"/>
      <c r="O915" s="70"/>
      <c r="P915" s="70"/>
      <c r="Q915" s="70"/>
      <c r="R915" s="70"/>
      <c r="S915" s="85"/>
      <c r="T915" s="70"/>
      <c r="U915" s="70"/>
      <c r="V915" s="70"/>
      <c r="W915" s="70"/>
      <c r="X915" s="70"/>
      <c r="Y915" s="70"/>
      <c r="Z915" s="70"/>
      <c r="AA915" s="70"/>
      <c r="AB915" s="70"/>
      <c r="AC915" s="70"/>
      <c r="AD915" s="70"/>
      <c r="AE915" s="70"/>
      <c r="AF915" s="70"/>
      <c r="AG915" s="70"/>
      <c r="AH915" s="70"/>
      <c r="AI915" s="70"/>
    </row>
    <row r="916" spans="1:35" ht="15">
      <c r="A916" s="70"/>
      <c r="B916" s="70"/>
      <c r="C916" s="70"/>
      <c r="D916" s="77"/>
      <c r="E916" s="77"/>
      <c r="F916" s="84"/>
      <c r="G916" s="77"/>
      <c r="H916" s="84"/>
      <c r="I916" s="70"/>
      <c r="J916" s="70"/>
      <c r="K916" s="70"/>
      <c r="L916" s="70"/>
      <c r="M916" s="70"/>
      <c r="N916" s="70"/>
      <c r="O916" s="70"/>
      <c r="P916" s="70"/>
      <c r="Q916" s="70"/>
      <c r="R916" s="70"/>
      <c r="S916" s="85"/>
      <c r="T916" s="70"/>
      <c r="U916" s="70"/>
      <c r="V916" s="70"/>
      <c r="W916" s="70"/>
      <c r="X916" s="70"/>
      <c r="Y916" s="70"/>
      <c r="Z916" s="70"/>
      <c r="AA916" s="70"/>
      <c r="AB916" s="70"/>
      <c r="AC916" s="70"/>
      <c r="AD916" s="70"/>
      <c r="AE916" s="70"/>
      <c r="AF916" s="70"/>
      <c r="AG916" s="70"/>
      <c r="AH916" s="70"/>
      <c r="AI916" s="70"/>
    </row>
    <row r="917" spans="1:35" ht="15">
      <c r="A917" s="70"/>
      <c r="B917" s="70"/>
      <c r="C917" s="70"/>
      <c r="D917" s="77"/>
      <c r="E917" s="77"/>
      <c r="F917" s="84"/>
      <c r="G917" s="77"/>
      <c r="H917" s="84"/>
      <c r="I917" s="70"/>
      <c r="J917" s="70"/>
      <c r="K917" s="70"/>
      <c r="L917" s="70"/>
      <c r="M917" s="70"/>
      <c r="N917" s="70"/>
      <c r="O917" s="70"/>
      <c r="P917" s="70"/>
      <c r="Q917" s="70"/>
      <c r="R917" s="70"/>
      <c r="S917" s="85"/>
      <c r="T917" s="70"/>
      <c r="U917" s="70"/>
      <c r="V917" s="70"/>
      <c r="W917" s="70"/>
      <c r="X917" s="70"/>
      <c r="Y917" s="70"/>
      <c r="Z917" s="70"/>
      <c r="AA917" s="70"/>
      <c r="AB917" s="70"/>
      <c r="AC917" s="70"/>
      <c r="AD917" s="70"/>
      <c r="AE917" s="70"/>
      <c r="AF917" s="70"/>
      <c r="AG917" s="70"/>
      <c r="AH917" s="70"/>
      <c r="AI917" s="70"/>
    </row>
    <row r="918" spans="1:35" ht="15">
      <c r="A918" s="70"/>
      <c r="B918" s="70"/>
      <c r="C918" s="70"/>
      <c r="D918" s="77"/>
      <c r="E918" s="77"/>
      <c r="F918" s="84"/>
      <c r="G918" s="77"/>
      <c r="H918" s="84"/>
      <c r="I918" s="70"/>
      <c r="J918" s="70"/>
      <c r="K918" s="70"/>
      <c r="L918" s="70"/>
      <c r="M918" s="70"/>
      <c r="N918" s="70"/>
      <c r="O918" s="70"/>
      <c r="P918" s="70"/>
      <c r="Q918" s="70"/>
      <c r="R918" s="70"/>
      <c r="S918" s="85"/>
      <c r="T918" s="70"/>
      <c r="U918" s="70"/>
      <c r="V918" s="70"/>
      <c r="W918" s="70"/>
      <c r="X918" s="70"/>
      <c r="Y918" s="70"/>
      <c r="Z918" s="70"/>
      <c r="AA918" s="70"/>
      <c r="AB918" s="70"/>
      <c r="AC918" s="70"/>
      <c r="AD918" s="70"/>
      <c r="AE918" s="70"/>
      <c r="AF918" s="70"/>
      <c r="AG918" s="70"/>
      <c r="AH918" s="70"/>
      <c r="AI918" s="70"/>
    </row>
    <row r="919" spans="1:35" ht="15">
      <c r="A919" s="70"/>
      <c r="B919" s="70"/>
      <c r="C919" s="70"/>
      <c r="D919" s="77"/>
      <c r="E919" s="77"/>
      <c r="F919" s="84"/>
      <c r="G919" s="77"/>
      <c r="H919" s="84"/>
      <c r="I919" s="70"/>
      <c r="J919" s="70"/>
      <c r="K919" s="70"/>
      <c r="L919" s="70"/>
      <c r="M919" s="70"/>
      <c r="N919" s="70"/>
      <c r="O919" s="70"/>
      <c r="P919" s="70"/>
      <c r="Q919" s="70"/>
      <c r="R919" s="70"/>
      <c r="S919" s="85"/>
      <c r="T919" s="70"/>
      <c r="U919" s="70"/>
      <c r="V919" s="70"/>
      <c r="W919" s="70"/>
      <c r="X919" s="70"/>
      <c r="Y919" s="70"/>
      <c r="Z919" s="70"/>
      <c r="AA919" s="70"/>
      <c r="AB919" s="70"/>
      <c r="AC919" s="70"/>
      <c r="AD919" s="70"/>
      <c r="AE919" s="70"/>
      <c r="AF919" s="70"/>
      <c r="AG919" s="70"/>
      <c r="AH919" s="70"/>
      <c r="AI919" s="70"/>
    </row>
    <row r="920" spans="1:35" ht="15">
      <c r="A920" s="70"/>
      <c r="B920" s="70"/>
      <c r="C920" s="70"/>
      <c r="D920" s="77"/>
      <c r="E920" s="77"/>
      <c r="F920" s="84"/>
      <c r="G920" s="77"/>
      <c r="H920" s="84"/>
      <c r="I920" s="70"/>
      <c r="J920" s="70"/>
      <c r="K920" s="70"/>
      <c r="L920" s="70"/>
      <c r="M920" s="70"/>
      <c r="N920" s="70"/>
      <c r="O920" s="70"/>
      <c r="P920" s="70"/>
      <c r="Q920" s="70"/>
      <c r="R920" s="70"/>
      <c r="S920" s="85"/>
      <c r="T920" s="70"/>
      <c r="U920" s="70"/>
      <c r="V920" s="70"/>
      <c r="W920" s="70"/>
      <c r="X920" s="70"/>
      <c r="Y920" s="70"/>
      <c r="Z920" s="70"/>
      <c r="AA920" s="70"/>
      <c r="AB920" s="70"/>
      <c r="AC920" s="70"/>
      <c r="AD920" s="70"/>
      <c r="AE920" s="70"/>
      <c r="AF920" s="70"/>
      <c r="AG920" s="70"/>
      <c r="AH920" s="70"/>
      <c r="AI920" s="70"/>
    </row>
    <row r="921" spans="1:35" ht="15">
      <c r="A921" s="70"/>
      <c r="B921" s="70"/>
      <c r="C921" s="70"/>
      <c r="D921" s="77"/>
      <c r="E921" s="77"/>
      <c r="F921" s="84"/>
      <c r="G921" s="77"/>
      <c r="H921" s="84"/>
      <c r="I921" s="70"/>
      <c r="J921" s="70"/>
      <c r="K921" s="70"/>
      <c r="L921" s="70"/>
      <c r="M921" s="70"/>
      <c r="N921" s="70"/>
      <c r="O921" s="70"/>
      <c r="P921" s="70"/>
      <c r="Q921" s="70"/>
      <c r="R921" s="70"/>
      <c r="S921" s="85"/>
      <c r="T921" s="70"/>
      <c r="U921" s="70"/>
      <c r="V921" s="70"/>
      <c r="W921" s="70"/>
      <c r="X921" s="70"/>
      <c r="Y921" s="70"/>
      <c r="Z921" s="70"/>
      <c r="AA921" s="70"/>
      <c r="AB921" s="70"/>
      <c r="AC921" s="70"/>
      <c r="AD921" s="70"/>
      <c r="AE921" s="70"/>
      <c r="AF921" s="70"/>
      <c r="AG921" s="70"/>
      <c r="AH921" s="70"/>
      <c r="AI921" s="70"/>
    </row>
    <row r="922" spans="1:35" ht="15">
      <c r="A922" s="70"/>
      <c r="B922" s="70"/>
      <c r="C922" s="70"/>
      <c r="D922" s="77"/>
      <c r="E922" s="77"/>
      <c r="F922" s="84"/>
      <c r="G922" s="77"/>
      <c r="H922" s="84"/>
      <c r="I922" s="70"/>
      <c r="J922" s="70"/>
      <c r="K922" s="70"/>
      <c r="L922" s="70"/>
      <c r="M922" s="70"/>
      <c r="N922" s="70"/>
      <c r="O922" s="70"/>
      <c r="P922" s="70"/>
      <c r="Q922" s="70"/>
      <c r="R922" s="70"/>
      <c r="S922" s="85"/>
      <c r="T922" s="70"/>
      <c r="U922" s="70"/>
      <c r="V922" s="70"/>
      <c r="W922" s="70"/>
      <c r="X922" s="70"/>
      <c r="Y922" s="70"/>
      <c r="Z922" s="70"/>
      <c r="AA922" s="70"/>
      <c r="AB922" s="70"/>
      <c r="AC922" s="70"/>
      <c r="AD922" s="70"/>
      <c r="AE922" s="70"/>
      <c r="AF922" s="70"/>
      <c r="AG922" s="70"/>
      <c r="AH922" s="70"/>
      <c r="AI922" s="70"/>
    </row>
    <row r="923" spans="1:35" ht="15">
      <c r="A923" s="70"/>
      <c r="B923" s="70"/>
      <c r="C923" s="70"/>
      <c r="D923" s="77"/>
      <c r="E923" s="77"/>
      <c r="F923" s="84"/>
      <c r="G923" s="77"/>
      <c r="H923" s="84"/>
      <c r="I923" s="70"/>
      <c r="J923" s="70"/>
      <c r="K923" s="70"/>
      <c r="L923" s="70"/>
      <c r="M923" s="70"/>
      <c r="N923" s="70"/>
      <c r="O923" s="70"/>
      <c r="P923" s="70"/>
      <c r="Q923" s="70"/>
      <c r="R923" s="70"/>
      <c r="S923" s="85"/>
      <c r="T923" s="70"/>
      <c r="U923" s="70"/>
      <c r="V923" s="70"/>
      <c r="W923" s="70"/>
      <c r="X923" s="70"/>
      <c r="Y923" s="70"/>
      <c r="Z923" s="70"/>
      <c r="AA923" s="70"/>
      <c r="AB923" s="70"/>
      <c r="AC923" s="70"/>
      <c r="AD923" s="70"/>
      <c r="AE923" s="70"/>
      <c r="AF923" s="70"/>
      <c r="AG923" s="70"/>
      <c r="AH923" s="70"/>
      <c r="AI923" s="70"/>
    </row>
    <row r="924" spans="1:35" ht="15">
      <c r="A924" s="70"/>
      <c r="B924" s="70"/>
      <c r="C924" s="70"/>
      <c r="D924" s="77"/>
      <c r="E924" s="77"/>
      <c r="F924" s="84"/>
      <c r="G924" s="77"/>
      <c r="H924" s="84"/>
      <c r="I924" s="70"/>
      <c r="J924" s="70"/>
      <c r="K924" s="70"/>
      <c r="L924" s="70"/>
      <c r="M924" s="70"/>
      <c r="N924" s="70"/>
      <c r="O924" s="70"/>
      <c r="P924" s="70"/>
      <c r="Q924" s="70"/>
      <c r="R924" s="70"/>
      <c r="S924" s="85"/>
      <c r="T924" s="70"/>
      <c r="U924" s="70"/>
      <c r="V924" s="70"/>
      <c r="W924" s="70"/>
      <c r="X924" s="70"/>
      <c r="Y924" s="70"/>
      <c r="Z924" s="70"/>
      <c r="AA924" s="70"/>
      <c r="AB924" s="70"/>
      <c r="AC924" s="70"/>
      <c r="AD924" s="70"/>
      <c r="AE924" s="70"/>
      <c r="AF924" s="70"/>
      <c r="AG924" s="70"/>
      <c r="AH924" s="70"/>
      <c r="AI924" s="70"/>
    </row>
    <row r="925" spans="1:35" ht="15">
      <c r="A925" s="70"/>
      <c r="B925" s="70"/>
      <c r="C925" s="70"/>
      <c r="D925" s="77"/>
      <c r="E925" s="77"/>
      <c r="F925" s="84"/>
      <c r="G925" s="77"/>
      <c r="H925" s="84"/>
      <c r="I925" s="70"/>
      <c r="J925" s="70"/>
      <c r="K925" s="70"/>
      <c r="L925" s="70"/>
      <c r="M925" s="70"/>
      <c r="N925" s="70"/>
      <c r="O925" s="70"/>
      <c r="P925" s="70"/>
      <c r="Q925" s="70"/>
      <c r="R925" s="70"/>
      <c r="S925" s="85"/>
      <c r="T925" s="70"/>
      <c r="U925" s="70"/>
      <c r="V925" s="70"/>
      <c r="W925" s="70"/>
      <c r="X925" s="70"/>
      <c r="Y925" s="70"/>
      <c r="Z925" s="70"/>
      <c r="AA925" s="70"/>
      <c r="AB925" s="70"/>
      <c r="AC925" s="70"/>
      <c r="AD925" s="70"/>
      <c r="AE925" s="70"/>
      <c r="AF925" s="70"/>
      <c r="AG925" s="70"/>
      <c r="AH925" s="70"/>
      <c r="AI925" s="70"/>
    </row>
    <row r="926" spans="1:35" ht="15">
      <c r="A926" s="70"/>
      <c r="B926" s="70"/>
      <c r="C926" s="70"/>
      <c r="D926" s="77"/>
      <c r="E926" s="77"/>
      <c r="F926" s="84"/>
      <c r="G926" s="77"/>
      <c r="H926" s="84"/>
      <c r="I926" s="70"/>
      <c r="J926" s="70"/>
      <c r="K926" s="70"/>
      <c r="L926" s="70"/>
      <c r="M926" s="70"/>
      <c r="N926" s="70"/>
      <c r="O926" s="70"/>
      <c r="P926" s="70"/>
      <c r="Q926" s="70"/>
      <c r="R926" s="70"/>
      <c r="S926" s="85"/>
      <c r="T926" s="70"/>
      <c r="U926" s="70"/>
      <c r="V926" s="70"/>
      <c r="W926" s="70"/>
      <c r="X926" s="70"/>
      <c r="Y926" s="70"/>
      <c r="Z926" s="70"/>
      <c r="AA926" s="70"/>
      <c r="AB926" s="70"/>
      <c r="AC926" s="70"/>
      <c r="AD926" s="70"/>
      <c r="AE926" s="70"/>
      <c r="AF926" s="70"/>
      <c r="AG926" s="70"/>
      <c r="AH926" s="70"/>
      <c r="AI926" s="70"/>
    </row>
    <row r="927" spans="1:35" ht="15">
      <c r="A927" s="70"/>
      <c r="B927" s="70"/>
      <c r="C927" s="70"/>
      <c r="D927" s="77"/>
      <c r="E927" s="77"/>
      <c r="F927" s="84"/>
      <c r="G927" s="77"/>
      <c r="H927" s="84"/>
      <c r="I927" s="70"/>
      <c r="J927" s="70"/>
      <c r="K927" s="70"/>
      <c r="L927" s="70"/>
      <c r="M927" s="70"/>
      <c r="N927" s="70"/>
      <c r="O927" s="70"/>
      <c r="P927" s="70"/>
      <c r="Q927" s="70"/>
      <c r="R927" s="70"/>
      <c r="S927" s="85"/>
      <c r="T927" s="70"/>
      <c r="U927" s="70"/>
      <c r="V927" s="70"/>
      <c r="W927" s="70"/>
      <c r="X927" s="70"/>
      <c r="Y927" s="70"/>
      <c r="Z927" s="70"/>
      <c r="AA927" s="70"/>
      <c r="AB927" s="70"/>
      <c r="AC927" s="70"/>
      <c r="AD927" s="70"/>
      <c r="AE927" s="70"/>
      <c r="AF927" s="70"/>
      <c r="AG927" s="70"/>
      <c r="AH927" s="70"/>
      <c r="AI927" s="70"/>
    </row>
    <row r="928" spans="1:35" ht="15">
      <c r="A928" s="70"/>
      <c r="B928" s="70"/>
      <c r="C928" s="70"/>
      <c r="D928" s="77"/>
      <c r="E928" s="77"/>
      <c r="F928" s="84"/>
      <c r="G928" s="77"/>
      <c r="H928" s="84"/>
      <c r="I928" s="70"/>
      <c r="J928" s="70"/>
      <c r="K928" s="70"/>
      <c r="L928" s="70"/>
      <c r="M928" s="70"/>
      <c r="N928" s="70"/>
      <c r="O928" s="70"/>
      <c r="P928" s="70"/>
      <c r="Q928" s="70"/>
      <c r="R928" s="70"/>
      <c r="S928" s="85"/>
      <c r="T928" s="70"/>
      <c r="U928" s="70"/>
      <c r="V928" s="70"/>
      <c r="W928" s="70"/>
      <c r="X928" s="70"/>
      <c r="Y928" s="70"/>
      <c r="Z928" s="70"/>
      <c r="AA928" s="70"/>
      <c r="AB928" s="70"/>
      <c r="AC928" s="70"/>
      <c r="AD928" s="70"/>
      <c r="AE928" s="70"/>
      <c r="AF928" s="70"/>
      <c r="AG928" s="70"/>
      <c r="AH928" s="70"/>
      <c r="AI928" s="70"/>
    </row>
    <row r="929" spans="1:35" ht="15">
      <c r="A929" s="70"/>
      <c r="B929" s="70"/>
      <c r="C929" s="70"/>
      <c r="D929" s="77"/>
      <c r="E929" s="77"/>
      <c r="F929" s="84"/>
      <c r="G929" s="77"/>
      <c r="H929" s="84"/>
      <c r="I929" s="70"/>
      <c r="J929" s="70"/>
      <c r="K929" s="70"/>
      <c r="L929" s="70"/>
      <c r="M929" s="70"/>
      <c r="N929" s="70"/>
      <c r="O929" s="70"/>
      <c r="P929" s="70"/>
      <c r="Q929" s="70"/>
      <c r="R929" s="70"/>
      <c r="S929" s="85"/>
      <c r="T929" s="70"/>
      <c r="U929" s="70"/>
      <c r="V929" s="70"/>
      <c r="W929" s="70"/>
      <c r="X929" s="70"/>
      <c r="Y929" s="70"/>
      <c r="Z929" s="70"/>
      <c r="AA929" s="70"/>
      <c r="AB929" s="70"/>
      <c r="AC929" s="70"/>
      <c r="AD929" s="70"/>
      <c r="AE929" s="70"/>
      <c r="AF929" s="70"/>
      <c r="AG929" s="70"/>
      <c r="AH929" s="70"/>
      <c r="AI929" s="70"/>
    </row>
    <row r="930" spans="1:35" ht="15">
      <c r="A930" s="70"/>
      <c r="B930" s="70"/>
      <c r="C930" s="70"/>
      <c r="D930" s="77"/>
      <c r="E930" s="77"/>
      <c r="F930" s="84"/>
      <c r="G930" s="77"/>
      <c r="H930" s="84"/>
      <c r="I930" s="70"/>
      <c r="J930" s="70"/>
      <c r="K930" s="70"/>
      <c r="L930" s="70"/>
      <c r="M930" s="70"/>
      <c r="N930" s="70"/>
      <c r="O930" s="70"/>
      <c r="P930" s="70"/>
      <c r="Q930" s="70"/>
      <c r="R930" s="70"/>
      <c r="S930" s="85"/>
      <c r="T930" s="70"/>
      <c r="U930" s="70"/>
      <c r="V930" s="70"/>
      <c r="W930" s="70"/>
      <c r="X930" s="70"/>
      <c r="Y930" s="70"/>
      <c r="Z930" s="70"/>
      <c r="AA930" s="70"/>
      <c r="AB930" s="70"/>
      <c r="AC930" s="70"/>
      <c r="AD930" s="70"/>
      <c r="AE930" s="70"/>
      <c r="AF930" s="70"/>
      <c r="AG930" s="70"/>
      <c r="AH930" s="70"/>
      <c r="AI930" s="70"/>
    </row>
    <row r="931" spans="1:35" ht="15">
      <c r="A931" s="70"/>
      <c r="B931" s="70"/>
      <c r="C931" s="70"/>
      <c r="D931" s="77"/>
      <c r="E931" s="77"/>
      <c r="F931" s="84"/>
      <c r="G931" s="77"/>
      <c r="H931" s="84"/>
      <c r="I931" s="70"/>
      <c r="J931" s="70"/>
      <c r="K931" s="70"/>
      <c r="L931" s="70"/>
      <c r="M931" s="70"/>
      <c r="N931" s="70"/>
      <c r="O931" s="70"/>
      <c r="P931" s="70"/>
      <c r="Q931" s="70"/>
      <c r="R931" s="70"/>
      <c r="S931" s="85"/>
      <c r="T931" s="70"/>
      <c r="U931" s="70"/>
      <c r="V931" s="70"/>
      <c r="W931" s="70"/>
      <c r="X931" s="70"/>
      <c r="Y931" s="70"/>
      <c r="Z931" s="70"/>
      <c r="AA931" s="70"/>
      <c r="AB931" s="70"/>
      <c r="AC931" s="70"/>
      <c r="AD931" s="70"/>
      <c r="AE931" s="70"/>
      <c r="AF931" s="70"/>
      <c r="AG931" s="70"/>
      <c r="AH931" s="70"/>
      <c r="AI931" s="70"/>
    </row>
    <row r="932" spans="1:35" ht="15">
      <c r="A932" s="70"/>
      <c r="B932" s="70"/>
      <c r="C932" s="70"/>
      <c r="D932" s="77"/>
      <c r="E932" s="77"/>
      <c r="F932" s="84"/>
      <c r="G932" s="77"/>
      <c r="H932" s="84"/>
      <c r="I932" s="70"/>
      <c r="J932" s="70"/>
      <c r="K932" s="70"/>
      <c r="L932" s="70"/>
      <c r="M932" s="70"/>
      <c r="N932" s="70"/>
      <c r="O932" s="70"/>
      <c r="P932" s="70"/>
      <c r="Q932" s="70"/>
      <c r="R932" s="70"/>
      <c r="S932" s="85"/>
      <c r="T932" s="70"/>
      <c r="U932" s="70"/>
      <c r="V932" s="70"/>
      <c r="W932" s="70"/>
      <c r="X932" s="70"/>
      <c r="Y932" s="70"/>
      <c r="Z932" s="70"/>
      <c r="AA932" s="70"/>
      <c r="AB932" s="70"/>
      <c r="AC932" s="70"/>
      <c r="AD932" s="70"/>
      <c r="AE932" s="70"/>
      <c r="AF932" s="70"/>
      <c r="AG932" s="70"/>
      <c r="AH932" s="70"/>
      <c r="AI932" s="70"/>
    </row>
    <row r="933" spans="1:35" ht="15">
      <c r="A933" s="70"/>
      <c r="B933" s="70"/>
      <c r="C933" s="70"/>
      <c r="D933" s="77"/>
      <c r="E933" s="77"/>
      <c r="F933" s="84"/>
      <c r="G933" s="77"/>
      <c r="H933" s="84"/>
      <c r="I933" s="70"/>
      <c r="J933" s="70"/>
      <c r="K933" s="70"/>
      <c r="L933" s="70"/>
      <c r="M933" s="70"/>
      <c r="N933" s="70"/>
      <c r="O933" s="70"/>
      <c r="P933" s="70"/>
      <c r="Q933" s="70"/>
      <c r="R933" s="70"/>
      <c r="S933" s="85"/>
      <c r="T933" s="70"/>
      <c r="U933" s="70"/>
      <c r="V933" s="70"/>
      <c r="W933" s="70"/>
      <c r="X933" s="70"/>
      <c r="Y933" s="70"/>
      <c r="Z933" s="70"/>
      <c r="AA933" s="70"/>
      <c r="AB933" s="70"/>
      <c r="AC933" s="70"/>
      <c r="AD933" s="70"/>
      <c r="AE933" s="70"/>
      <c r="AF933" s="70"/>
      <c r="AG933" s="70"/>
      <c r="AH933" s="70"/>
      <c r="AI933" s="70"/>
    </row>
    <row r="934" spans="1:35" ht="15">
      <c r="A934" s="70"/>
      <c r="B934" s="70"/>
      <c r="C934" s="70"/>
      <c r="D934" s="77"/>
      <c r="E934" s="77"/>
      <c r="F934" s="84"/>
      <c r="G934" s="77"/>
      <c r="H934" s="84"/>
      <c r="I934" s="70"/>
      <c r="J934" s="70"/>
      <c r="K934" s="70"/>
      <c r="L934" s="70"/>
      <c r="M934" s="70"/>
      <c r="N934" s="70"/>
      <c r="O934" s="70"/>
      <c r="P934" s="70"/>
      <c r="Q934" s="70"/>
      <c r="R934" s="70"/>
      <c r="S934" s="85"/>
      <c r="T934" s="70"/>
      <c r="U934" s="70"/>
      <c r="V934" s="70"/>
      <c r="W934" s="70"/>
      <c r="X934" s="70"/>
      <c r="Y934" s="70"/>
      <c r="Z934" s="70"/>
      <c r="AA934" s="70"/>
      <c r="AB934" s="70"/>
      <c r="AC934" s="70"/>
      <c r="AD934" s="70"/>
      <c r="AE934" s="70"/>
      <c r="AF934" s="70"/>
      <c r="AG934" s="70"/>
      <c r="AH934" s="70"/>
      <c r="AI934" s="70"/>
    </row>
    <row r="935" spans="1:35" ht="15">
      <c r="A935" s="70"/>
      <c r="B935" s="70"/>
      <c r="C935" s="70"/>
      <c r="D935" s="77"/>
      <c r="E935" s="77"/>
      <c r="F935" s="84"/>
      <c r="G935" s="77"/>
      <c r="H935" s="84"/>
      <c r="I935" s="70"/>
      <c r="J935" s="70"/>
      <c r="K935" s="70"/>
      <c r="L935" s="70"/>
      <c r="M935" s="70"/>
      <c r="N935" s="70"/>
      <c r="O935" s="70"/>
      <c r="P935" s="70"/>
      <c r="Q935" s="70"/>
      <c r="R935" s="70"/>
      <c r="S935" s="85"/>
      <c r="T935" s="70"/>
      <c r="U935" s="70"/>
      <c r="V935" s="70"/>
      <c r="W935" s="70"/>
      <c r="X935" s="70"/>
      <c r="Y935" s="70"/>
      <c r="Z935" s="70"/>
      <c r="AA935" s="70"/>
      <c r="AB935" s="70"/>
      <c r="AC935" s="70"/>
      <c r="AD935" s="70"/>
      <c r="AE935" s="70"/>
      <c r="AF935" s="70"/>
      <c r="AG935" s="70"/>
      <c r="AH935" s="70"/>
      <c r="AI935" s="70"/>
    </row>
    <row r="936" spans="1:35" ht="15">
      <c r="A936" s="70"/>
      <c r="B936" s="70"/>
      <c r="C936" s="70"/>
      <c r="D936" s="77"/>
      <c r="E936" s="77"/>
      <c r="F936" s="84"/>
      <c r="G936" s="77"/>
      <c r="H936" s="84"/>
      <c r="I936" s="70"/>
      <c r="J936" s="70"/>
      <c r="K936" s="70"/>
      <c r="L936" s="70"/>
      <c r="M936" s="70"/>
      <c r="N936" s="70"/>
      <c r="O936" s="70"/>
      <c r="P936" s="70"/>
      <c r="Q936" s="70"/>
      <c r="R936" s="70"/>
      <c r="S936" s="85"/>
      <c r="T936" s="70"/>
      <c r="U936" s="70"/>
      <c r="V936" s="70"/>
      <c r="W936" s="70"/>
      <c r="X936" s="70"/>
      <c r="Y936" s="70"/>
      <c r="Z936" s="70"/>
      <c r="AA936" s="70"/>
      <c r="AB936" s="70"/>
      <c r="AC936" s="70"/>
      <c r="AD936" s="70"/>
      <c r="AE936" s="70"/>
      <c r="AF936" s="70"/>
      <c r="AG936" s="70"/>
      <c r="AH936" s="70"/>
      <c r="AI936" s="70"/>
    </row>
    <row r="937" spans="1:35" ht="15">
      <c r="A937" s="70"/>
      <c r="B937" s="70"/>
      <c r="C937" s="70"/>
      <c r="D937" s="77"/>
      <c r="E937" s="77"/>
      <c r="F937" s="84"/>
      <c r="G937" s="77"/>
      <c r="H937" s="84"/>
      <c r="I937" s="70"/>
      <c r="J937" s="70"/>
      <c r="K937" s="70"/>
      <c r="L937" s="70"/>
      <c r="M937" s="70"/>
      <c r="N937" s="70"/>
      <c r="O937" s="70"/>
      <c r="P937" s="70"/>
      <c r="Q937" s="70"/>
      <c r="R937" s="70"/>
      <c r="S937" s="85"/>
      <c r="T937" s="70"/>
      <c r="U937" s="70"/>
      <c r="V937" s="70"/>
      <c r="W937" s="70"/>
      <c r="X937" s="70"/>
      <c r="Y937" s="70"/>
      <c r="Z937" s="70"/>
      <c r="AA937" s="70"/>
      <c r="AB937" s="70"/>
      <c r="AC937" s="70"/>
      <c r="AD937" s="70"/>
      <c r="AE937" s="70"/>
      <c r="AF937" s="70"/>
      <c r="AG937" s="70"/>
      <c r="AH937" s="70"/>
      <c r="AI937" s="70"/>
    </row>
    <row r="938" spans="1:35" ht="15">
      <c r="A938" s="70"/>
      <c r="B938" s="70"/>
      <c r="C938" s="70"/>
      <c r="D938" s="77"/>
      <c r="E938" s="77"/>
      <c r="F938" s="84"/>
      <c r="G938" s="77"/>
      <c r="H938" s="84"/>
      <c r="I938" s="70"/>
      <c r="J938" s="70"/>
      <c r="K938" s="70"/>
      <c r="L938" s="70"/>
      <c r="M938" s="70"/>
      <c r="N938" s="70"/>
      <c r="O938" s="70"/>
      <c r="P938" s="70"/>
      <c r="Q938" s="70"/>
      <c r="R938" s="70"/>
      <c r="S938" s="85"/>
      <c r="T938" s="70"/>
      <c r="U938" s="70"/>
      <c r="V938" s="70"/>
      <c r="W938" s="70"/>
      <c r="X938" s="70"/>
      <c r="Y938" s="70"/>
      <c r="Z938" s="70"/>
      <c r="AA938" s="70"/>
      <c r="AB938" s="70"/>
      <c r="AC938" s="70"/>
      <c r="AD938" s="70"/>
      <c r="AE938" s="70"/>
      <c r="AF938" s="70"/>
      <c r="AG938" s="70"/>
      <c r="AH938" s="70"/>
      <c r="AI938" s="70"/>
    </row>
    <row r="939" spans="1:35" ht="15">
      <c r="A939" s="70"/>
      <c r="B939" s="70"/>
      <c r="C939" s="70"/>
      <c r="D939" s="77"/>
      <c r="E939" s="77"/>
      <c r="F939" s="84"/>
      <c r="G939" s="77"/>
      <c r="H939" s="84"/>
      <c r="I939" s="70"/>
      <c r="J939" s="70"/>
      <c r="K939" s="70"/>
      <c r="L939" s="70"/>
      <c r="M939" s="70"/>
      <c r="N939" s="70"/>
      <c r="O939" s="70"/>
      <c r="P939" s="70"/>
      <c r="Q939" s="70"/>
      <c r="R939" s="70"/>
      <c r="S939" s="85"/>
      <c r="T939" s="70"/>
      <c r="U939" s="70"/>
      <c r="V939" s="70"/>
      <c r="W939" s="70"/>
      <c r="X939" s="70"/>
      <c r="Y939" s="70"/>
      <c r="Z939" s="70"/>
      <c r="AA939" s="70"/>
      <c r="AB939" s="70"/>
      <c r="AC939" s="70"/>
      <c r="AD939" s="70"/>
      <c r="AE939" s="70"/>
      <c r="AF939" s="70"/>
      <c r="AG939" s="70"/>
      <c r="AH939" s="70"/>
      <c r="AI939" s="70"/>
    </row>
    <row r="940" spans="1:35" ht="15">
      <c r="A940" s="70"/>
      <c r="B940" s="70"/>
      <c r="C940" s="70"/>
      <c r="D940" s="77"/>
      <c r="E940" s="77"/>
      <c r="F940" s="84"/>
      <c r="G940" s="77"/>
      <c r="H940" s="84"/>
      <c r="I940" s="70"/>
      <c r="J940" s="70"/>
      <c r="K940" s="70"/>
      <c r="L940" s="70"/>
      <c r="M940" s="70"/>
      <c r="N940" s="70"/>
      <c r="O940" s="70"/>
      <c r="P940" s="70"/>
      <c r="Q940" s="70"/>
      <c r="R940" s="70"/>
      <c r="S940" s="85"/>
      <c r="T940" s="70"/>
      <c r="U940" s="70"/>
      <c r="V940" s="70"/>
      <c r="W940" s="70"/>
      <c r="X940" s="70"/>
      <c r="Y940" s="70"/>
      <c r="Z940" s="70"/>
      <c r="AA940" s="70"/>
      <c r="AB940" s="70"/>
      <c r="AC940" s="70"/>
      <c r="AD940" s="70"/>
      <c r="AE940" s="70"/>
      <c r="AF940" s="70"/>
      <c r="AG940" s="70"/>
      <c r="AH940" s="70"/>
      <c r="AI940" s="70"/>
    </row>
    <row r="941" spans="1:35" ht="15">
      <c r="A941" s="70"/>
      <c r="B941" s="70"/>
      <c r="C941" s="70"/>
      <c r="D941" s="77"/>
      <c r="E941" s="77"/>
      <c r="F941" s="84"/>
      <c r="G941" s="77"/>
      <c r="H941" s="84"/>
      <c r="I941" s="70"/>
      <c r="J941" s="70"/>
      <c r="K941" s="70"/>
      <c r="L941" s="70"/>
      <c r="M941" s="70"/>
      <c r="N941" s="70"/>
      <c r="O941" s="70"/>
      <c r="P941" s="70"/>
      <c r="Q941" s="70"/>
      <c r="R941" s="70"/>
      <c r="S941" s="85"/>
      <c r="T941" s="70"/>
      <c r="U941" s="70"/>
      <c r="V941" s="70"/>
      <c r="W941" s="70"/>
      <c r="X941" s="70"/>
      <c r="Y941" s="70"/>
      <c r="Z941" s="70"/>
      <c r="AA941" s="70"/>
      <c r="AB941" s="70"/>
      <c r="AC941" s="70"/>
      <c r="AD941" s="70"/>
      <c r="AE941" s="70"/>
      <c r="AF941" s="70"/>
      <c r="AG941" s="70"/>
      <c r="AH941" s="70"/>
      <c r="AI941" s="70"/>
    </row>
    <row r="942" spans="1:35" ht="15">
      <c r="A942" s="70"/>
      <c r="B942" s="70"/>
      <c r="C942" s="70"/>
      <c r="D942" s="77"/>
      <c r="E942" s="77"/>
      <c r="F942" s="84"/>
      <c r="G942" s="77"/>
      <c r="H942" s="84"/>
      <c r="I942" s="70"/>
      <c r="J942" s="70"/>
      <c r="K942" s="70"/>
      <c r="L942" s="70"/>
      <c r="M942" s="70"/>
      <c r="N942" s="70"/>
      <c r="O942" s="70"/>
      <c r="P942" s="70"/>
      <c r="Q942" s="70"/>
      <c r="R942" s="70"/>
      <c r="S942" s="85"/>
      <c r="T942" s="70"/>
      <c r="U942" s="70"/>
      <c r="V942" s="70"/>
      <c r="W942" s="70"/>
      <c r="X942" s="70"/>
      <c r="Y942" s="70"/>
      <c r="Z942" s="70"/>
      <c r="AA942" s="70"/>
      <c r="AB942" s="70"/>
      <c r="AC942" s="70"/>
      <c r="AD942" s="70"/>
      <c r="AE942" s="70"/>
      <c r="AF942" s="70"/>
      <c r="AG942" s="70"/>
      <c r="AH942" s="70"/>
      <c r="AI942" s="70"/>
    </row>
    <row r="943" spans="1:35" ht="15">
      <c r="A943" s="70"/>
      <c r="B943" s="70"/>
      <c r="C943" s="70"/>
      <c r="D943" s="77"/>
      <c r="E943" s="77"/>
      <c r="F943" s="84"/>
      <c r="G943" s="77"/>
      <c r="H943" s="84"/>
      <c r="I943" s="70"/>
      <c r="J943" s="70"/>
      <c r="K943" s="70"/>
      <c r="L943" s="70"/>
      <c r="M943" s="70"/>
      <c r="N943" s="70"/>
      <c r="O943" s="70"/>
      <c r="P943" s="70"/>
      <c r="Q943" s="70"/>
      <c r="R943" s="70"/>
      <c r="S943" s="85"/>
      <c r="T943" s="70"/>
      <c r="U943" s="70"/>
      <c r="V943" s="70"/>
      <c r="W943" s="70"/>
      <c r="X943" s="70"/>
      <c r="Y943" s="70"/>
      <c r="Z943" s="70"/>
      <c r="AA943" s="70"/>
      <c r="AB943" s="70"/>
      <c r="AC943" s="70"/>
      <c r="AD943" s="70"/>
      <c r="AE943" s="70"/>
      <c r="AF943" s="70"/>
      <c r="AG943" s="70"/>
      <c r="AH943" s="70"/>
      <c r="AI943" s="70"/>
    </row>
    <row r="944" spans="1:35" ht="15">
      <c r="A944" s="70"/>
      <c r="B944" s="70"/>
      <c r="C944" s="70"/>
      <c r="D944" s="77"/>
      <c r="E944" s="77"/>
      <c r="F944" s="84"/>
      <c r="G944" s="77"/>
      <c r="H944" s="84"/>
      <c r="I944" s="70"/>
      <c r="J944" s="70"/>
      <c r="K944" s="70"/>
      <c r="L944" s="70"/>
      <c r="M944" s="70"/>
      <c r="N944" s="70"/>
      <c r="O944" s="70"/>
      <c r="P944" s="70"/>
      <c r="Q944" s="70"/>
      <c r="R944" s="70"/>
      <c r="S944" s="85"/>
      <c r="T944" s="70"/>
      <c r="U944" s="70"/>
      <c r="V944" s="70"/>
      <c r="W944" s="70"/>
      <c r="X944" s="70"/>
      <c r="Y944" s="70"/>
      <c r="Z944" s="70"/>
      <c r="AA944" s="70"/>
      <c r="AB944" s="70"/>
      <c r="AC944" s="70"/>
      <c r="AD944" s="70"/>
      <c r="AE944" s="70"/>
      <c r="AF944" s="70"/>
      <c r="AG944" s="70"/>
      <c r="AH944" s="70"/>
      <c r="AI944" s="70"/>
    </row>
    <row r="945" spans="1:35" ht="15">
      <c r="A945" s="70"/>
      <c r="B945" s="70"/>
      <c r="C945" s="70"/>
      <c r="D945" s="77"/>
      <c r="E945" s="77"/>
      <c r="F945" s="84"/>
      <c r="G945" s="77"/>
      <c r="H945" s="84"/>
      <c r="I945" s="70"/>
      <c r="J945" s="70"/>
      <c r="K945" s="70"/>
      <c r="L945" s="70"/>
      <c r="M945" s="70"/>
      <c r="N945" s="70"/>
      <c r="O945" s="70"/>
      <c r="P945" s="70"/>
      <c r="Q945" s="70"/>
      <c r="R945" s="70"/>
      <c r="S945" s="85"/>
      <c r="T945" s="70"/>
      <c r="U945" s="70"/>
      <c r="V945" s="70"/>
      <c r="W945" s="70"/>
      <c r="X945" s="70"/>
      <c r="Y945" s="70"/>
      <c r="Z945" s="70"/>
      <c r="AA945" s="70"/>
      <c r="AB945" s="70"/>
      <c r="AC945" s="70"/>
      <c r="AD945" s="70"/>
      <c r="AE945" s="70"/>
      <c r="AF945" s="70"/>
      <c r="AG945" s="70"/>
      <c r="AH945" s="70"/>
      <c r="AI945" s="70"/>
    </row>
    <row r="946" spans="1:35" ht="15">
      <c r="A946" s="70"/>
      <c r="B946" s="70"/>
      <c r="C946" s="70"/>
      <c r="D946" s="77"/>
      <c r="E946" s="77"/>
      <c r="F946" s="84"/>
      <c r="G946" s="77"/>
      <c r="H946" s="84"/>
      <c r="I946" s="70"/>
      <c r="J946" s="70"/>
      <c r="K946" s="70"/>
      <c r="L946" s="70"/>
      <c r="M946" s="70"/>
      <c r="N946" s="70"/>
      <c r="O946" s="70"/>
      <c r="P946" s="70"/>
      <c r="Q946" s="70"/>
      <c r="R946" s="70"/>
      <c r="S946" s="85"/>
      <c r="T946" s="70"/>
      <c r="U946" s="70"/>
      <c r="V946" s="70"/>
      <c r="W946" s="70"/>
      <c r="X946" s="70"/>
      <c r="Y946" s="70"/>
      <c r="Z946" s="70"/>
      <c r="AA946" s="70"/>
      <c r="AB946" s="70"/>
      <c r="AC946" s="70"/>
      <c r="AD946" s="70"/>
      <c r="AE946" s="70"/>
      <c r="AF946" s="70"/>
      <c r="AG946" s="70"/>
      <c r="AH946" s="70"/>
      <c r="AI946" s="70"/>
    </row>
    <row r="947" spans="1:35" ht="15">
      <c r="A947" s="70"/>
      <c r="B947" s="70"/>
      <c r="C947" s="70"/>
      <c r="D947" s="77"/>
      <c r="E947" s="77"/>
      <c r="F947" s="84"/>
      <c r="G947" s="77"/>
      <c r="H947" s="84"/>
      <c r="I947" s="70"/>
      <c r="J947" s="70"/>
      <c r="K947" s="70"/>
      <c r="L947" s="70"/>
      <c r="M947" s="70"/>
      <c r="N947" s="70"/>
      <c r="O947" s="70"/>
      <c r="P947" s="70"/>
      <c r="Q947" s="70"/>
      <c r="R947" s="70"/>
      <c r="S947" s="85"/>
      <c r="T947" s="70"/>
      <c r="U947" s="70"/>
      <c r="V947" s="70"/>
      <c r="W947" s="70"/>
      <c r="X947" s="70"/>
      <c r="Y947" s="70"/>
      <c r="Z947" s="70"/>
      <c r="AA947" s="70"/>
      <c r="AB947" s="70"/>
      <c r="AC947" s="70"/>
      <c r="AD947" s="70"/>
      <c r="AE947" s="70"/>
      <c r="AF947" s="70"/>
      <c r="AG947" s="70"/>
      <c r="AH947" s="70"/>
      <c r="AI947" s="70"/>
    </row>
    <row r="948" spans="1:35" ht="15">
      <c r="A948" s="70"/>
      <c r="B948" s="70"/>
      <c r="C948" s="70"/>
      <c r="D948" s="77"/>
      <c r="E948" s="77"/>
      <c r="F948" s="84"/>
      <c r="G948" s="77"/>
      <c r="H948" s="84"/>
      <c r="I948" s="70"/>
      <c r="J948" s="70"/>
      <c r="K948" s="70"/>
      <c r="L948" s="70"/>
      <c r="M948" s="70"/>
      <c r="N948" s="70"/>
      <c r="O948" s="70"/>
      <c r="P948" s="70"/>
      <c r="Q948" s="70"/>
      <c r="R948" s="70"/>
      <c r="S948" s="85"/>
      <c r="T948" s="70"/>
      <c r="U948" s="70"/>
      <c r="V948" s="70"/>
      <c r="W948" s="70"/>
      <c r="X948" s="70"/>
      <c r="Y948" s="70"/>
      <c r="Z948" s="70"/>
      <c r="AA948" s="70"/>
      <c r="AB948" s="70"/>
      <c r="AC948" s="70"/>
      <c r="AD948" s="70"/>
      <c r="AE948" s="70"/>
      <c r="AF948" s="70"/>
      <c r="AG948" s="70"/>
      <c r="AH948" s="70"/>
      <c r="AI948" s="70"/>
    </row>
    <row r="949" spans="1:35" ht="15">
      <c r="A949" s="70"/>
      <c r="B949" s="70"/>
      <c r="C949" s="70"/>
      <c r="D949" s="77"/>
      <c r="E949" s="77"/>
      <c r="F949" s="84"/>
      <c r="G949" s="77"/>
      <c r="H949" s="84"/>
      <c r="I949" s="70"/>
      <c r="J949" s="70"/>
      <c r="K949" s="70"/>
      <c r="L949" s="70"/>
      <c r="M949" s="70"/>
      <c r="N949" s="70"/>
      <c r="O949" s="70"/>
      <c r="P949" s="70"/>
      <c r="Q949" s="70"/>
      <c r="R949" s="70"/>
      <c r="S949" s="85"/>
      <c r="T949" s="70"/>
      <c r="U949" s="70"/>
      <c r="V949" s="70"/>
      <c r="W949" s="70"/>
      <c r="X949" s="70"/>
      <c r="Y949" s="70"/>
      <c r="Z949" s="70"/>
      <c r="AA949" s="70"/>
      <c r="AB949" s="70"/>
      <c r="AC949" s="70"/>
      <c r="AD949" s="70"/>
      <c r="AE949" s="70"/>
      <c r="AF949" s="70"/>
      <c r="AG949" s="70"/>
      <c r="AH949" s="70"/>
      <c r="AI949" s="70"/>
    </row>
    <row r="950" spans="1:35" ht="15">
      <c r="A950" s="70"/>
      <c r="B950" s="70"/>
      <c r="C950" s="70"/>
      <c r="D950" s="77"/>
      <c r="E950" s="77"/>
      <c r="F950" s="84"/>
      <c r="G950" s="77"/>
      <c r="H950" s="84"/>
      <c r="I950" s="70"/>
      <c r="J950" s="70"/>
      <c r="K950" s="70"/>
      <c r="L950" s="70"/>
      <c r="M950" s="70"/>
      <c r="N950" s="70"/>
      <c r="O950" s="70"/>
      <c r="P950" s="70"/>
      <c r="Q950" s="70"/>
      <c r="R950" s="70"/>
      <c r="S950" s="85"/>
      <c r="T950" s="70"/>
      <c r="U950" s="70"/>
      <c r="V950" s="70"/>
      <c r="W950" s="70"/>
      <c r="X950" s="70"/>
      <c r="Y950" s="70"/>
      <c r="Z950" s="70"/>
      <c r="AA950" s="70"/>
      <c r="AB950" s="70"/>
      <c r="AC950" s="70"/>
      <c r="AD950" s="70"/>
      <c r="AE950" s="70"/>
      <c r="AF950" s="70"/>
      <c r="AG950" s="70"/>
      <c r="AH950" s="70"/>
      <c r="AI950" s="70"/>
    </row>
    <row r="951" spans="1:35" ht="15">
      <c r="A951" s="70"/>
      <c r="B951" s="70"/>
      <c r="C951" s="70"/>
      <c r="D951" s="77"/>
      <c r="E951" s="77"/>
      <c r="F951" s="84"/>
      <c r="G951" s="77"/>
      <c r="H951" s="84"/>
      <c r="I951" s="70"/>
      <c r="J951" s="70"/>
      <c r="K951" s="70"/>
      <c r="L951" s="70"/>
      <c r="M951" s="70"/>
      <c r="N951" s="70"/>
      <c r="O951" s="70"/>
      <c r="P951" s="70"/>
      <c r="Q951" s="70"/>
      <c r="R951" s="70"/>
      <c r="S951" s="85"/>
      <c r="T951" s="70"/>
      <c r="U951" s="70"/>
      <c r="V951" s="70"/>
      <c r="W951" s="70"/>
      <c r="X951" s="70"/>
      <c r="Y951" s="70"/>
      <c r="Z951" s="70"/>
      <c r="AA951" s="70"/>
      <c r="AB951" s="70"/>
      <c r="AC951" s="70"/>
      <c r="AD951" s="70"/>
      <c r="AE951" s="70"/>
      <c r="AF951" s="70"/>
      <c r="AG951" s="70"/>
      <c r="AH951" s="70"/>
      <c r="AI951" s="70"/>
    </row>
    <row r="952" spans="1:35" ht="15">
      <c r="A952" s="70"/>
      <c r="B952" s="70"/>
      <c r="C952" s="70"/>
      <c r="D952" s="77"/>
      <c r="E952" s="77"/>
      <c r="F952" s="84"/>
      <c r="G952" s="77"/>
      <c r="H952" s="84"/>
      <c r="I952" s="70"/>
      <c r="J952" s="70"/>
      <c r="K952" s="70"/>
      <c r="L952" s="70"/>
      <c r="M952" s="70"/>
      <c r="N952" s="70"/>
      <c r="O952" s="70"/>
      <c r="P952" s="70"/>
      <c r="Q952" s="70"/>
      <c r="R952" s="70"/>
      <c r="S952" s="85"/>
      <c r="T952" s="70"/>
      <c r="U952" s="70"/>
      <c r="V952" s="70"/>
      <c r="W952" s="70"/>
      <c r="X952" s="70"/>
      <c r="Y952" s="70"/>
      <c r="Z952" s="70"/>
      <c r="AA952" s="70"/>
      <c r="AB952" s="70"/>
      <c r="AC952" s="70"/>
      <c r="AD952" s="70"/>
      <c r="AE952" s="70"/>
      <c r="AF952" s="70"/>
      <c r="AG952" s="70"/>
      <c r="AH952" s="70"/>
      <c r="AI952" s="70"/>
    </row>
    <row r="953" spans="1:35" ht="15">
      <c r="A953" s="70"/>
      <c r="B953" s="70"/>
      <c r="C953" s="70"/>
      <c r="D953" s="77"/>
      <c r="E953" s="77"/>
      <c r="F953" s="84"/>
      <c r="G953" s="77"/>
      <c r="H953" s="84"/>
      <c r="I953" s="70"/>
      <c r="J953" s="70"/>
      <c r="K953" s="70"/>
      <c r="L953" s="70"/>
      <c r="M953" s="70"/>
      <c r="N953" s="70"/>
      <c r="O953" s="70"/>
      <c r="P953" s="70"/>
      <c r="Q953" s="70"/>
      <c r="R953" s="70"/>
      <c r="S953" s="85"/>
      <c r="T953" s="70"/>
      <c r="U953" s="70"/>
      <c r="V953" s="70"/>
      <c r="W953" s="70"/>
      <c r="X953" s="70"/>
      <c r="Y953" s="70"/>
      <c r="Z953" s="70"/>
      <c r="AA953" s="70"/>
      <c r="AB953" s="70"/>
      <c r="AC953" s="70"/>
      <c r="AD953" s="70"/>
      <c r="AE953" s="70"/>
      <c r="AF953" s="70"/>
      <c r="AG953" s="70"/>
      <c r="AH953" s="70"/>
      <c r="AI953" s="70"/>
    </row>
    <row r="954" spans="1:35" ht="15">
      <c r="A954" s="70"/>
      <c r="B954" s="70"/>
      <c r="C954" s="70"/>
      <c r="D954" s="77"/>
      <c r="E954" s="77"/>
      <c r="F954" s="84"/>
      <c r="G954" s="77"/>
      <c r="H954" s="84"/>
      <c r="I954" s="70"/>
      <c r="J954" s="70"/>
      <c r="K954" s="70"/>
      <c r="L954" s="70"/>
      <c r="M954" s="70"/>
      <c r="N954" s="70"/>
      <c r="O954" s="70"/>
      <c r="P954" s="70"/>
      <c r="Q954" s="70"/>
      <c r="R954" s="70"/>
      <c r="S954" s="85"/>
      <c r="T954" s="70"/>
      <c r="U954" s="70"/>
      <c r="V954" s="70"/>
      <c r="W954" s="70"/>
      <c r="X954" s="70"/>
      <c r="Y954" s="70"/>
      <c r="Z954" s="70"/>
      <c r="AA954" s="70"/>
      <c r="AB954" s="70"/>
      <c r="AC954" s="70"/>
      <c r="AD954" s="70"/>
      <c r="AE954" s="70"/>
      <c r="AF954" s="70"/>
      <c r="AG954" s="70"/>
      <c r="AH954" s="70"/>
      <c r="AI954" s="70"/>
    </row>
    <row r="955" spans="1:35" ht="15">
      <c r="A955" s="70"/>
      <c r="B955" s="70"/>
      <c r="C955" s="70"/>
      <c r="D955" s="77"/>
      <c r="E955" s="77"/>
      <c r="F955" s="84"/>
      <c r="G955" s="77"/>
      <c r="H955" s="84"/>
      <c r="I955" s="70"/>
      <c r="J955" s="70"/>
      <c r="K955" s="70"/>
      <c r="L955" s="70"/>
      <c r="M955" s="70"/>
      <c r="N955" s="70"/>
      <c r="O955" s="70"/>
      <c r="P955" s="70"/>
      <c r="Q955" s="70"/>
      <c r="R955" s="70"/>
      <c r="S955" s="85"/>
      <c r="T955" s="70"/>
      <c r="U955" s="70"/>
      <c r="V955" s="70"/>
      <c r="W955" s="70"/>
      <c r="X955" s="70"/>
      <c r="Y955" s="70"/>
      <c r="Z955" s="70"/>
      <c r="AA955" s="70"/>
      <c r="AB955" s="70"/>
      <c r="AC955" s="70"/>
      <c r="AD955" s="70"/>
      <c r="AE955" s="70"/>
      <c r="AF955" s="70"/>
      <c r="AG955" s="70"/>
      <c r="AH955" s="70"/>
      <c r="AI955" s="70"/>
    </row>
    <row r="956" spans="1:35" ht="15">
      <c r="A956" s="70"/>
      <c r="B956" s="70"/>
      <c r="C956" s="70"/>
      <c r="D956" s="77"/>
      <c r="E956" s="77"/>
      <c r="F956" s="84"/>
      <c r="G956" s="77"/>
      <c r="H956" s="84"/>
      <c r="I956" s="70"/>
      <c r="J956" s="70"/>
      <c r="K956" s="70"/>
      <c r="L956" s="70"/>
      <c r="M956" s="70"/>
      <c r="N956" s="70"/>
      <c r="O956" s="70"/>
      <c r="P956" s="70"/>
      <c r="Q956" s="70"/>
      <c r="R956" s="70"/>
      <c r="S956" s="85"/>
      <c r="T956" s="70"/>
      <c r="U956" s="70"/>
      <c r="V956" s="70"/>
      <c r="W956" s="70"/>
      <c r="X956" s="70"/>
      <c r="Y956" s="70"/>
      <c r="Z956" s="70"/>
      <c r="AA956" s="70"/>
      <c r="AB956" s="70"/>
      <c r="AC956" s="70"/>
      <c r="AD956" s="70"/>
      <c r="AE956" s="70"/>
      <c r="AF956" s="70"/>
      <c r="AG956" s="70"/>
      <c r="AH956" s="70"/>
      <c r="AI956" s="70"/>
    </row>
    <row r="957" spans="1:35" ht="15">
      <c r="A957" s="70"/>
      <c r="B957" s="70"/>
      <c r="C957" s="70"/>
      <c r="D957" s="77"/>
      <c r="E957" s="77"/>
      <c r="F957" s="84"/>
      <c r="G957" s="77"/>
      <c r="H957" s="84"/>
      <c r="I957" s="70"/>
      <c r="J957" s="70"/>
      <c r="K957" s="70"/>
      <c r="L957" s="70"/>
      <c r="M957" s="70"/>
      <c r="N957" s="70"/>
      <c r="O957" s="70"/>
      <c r="P957" s="70"/>
      <c r="Q957" s="70"/>
      <c r="R957" s="70"/>
      <c r="S957" s="85"/>
      <c r="T957" s="70"/>
      <c r="U957" s="70"/>
      <c r="V957" s="70"/>
      <c r="W957" s="70"/>
      <c r="X957" s="70"/>
      <c r="Y957" s="70"/>
      <c r="Z957" s="70"/>
      <c r="AA957" s="70"/>
      <c r="AB957" s="70"/>
      <c r="AC957" s="70"/>
      <c r="AD957" s="70"/>
      <c r="AE957" s="70"/>
      <c r="AF957" s="70"/>
      <c r="AG957" s="70"/>
      <c r="AH957" s="70"/>
      <c r="AI957" s="70"/>
    </row>
    <row r="958" spans="1:35" ht="15">
      <c r="A958" s="70"/>
      <c r="B958" s="70"/>
      <c r="C958" s="70"/>
      <c r="D958" s="77"/>
      <c r="E958" s="77"/>
      <c r="F958" s="84"/>
      <c r="G958" s="77"/>
      <c r="H958" s="84"/>
      <c r="I958" s="70"/>
      <c r="J958" s="70"/>
      <c r="K958" s="70"/>
      <c r="L958" s="70"/>
      <c r="M958" s="70"/>
      <c r="N958" s="70"/>
      <c r="O958" s="70"/>
      <c r="P958" s="70"/>
      <c r="Q958" s="70"/>
      <c r="R958" s="70"/>
      <c r="S958" s="85"/>
      <c r="T958" s="70"/>
      <c r="U958" s="70"/>
      <c r="V958" s="70"/>
      <c r="W958" s="70"/>
      <c r="X958" s="70"/>
      <c r="Y958" s="70"/>
      <c r="Z958" s="70"/>
      <c r="AA958" s="70"/>
      <c r="AB958" s="70"/>
      <c r="AC958" s="70"/>
      <c r="AD958" s="70"/>
      <c r="AE958" s="70"/>
      <c r="AF958" s="70"/>
      <c r="AG958" s="70"/>
      <c r="AH958" s="70"/>
      <c r="AI958" s="70"/>
    </row>
    <row r="959" spans="1:35" ht="15">
      <c r="A959" s="70"/>
      <c r="B959" s="70"/>
      <c r="C959" s="70"/>
      <c r="D959" s="77"/>
      <c r="E959" s="77"/>
      <c r="F959" s="84"/>
      <c r="G959" s="77"/>
      <c r="H959" s="84"/>
      <c r="I959" s="70"/>
      <c r="J959" s="70"/>
      <c r="K959" s="70"/>
      <c r="L959" s="70"/>
      <c r="M959" s="70"/>
      <c r="N959" s="70"/>
      <c r="O959" s="70"/>
      <c r="P959" s="70"/>
      <c r="Q959" s="70"/>
      <c r="R959" s="70"/>
      <c r="S959" s="85"/>
      <c r="T959" s="70"/>
      <c r="U959" s="70"/>
      <c r="V959" s="70"/>
      <c r="W959" s="70"/>
      <c r="X959" s="70"/>
      <c r="Y959" s="70"/>
      <c r="Z959" s="70"/>
      <c r="AA959" s="70"/>
      <c r="AB959" s="70"/>
      <c r="AC959" s="70"/>
      <c r="AD959" s="70"/>
      <c r="AE959" s="70"/>
      <c r="AF959" s="70"/>
      <c r="AG959" s="70"/>
      <c r="AH959" s="70"/>
      <c r="AI959" s="70"/>
    </row>
    <row r="960" spans="1:35" ht="15">
      <c r="A960" s="70"/>
      <c r="B960" s="70"/>
      <c r="C960" s="70"/>
      <c r="D960" s="77"/>
      <c r="E960" s="77"/>
      <c r="F960" s="84"/>
      <c r="G960" s="77"/>
      <c r="H960" s="84"/>
      <c r="I960" s="70"/>
      <c r="J960" s="70"/>
      <c r="K960" s="70"/>
      <c r="L960" s="70"/>
      <c r="M960" s="70"/>
      <c r="N960" s="70"/>
      <c r="O960" s="70"/>
      <c r="P960" s="70"/>
      <c r="Q960" s="70"/>
      <c r="R960" s="70"/>
      <c r="S960" s="85"/>
      <c r="T960" s="70"/>
      <c r="U960" s="70"/>
      <c r="V960" s="70"/>
      <c r="W960" s="70"/>
      <c r="X960" s="70"/>
      <c r="Y960" s="70"/>
      <c r="Z960" s="70"/>
      <c r="AA960" s="70"/>
      <c r="AB960" s="70"/>
      <c r="AC960" s="70"/>
      <c r="AD960" s="70"/>
      <c r="AE960" s="70"/>
      <c r="AF960" s="70"/>
      <c r="AG960" s="70"/>
      <c r="AH960" s="70"/>
      <c r="AI960" s="70"/>
    </row>
    <row r="961" spans="1:35" ht="15">
      <c r="A961" s="70"/>
      <c r="B961" s="70"/>
      <c r="C961" s="70"/>
      <c r="D961" s="77"/>
      <c r="E961" s="77"/>
      <c r="F961" s="84"/>
      <c r="G961" s="77"/>
      <c r="H961" s="84"/>
      <c r="I961" s="70"/>
      <c r="J961" s="70"/>
      <c r="K961" s="70"/>
      <c r="L961" s="70"/>
      <c r="M961" s="70"/>
      <c r="N961" s="70"/>
      <c r="O961" s="70"/>
      <c r="P961" s="70"/>
      <c r="Q961" s="70"/>
      <c r="R961" s="70"/>
      <c r="S961" s="85"/>
      <c r="T961" s="70"/>
      <c r="U961" s="70"/>
      <c r="V961" s="70"/>
      <c r="W961" s="70"/>
      <c r="X961" s="70"/>
      <c r="Y961" s="70"/>
      <c r="Z961" s="70"/>
      <c r="AA961" s="70"/>
      <c r="AB961" s="70"/>
      <c r="AC961" s="70"/>
      <c r="AD961" s="70"/>
      <c r="AE961" s="70"/>
      <c r="AF961" s="70"/>
      <c r="AG961" s="70"/>
      <c r="AH961" s="70"/>
      <c r="AI961" s="70"/>
    </row>
    <row r="962" spans="1:35" ht="15">
      <c r="A962" s="70"/>
      <c r="B962" s="70"/>
      <c r="C962" s="70"/>
      <c r="D962" s="77"/>
      <c r="E962" s="77"/>
      <c r="F962" s="84"/>
      <c r="G962" s="77"/>
      <c r="H962" s="84"/>
      <c r="I962" s="70"/>
      <c r="J962" s="70"/>
      <c r="K962" s="70"/>
      <c r="L962" s="70"/>
      <c r="M962" s="70"/>
      <c r="N962" s="70"/>
      <c r="O962" s="70"/>
      <c r="P962" s="70"/>
      <c r="Q962" s="70"/>
      <c r="R962" s="70"/>
      <c r="S962" s="85"/>
      <c r="T962" s="70"/>
      <c r="U962" s="70"/>
      <c r="V962" s="70"/>
      <c r="W962" s="70"/>
      <c r="X962" s="70"/>
      <c r="Y962" s="70"/>
      <c r="Z962" s="70"/>
      <c r="AA962" s="70"/>
      <c r="AB962" s="70"/>
      <c r="AC962" s="70"/>
      <c r="AD962" s="70"/>
      <c r="AE962" s="70"/>
      <c r="AF962" s="70"/>
      <c r="AG962" s="70"/>
      <c r="AH962" s="70"/>
      <c r="AI962" s="70"/>
    </row>
    <row r="963" spans="1:35" ht="15">
      <c r="A963" s="70"/>
      <c r="B963" s="70"/>
      <c r="C963" s="70"/>
      <c r="D963" s="77"/>
      <c r="E963" s="77"/>
      <c r="F963" s="84"/>
      <c r="G963" s="77"/>
      <c r="H963" s="84"/>
      <c r="I963" s="70"/>
      <c r="J963" s="70"/>
      <c r="K963" s="70"/>
      <c r="L963" s="70"/>
      <c r="M963" s="70"/>
      <c r="N963" s="70"/>
      <c r="O963" s="70"/>
      <c r="P963" s="70"/>
      <c r="Q963" s="70"/>
      <c r="R963" s="70"/>
      <c r="S963" s="85"/>
      <c r="T963" s="70"/>
      <c r="U963" s="70"/>
      <c r="V963" s="70"/>
      <c r="W963" s="70"/>
      <c r="X963" s="70"/>
      <c r="Y963" s="70"/>
      <c r="Z963" s="70"/>
      <c r="AA963" s="70"/>
      <c r="AB963" s="70"/>
      <c r="AC963" s="70"/>
      <c r="AD963" s="70"/>
      <c r="AE963" s="70"/>
      <c r="AF963" s="70"/>
      <c r="AG963" s="70"/>
      <c r="AH963" s="70"/>
      <c r="AI963" s="70"/>
    </row>
    <row r="964" spans="1:35" ht="15">
      <c r="A964" s="70"/>
      <c r="B964" s="70"/>
      <c r="C964" s="70"/>
      <c r="D964" s="77"/>
      <c r="E964" s="77"/>
      <c r="F964" s="84"/>
      <c r="G964" s="77"/>
      <c r="H964" s="84"/>
      <c r="I964" s="70"/>
      <c r="J964" s="70"/>
      <c r="K964" s="70"/>
      <c r="L964" s="70"/>
      <c r="M964" s="70"/>
      <c r="N964" s="70"/>
      <c r="O964" s="70"/>
      <c r="P964" s="70"/>
      <c r="Q964" s="70"/>
      <c r="R964" s="70"/>
      <c r="S964" s="85"/>
      <c r="T964" s="70"/>
      <c r="U964" s="70"/>
      <c r="V964" s="70"/>
      <c r="W964" s="70"/>
      <c r="X964" s="70"/>
      <c r="Y964" s="70"/>
      <c r="Z964" s="70"/>
      <c r="AA964" s="70"/>
      <c r="AB964" s="70"/>
      <c r="AC964" s="70"/>
      <c r="AD964" s="70"/>
      <c r="AE964" s="70"/>
      <c r="AF964" s="70"/>
      <c r="AG964" s="70"/>
      <c r="AH964" s="70"/>
      <c r="AI964" s="70"/>
    </row>
    <row r="965" spans="1:35" ht="15">
      <c r="A965" s="70"/>
      <c r="B965" s="70"/>
      <c r="C965" s="70"/>
      <c r="D965" s="77"/>
      <c r="E965" s="77"/>
      <c r="F965" s="84"/>
      <c r="G965" s="77"/>
      <c r="H965" s="84"/>
      <c r="I965" s="70"/>
      <c r="J965" s="70"/>
      <c r="K965" s="70"/>
      <c r="L965" s="70"/>
      <c r="M965" s="70"/>
      <c r="N965" s="70"/>
      <c r="O965" s="70"/>
      <c r="P965" s="70"/>
      <c r="Q965" s="70"/>
      <c r="R965" s="70"/>
      <c r="S965" s="85"/>
      <c r="T965" s="70"/>
      <c r="U965" s="70"/>
      <c r="V965" s="70"/>
      <c r="W965" s="70"/>
      <c r="X965" s="70"/>
      <c r="Y965" s="70"/>
      <c r="Z965" s="70"/>
      <c r="AA965" s="70"/>
      <c r="AB965" s="70"/>
      <c r="AC965" s="70"/>
      <c r="AD965" s="70"/>
      <c r="AE965" s="70"/>
      <c r="AF965" s="70"/>
      <c r="AG965" s="70"/>
      <c r="AH965" s="70"/>
      <c r="AI965" s="70"/>
    </row>
    <row r="966" spans="1:35" ht="15">
      <c r="A966" s="70"/>
      <c r="B966" s="70"/>
      <c r="C966" s="70"/>
      <c r="D966" s="77"/>
      <c r="E966" s="77"/>
      <c r="F966" s="84"/>
      <c r="G966" s="77"/>
      <c r="H966" s="84"/>
      <c r="I966" s="70"/>
      <c r="J966" s="70"/>
      <c r="K966" s="70"/>
      <c r="L966" s="70"/>
      <c r="M966" s="70"/>
      <c r="N966" s="70"/>
      <c r="O966" s="70"/>
      <c r="P966" s="70"/>
      <c r="Q966" s="70"/>
      <c r="R966" s="70"/>
      <c r="S966" s="85"/>
      <c r="T966" s="70"/>
      <c r="U966" s="70"/>
      <c r="V966" s="70"/>
      <c r="W966" s="70"/>
      <c r="X966" s="70"/>
      <c r="Y966" s="70"/>
      <c r="Z966" s="70"/>
      <c r="AA966" s="70"/>
      <c r="AB966" s="70"/>
      <c r="AC966" s="70"/>
      <c r="AD966" s="70"/>
      <c r="AE966" s="70"/>
      <c r="AF966" s="70"/>
      <c r="AG966" s="70"/>
      <c r="AH966" s="70"/>
      <c r="AI966" s="70"/>
    </row>
    <row r="967" spans="1:35" ht="15">
      <c r="A967" s="70"/>
      <c r="B967" s="70"/>
      <c r="C967" s="70"/>
      <c r="D967" s="77"/>
      <c r="E967" s="77"/>
      <c r="F967" s="84"/>
      <c r="G967" s="77"/>
      <c r="H967" s="84"/>
      <c r="I967" s="70"/>
      <c r="J967" s="70"/>
      <c r="K967" s="70"/>
      <c r="L967" s="70"/>
      <c r="M967" s="70"/>
      <c r="N967" s="70"/>
      <c r="O967" s="70"/>
      <c r="P967" s="70"/>
      <c r="Q967" s="70"/>
      <c r="R967" s="70"/>
      <c r="S967" s="85"/>
      <c r="T967" s="70"/>
      <c r="U967" s="70"/>
      <c r="V967" s="70"/>
      <c r="W967" s="70"/>
      <c r="X967" s="70"/>
      <c r="Y967" s="70"/>
      <c r="Z967" s="70"/>
      <c r="AA967" s="70"/>
      <c r="AB967" s="70"/>
      <c r="AC967" s="70"/>
      <c r="AD967" s="70"/>
      <c r="AE967" s="70"/>
      <c r="AF967" s="70"/>
      <c r="AG967" s="70"/>
      <c r="AH967" s="70"/>
      <c r="AI967" s="70"/>
    </row>
    <row r="968" spans="1:35" ht="15">
      <c r="A968" s="70"/>
      <c r="B968" s="70"/>
      <c r="C968" s="70"/>
      <c r="D968" s="77"/>
      <c r="E968" s="77"/>
      <c r="F968" s="84"/>
      <c r="G968" s="77"/>
      <c r="H968" s="84"/>
      <c r="I968" s="70"/>
      <c r="J968" s="70"/>
      <c r="K968" s="70"/>
      <c r="L968" s="70"/>
      <c r="M968" s="70"/>
      <c r="N968" s="70"/>
      <c r="O968" s="70"/>
      <c r="P968" s="70"/>
      <c r="Q968" s="70"/>
      <c r="R968" s="70"/>
      <c r="S968" s="85"/>
      <c r="T968" s="70"/>
      <c r="U968" s="70"/>
      <c r="V968" s="70"/>
      <c r="W968" s="70"/>
      <c r="X968" s="70"/>
      <c r="Y968" s="70"/>
      <c r="Z968" s="70"/>
      <c r="AA968" s="70"/>
      <c r="AB968" s="70"/>
      <c r="AC968" s="70"/>
      <c r="AD968" s="70"/>
      <c r="AE968" s="70"/>
      <c r="AF968" s="70"/>
      <c r="AG968" s="70"/>
      <c r="AH968" s="70"/>
      <c r="AI968" s="70"/>
    </row>
    <row r="969" spans="1:35" ht="15">
      <c r="A969" s="70"/>
      <c r="B969" s="70"/>
      <c r="C969" s="70"/>
      <c r="D969" s="77"/>
      <c r="E969" s="77"/>
      <c r="F969" s="84"/>
      <c r="G969" s="77"/>
      <c r="H969" s="84"/>
      <c r="I969" s="70"/>
      <c r="J969" s="70"/>
      <c r="K969" s="70"/>
      <c r="L969" s="70"/>
      <c r="M969" s="70"/>
      <c r="N969" s="70"/>
      <c r="O969" s="70"/>
      <c r="P969" s="70"/>
      <c r="Q969" s="70"/>
      <c r="R969" s="70"/>
      <c r="S969" s="85"/>
      <c r="T969" s="70"/>
      <c r="U969" s="70"/>
      <c r="V969" s="70"/>
      <c r="W969" s="70"/>
      <c r="X969" s="70"/>
      <c r="Y969" s="70"/>
      <c r="Z969" s="70"/>
      <c r="AA969" s="70"/>
      <c r="AB969" s="70"/>
      <c r="AC969" s="70"/>
      <c r="AD969" s="70"/>
      <c r="AE969" s="70"/>
      <c r="AF969" s="70"/>
      <c r="AG969" s="70"/>
      <c r="AH969" s="70"/>
      <c r="AI969" s="70"/>
    </row>
    <row r="970" spans="1:35" ht="15">
      <c r="A970" s="70"/>
      <c r="B970" s="70"/>
      <c r="C970" s="70"/>
      <c r="D970" s="77"/>
      <c r="E970" s="77"/>
      <c r="F970" s="84"/>
      <c r="G970" s="77"/>
      <c r="H970" s="84"/>
      <c r="I970" s="70"/>
      <c r="J970" s="70"/>
      <c r="K970" s="70"/>
      <c r="L970" s="70"/>
      <c r="M970" s="70"/>
      <c r="N970" s="70"/>
      <c r="O970" s="70"/>
      <c r="P970" s="70"/>
      <c r="Q970" s="70"/>
      <c r="R970" s="70"/>
      <c r="S970" s="85"/>
      <c r="T970" s="70"/>
      <c r="U970" s="70"/>
      <c r="V970" s="70"/>
      <c r="W970" s="70"/>
      <c r="X970" s="70"/>
      <c r="Y970" s="70"/>
      <c r="Z970" s="70"/>
      <c r="AA970" s="70"/>
      <c r="AB970" s="70"/>
      <c r="AC970" s="70"/>
      <c r="AD970" s="70"/>
      <c r="AE970" s="70"/>
      <c r="AF970" s="70"/>
      <c r="AG970" s="70"/>
      <c r="AH970" s="70"/>
      <c r="AI970" s="70"/>
    </row>
    <row r="971" spans="1:35" ht="15">
      <c r="A971" s="70"/>
      <c r="B971" s="70"/>
      <c r="C971" s="70"/>
      <c r="D971" s="77"/>
      <c r="E971" s="77"/>
      <c r="F971" s="84"/>
      <c r="G971" s="77"/>
      <c r="H971" s="84"/>
      <c r="I971" s="70"/>
      <c r="J971" s="70"/>
      <c r="K971" s="70"/>
      <c r="L971" s="70"/>
      <c r="M971" s="70"/>
      <c r="N971" s="70"/>
      <c r="O971" s="70"/>
      <c r="P971" s="70"/>
      <c r="Q971" s="70"/>
      <c r="R971" s="70"/>
      <c r="S971" s="85"/>
      <c r="T971" s="70"/>
      <c r="U971" s="70"/>
      <c r="V971" s="70"/>
      <c r="W971" s="70"/>
      <c r="X971" s="70"/>
      <c r="Y971" s="70"/>
      <c r="Z971" s="70"/>
      <c r="AA971" s="70"/>
      <c r="AB971" s="70"/>
      <c r="AC971" s="70"/>
      <c r="AD971" s="70"/>
      <c r="AE971" s="70"/>
      <c r="AF971" s="70"/>
      <c r="AG971" s="70"/>
      <c r="AH971" s="70"/>
      <c r="AI971" s="70"/>
    </row>
    <row r="972" spans="1:35" ht="15">
      <c r="A972" s="70"/>
      <c r="B972" s="70"/>
      <c r="C972" s="70"/>
      <c r="D972" s="77"/>
      <c r="E972" s="77"/>
      <c r="F972" s="84"/>
      <c r="G972" s="77"/>
      <c r="H972" s="84"/>
      <c r="I972" s="70"/>
      <c r="J972" s="70"/>
      <c r="K972" s="70"/>
      <c r="L972" s="70"/>
      <c r="M972" s="70"/>
      <c r="N972" s="70"/>
      <c r="O972" s="70"/>
      <c r="P972" s="70"/>
      <c r="Q972" s="70"/>
      <c r="R972" s="70"/>
      <c r="S972" s="85"/>
      <c r="T972" s="70"/>
      <c r="U972" s="70"/>
      <c r="V972" s="70"/>
      <c r="W972" s="70"/>
      <c r="X972" s="70"/>
      <c r="Y972" s="70"/>
      <c r="Z972" s="70"/>
      <c r="AA972" s="70"/>
      <c r="AB972" s="70"/>
      <c r="AC972" s="70"/>
      <c r="AD972" s="70"/>
      <c r="AE972" s="70"/>
      <c r="AF972" s="70"/>
      <c r="AG972" s="70"/>
      <c r="AH972" s="70"/>
      <c r="AI972" s="70"/>
    </row>
    <row r="973" spans="1:35" ht="15">
      <c r="A973" s="70"/>
      <c r="B973" s="70"/>
      <c r="C973" s="70"/>
      <c r="D973" s="77"/>
      <c r="E973" s="77"/>
      <c r="F973" s="84"/>
      <c r="G973" s="77"/>
      <c r="H973" s="84"/>
      <c r="I973" s="70"/>
      <c r="J973" s="70"/>
      <c r="K973" s="70"/>
      <c r="L973" s="70"/>
      <c r="M973" s="70"/>
      <c r="N973" s="70"/>
      <c r="O973" s="70"/>
      <c r="P973" s="70"/>
      <c r="Q973" s="70"/>
      <c r="R973" s="70"/>
      <c r="S973" s="85"/>
      <c r="T973" s="70"/>
      <c r="U973" s="70"/>
      <c r="V973" s="70"/>
      <c r="W973" s="70"/>
      <c r="X973" s="70"/>
      <c r="Y973" s="70"/>
      <c r="Z973" s="70"/>
      <c r="AA973" s="70"/>
      <c r="AB973" s="70"/>
      <c r="AC973" s="70"/>
      <c r="AD973" s="70"/>
      <c r="AE973" s="70"/>
      <c r="AF973" s="70"/>
      <c r="AG973" s="70"/>
      <c r="AH973" s="70"/>
      <c r="AI973" s="70"/>
    </row>
    <row r="974" spans="1:35" ht="15">
      <c r="A974" s="70"/>
      <c r="B974" s="70"/>
      <c r="C974" s="70"/>
      <c r="D974" s="77"/>
      <c r="E974" s="77"/>
      <c r="F974" s="84"/>
      <c r="G974" s="77"/>
      <c r="H974" s="84"/>
      <c r="I974" s="70"/>
      <c r="J974" s="70"/>
      <c r="K974" s="70"/>
      <c r="L974" s="70"/>
      <c r="M974" s="70"/>
      <c r="N974" s="70"/>
      <c r="O974" s="70"/>
      <c r="P974" s="70"/>
      <c r="Q974" s="70"/>
      <c r="R974" s="70"/>
      <c r="S974" s="85"/>
      <c r="T974" s="70"/>
      <c r="U974" s="70"/>
      <c r="V974" s="70"/>
      <c r="W974" s="70"/>
      <c r="X974" s="70"/>
      <c r="Y974" s="70"/>
      <c r="Z974" s="70"/>
      <c r="AA974" s="70"/>
      <c r="AB974" s="70"/>
      <c r="AC974" s="70"/>
      <c r="AD974" s="70"/>
      <c r="AE974" s="70"/>
      <c r="AF974" s="70"/>
      <c r="AG974" s="70"/>
      <c r="AH974" s="70"/>
      <c r="AI974" s="70"/>
    </row>
    <row r="975" spans="1:35" ht="15">
      <c r="A975" s="70"/>
      <c r="B975" s="70"/>
      <c r="C975" s="70"/>
      <c r="D975" s="77"/>
      <c r="E975" s="77"/>
      <c r="F975" s="84"/>
      <c r="G975" s="77"/>
      <c r="H975" s="84"/>
      <c r="I975" s="70"/>
      <c r="J975" s="70"/>
      <c r="K975" s="70"/>
      <c r="L975" s="70"/>
      <c r="M975" s="70"/>
      <c r="N975" s="70"/>
      <c r="O975" s="70"/>
      <c r="P975" s="70"/>
      <c r="Q975" s="70"/>
      <c r="R975" s="70"/>
      <c r="S975" s="85"/>
      <c r="T975" s="70"/>
      <c r="U975" s="70"/>
      <c r="V975" s="70"/>
      <c r="W975" s="70"/>
      <c r="X975" s="70"/>
      <c r="Y975" s="70"/>
      <c r="Z975" s="70"/>
      <c r="AA975" s="70"/>
      <c r="AB975" s="70"/>
      <c r="AC975" s="70"/>
      <c r="AD975" s="70"/>
      <c r="AE975" s="70"/>
      <c r="AF975" s="70"/>
      <c r="AG975" s="70"/>
      <c r="AH975" s="70"/>
      <c r="AI975" s="70"/>
    </row>
    <row r="976" spans="1:35" ht="15">
      <c r="A976" s="70"/>
      <c r="B976" s="70"/>
      <c r="C976" s="70"/>
      <c r="D976" s="77"/>
      <c r="E976" s="77"/>
      <c r="F976" s="84"/>
      <c r="G976" s="77"/>
      <c r="H976" s="84"/>
      <c r="I976" s="70"/>
      <c r="J976" s="70"/>
      <c r="K976" s="70"/>
      <c r="L976" s="70"/>
      <c r="M976" s="70"/>
      <c r="N976" s="70"/>
      <c r="O976" s="70"/>
      <c r="P976" s="70"/>
      <c r="Q976" s="70"/>
      <c r="R976" s="70"/>
      <c r="S976" s="85"/>
      <c r="T976" s="70"/>
      <c r="U976" s="70"/>
      <c r="V976" s="70"/>
      <c r="W976" s="70"/>
      <c r="X976" s="70"/>
      <c r="Y976" s="70"/>
      <c r="Z976" s="70"/>
      <c r="AA976" s="70"/>
      <c r="AB976" s="70"/>
      <c r="AC976" s="70"/>
      <c r="AD976" s="70"/>
      <c r="AE976" s="70"/>
      <c r="AF976" s="70"/>
      <c r="AG976" s="70"/>
      <c r="AH976" s="70"/>
      <c r="AI976" s="70"/>
    </row>
    <row r="977" spans="1:35" ht="15">
      <c r="A977" s="70"/>
      <c r="B977" s="70"/>
      <c r="C977" s="70"/>
      <c r="D977" s="77"/>
      <c r="E977" s="77"/>
      <c r="F977" s="84"/>
      <c r="G977" s="77"/>
      <c r="H977" s="84"/>
      <c r="I977" s="70"/>
      <c r="J977" s="70"/>
      <c r="K977" s="70"/>
      <c r="L977" s="70"/>
      <c r="M977" s="70"/>
      <c r="N977" s="70"/>
      <c r="O977" s="70"/>
      <c r="P977" s="70"/>
      <c r="Q977" s="70"/>
      <c r="R977" s="70"/>
      <c r="S977" s="85"/>
      <c r="T977" s="70"/>
      <c r="U977" s="70"/>
      <c r="V977" s="70"/>
      <c r="W977" s="70"/>
      <c r="X977" s="70"/>
      <c r="Y977" s="70"/>
      <c r="Z977" s="70"/>
      <c r="AA977" s="70"/>
      <c r="AB977" s="70"/>
      <c r="AC977" s="70"/>
      <c r="AD977" s="70"/>
      <c r="AE977" s="70"/>
      <c r="AF977" s="70"/>
      <c r="AG977" s="70"/>
      <c r="AH977" s="70"/>
      <c r="AI977" s="70"/>
    </row>
    <row r="978" spans="1:35" ht="15">
      <c r="A978" s="70"/>
      <c r="B978" s="70"/>
      <c r="C978" s="70"/>
      <c r="D978" s="77"/>
      <c r="E978" s="77"/>
      <c r="F978" s="84"/>
      <c r="G978" s="77"/>
      <c r="H978" s="84"/>
      <c r="I978" s="70"/>
      <c r="J978" s="70"/>
      <c r="K978" s="70"/>
      <c r="L978" s="70"/>
      <c r="M978" s="70"/>
      <c r="N978" s="70"/>
      <c r="O978" s="70"/>
      <c r="P978" s="70"/>
      <c r="Q978" s="70"/>
      <c r="R978" s="70"/>
      <c r="S978" s="85"/>
      <c r="T978" s="70"/>
      <c r="U978" s="70"/>
      <c r="V978" s="70"/>
      <c r="W978" s="70"/>
      <c r="X978" s="70"/>
      <c r="Y978" s="70"/>
      <c r="Z978" s="70"/>
      <c r="AA978" s="70"/>
      <c r="AB978" s="70"/>
      <c r="AC978" s="70"/>
      <c r="AD978" s="70"/>
      <c r="AE978" s="70"/>
      <c r="AF978" s="70"/>
      <c r="AG978" s="70"/>
      <c r="AH978" s="70"/>
      <c r="AI978" s="70"/>
    </row>
    <row r="979" spans="1:35" ht="15">
      <c r="A979" s="70"/>
      <c r="B979" s="70"/>
      <c r="C979" s="70"/>
      <c r="D979" s="77"/>
      <c r="E979" s="77"/>
      <c r="F979" s="84"/>
      <c r="G979" s="77"/>
      <c r="H979" s="84"/>
      <c r="I979" s="70"/>
      <c r="J979" s="70"/>
      <c r="K979" s="70"/>
      <c r="L979" s="70"/>
      <c r="M979" s="70"/>
      <c r="N979" s="70"/>
      <c r="O979" s="70"/>
      <c r="P979" s="70"/>
      <c r="Q979" s="70"/>
      <c r="R979" s="70"/>
      <c r="S979" s="85"/>
      <c r="T979" s="70"/>
      <c r="U979" s="70"/>
      <c r="V979" s="70"/>
      <c r="W979" s="70"/>
      <c r="X979" s="70"/>
      <c r="Y979" s="70"/>
      <c r="Z979" s="70"/>
      <c r="AA979" s="70"/>
      <c r="AB979" s="70"/>
      <c r="AC979" s="70"/>
      <c r="AD979" s="70"/>
      <c r="AE979" s="70"/>
      <c r="AF979" s="70"/>
      <c r="AG979" s="70"/>
      <c r="AH979" s="70"/>
      <c r="AI979" s="70"/>
    </row>
    <row r="980" spans="1:35" ht="15">
      <c r="A980" s="70"/>
      <c r="B980" s="70"/>
      <c r="C980" s="70"/>
      <c r="D980" s="77"/>
      <c r="E980" s="77"/>
      <c r="F980" s="84"/>
      <c r="G980" s="77"/>
      <c r="H980" s="84"/>
      <c r="I980" s="70"/>
      <c r="J980" s="70"/>
      <c r="K980" s="70"/>
      <c r="L980" s="70"/>
      <c r="M980" s="70"/>
      <c r="N980" s="70"/>
      <c r="O980" s="70"/>
      <c r="P980" s="70"/>
      <c r="Q980" s="70"/>
      <c r="R980" s="70"/>
      <c r="S980" s="85"/>
      <c r="T980" s="70"/>
      <c r="U980" s="70"/>
      <c r="V980" s="70"/>
      <c r="W980" s="70"/>
      <c r="X980" s="70"/>
      <c r="Y980" s="70"/>
      <c r="Z980" s="70"/>
      <c r="AA980" s="70"/>
      <c r="AB980" s="70"/>
      <c r="AC980" s="70"/>
      <c r="AD980" s="70"/>
      <c r="AE980" s="70"/>
      <c r="AF980" s="70"/>
      <c r="AG980" s="70"/>
      <c r="AH980" s="70"/>
      <c r="AI980" s="70"/>
    </row>
    <row r="981" spans="1:35" ht="15">
      <c r="A981" s="70"/>
      <c r="B981" s="70"/>
      <c r="C981" s="70"/>
      <c r="D981" s="77"/>
      <c r="E981" s="77"/>
      <c r="F981" s="84"/>
      <c r="G981" s="77"/>
      <c r="H981" s="84"/>
      <c r="I981" s="70"/>
      <c r="J981" s="70"/>
      <c r="K981" s="70"/>
      <c r="L981" s="70"/>
      <c r="M981" s="70"/>
      <c r="N981" s="70"/>
      <c r="O981" s="70"/>
      <c r="P981" s="70"/>
      <c r="Q981" s="70"/>
      <c r="R981" s="70"/>
      <c r="S981" s="85"/>
      <c r="T981" s="70"/>
      <c r="U981" s="70"/>
      <c r="V981" s="70"/>
      <c r="W981" s="70"/>
      <c r="X981" s="70"/>
      <c r="Y981" s="70"/>
      <c r="Z981" s="70"/>
      <c r="AA981" s="70"/>
      <c r="AB981" s="70"/>
      <c r="AC981" s="70"/>
      <c r="AD981" s="70"/>
      <c r="AE981" s="70"/>
      <c r="AF981" s="70"/>
      <c r="AG981" s="70"/>
      <c r="AH981" s="70"/>
      <c r="AI981" s="70"/>
    </row>
    <row r="982" spans="1:35" ht="15">
      <c r="A982" s="70"/>
      <c r="B982" s="70"/>
      <c r="C982" s="70"/>
      <c r="D982" s="77"/>
      <c r="E982" s="77"/>
      <c r="F982" s="84"/>
      <c r="G982" s="77"/>
      <c r="H982" s="84"/>
      <c r="I982" s="70"/>
      <c r="J982" s="70"/>
      <c r="K982" s="70"/>
      <c r="L982" s="70"/>
      <c r="M982" s="70"/>
      <c r="N982" s="70"/>
      <c r="O982" s="70"/>
      <c r="P982" s="70"/>
      <c r="Q982" s="70"/>
      <c r="R982" s="70"/>
      <c r="S982" s="85"/>
      <c r="T982" s="70"/>
      <c r="U982" s="70"/>
      <c r="V982" s="70"/>
      <c r="W982" s="70"/>
      <c r="X982" s="70"/>
      <c r="Y982" s="70"/>
      <c r="Z982" s="70"/>
      <c r="AA982" s="70"/>
      <c r="AB982" s="70"/>
      <c r="AC982" s="70"/>
      <c r="AD982" s="70"/>
      <c r="AE982" s="70"/>
      <c r="AF982" s="70"/>
      <c r="AG982" s="70"/>
      <c r="AH982" s="70"/>
      <c r="AI982" s="70"/>
    </row>
    <row r="983" spans="1:35" ht="15">
      <c r="A983" s="70"/>
      <c r="B983" s="70"/>
      <c r="C983" s="70"/>
      <c r="D983" s="77"/>
      <c r="E983" s="77"/>
      <c r="F983" s="84"/>
      <c r="G983" s="77"/>
      <c r="H983" s="84"/>
      <c r="I983" s="70"/>
      <c r="J983" s="70"/>
      <c r="K983" s="70"/>
      <c r="L983" s="70"/>
      <c r="M983" s="70"/>
      <c r="N983" s="70"/>
      <c r="O983" s="70"/>
      <c r="P983" s="70"/>
      <c r="Q983" s="70"/>
      <c r="R983" s="70"/>
      <c r="S983" s="85"/>
      <c r="T983" s="70"/>
      <c r="U983" s="70"/>
      <c r="V983" s="70"/>
      <c r="W983" s="70"/>
      <c r="X983" s="70"/>
      <c r="Y983" s="70"/>
      <c r="Z983" s="70"/>
      <c r="AA983" s="70"/>
      <c r="AB983" s="70"/>
      <c r="AC983" s="70"/>
      <c r="AD983" s="70"/>
      <c r="AE983" s="70"/>
      <c r="AF983" s="70"/>
      <c r="AG983" s="70"/>
      <c r="AH983" s="70"/>
      <c r="AI983" s="70"/>
    </row>
    <row r="984" spans="1:35" ht="15">
      <c r="A984" s="70"/>
      <c r="B984" s="70"/>
      <c r="C984" s="70"/>
      <c r="D984" s="77"/>
      <c r="E984" s="77"/>
      <c r="F984" s="84"/>
      <c r="G984" s="77"/>
      <c r="H984" s="84"/>
      <c r="I984" s="70"/>
      <c r="J984" s="70"/>
      <c r="K984" s="70"/>
      <c r="L984" s="70"/>
      <c r="M984" s="70"/>
      <c r="N984" s="70"/>
      <c r="O984" s="70"/>
      <c r="P984" s="70"/>
      <c r="Q984" s="70"/>
      <c r="R984" s="70"/>
      <c r="S984" s="85"/>
      <c r="T984" s="70"/>
      <c r="U984" s="70"/>
      <c r="V984" s="70"/>
      <c r="W984" s="70"/>
      <c r="X984" s="70"/>
      <c r="Y984" s="70"/>
      <c r="Z984" s="70"/>
      <c r="AA984" s="70"/>
      <c r="AB984" s="70"/>
      <c r="AC984" s="70"/>
      <c r="AD984" s="70"/>
      <c r="AE984" s="70"/>
      <c r="AF984" s="70"/>
      <c r="AG984" s="70"/>
      <c r="AH984" s="70"/>
      <c r="AI984" s="70"/>
    </row>
    <row r="985" spans="1:35" ht="15">
      <c r="A985" s="70"/>
      <c r="B985" s="70"/>
      <c r="C985" s="70"/>
      <c r="D985" s="77"/>
      <c r="E985" s="77"/>
      <c r="F985" s="84"/>
      <c r="G985" s="77"/>
      <c r="H985" s="84"/>
      <c r="I985" s="70"/>
      <c r="J985" s="70"/>
      <c r="K985" s="70"/>
      <c r="L985" s="70"/>
      <c r="M985" s="70"/>
      <c r="N985" s="70"/>
      <c r="O985" s="70"/>
      <c r="P985" s="70"/>
      <c r="Q985" s="70"/>
      <c r="R985" s="70"/>
      <c r="S985" s="85"/>
      <c r="T985" s="70"/>
      <c r="U985" s="70"/>
      <c r="V985" s="70"/>
      <c r="W985" s="70"/>
      <c r="X985" s="70"/>
      <c r="Y985" s="70"/>
      <c r="Z985" s="70"/>
      <c r="AA985" s="70"/>
      <c r="AB985" s="70"/>
      <c r="AC985" s="70"/>
      <c r="AD985" s="70"/>
      <c r="AE985" s="70"/>
      <c r="AF985" s="70"/>
      <c r="AG985" s="70"/>
      <c r="AH985" s="70"/>
      <c r="AI985" s="70"/>
    </row>
    <row r="986" spans="1:35" ht="15">
      <c r="A986" s="70"/>
      <c r="B986" s="70"/>
      <c r="C986" s="70"/>
      <c r="D986" s="77"/>
      <c r="E986" s="77"/>
      <c r="F986" s="84"/>
      <c r="G986" s="77"/>
      <c r="H986" s="84"/>
      <c r="I986" s="70"/>
      <c r="J986" s="70"/>
      <c r="K986" s="70"/>
      <c r="L986" s="70"/>
      <c r="M986" s="70"/>
      <c r="N986" s="70"/>
      <c r="O986" s="70"/>
      <c r="P986" s="70"/>
      <c r="Q986" s="70"/>
      <c r="R986" s="70"/>
      <c r="S986" s="85"/>
      <c r="T986" s="70"/>
      <c r="U986" s="70"/>
      <c r="V986" s="70"/>
      <c r="W986" s="70"/>
      <c r="X986" s="70"/>
      <c r="Y986" s="70"/>
      <c r="Z986" s="70"/>
      <c r="AA986" s="70"/>
      <c r="AB986" s="70"/>
      <c r="AC986" s="70"/>
      <c r="AD986" s="70"/>
      <c r="AE986" s="70"/>
      <c r="AF986" s="70"/>
      <c r="AG986" s="70"/>
      <c r="AH986" s="70"/>
      <c r="AI986" s="70"/>
    </row>
    <row r="987" spans="1:35" ht="15">
      <c r="A987" s="70"/>
      <c r="B987" s="70"/>
      <c r="C987" s="70"/>
      <c r="D987" s="77"/>
      <c r="E987" s="77"/>
      <c r="F987" s="84"/>
      <c r="G987" s="77"/>
      <c r="H987" s="84"/>
      <c r="I987" s="70"/>
      <c r="J987" s="70"/>
      <c r="K987" s="70"/>
      <c r="L987" s="70"/>
      <c r="M987" s="70"/>
      <c r="N987" s="70"/>
      <c r="O987" s="70"/>
      <c r="P987" s="70"/>
      <c r="Q987" s="70"/>
      <c r="R987" s="70"/>
      <c r="S987" s="85"/>
      <c r="T987" s="70"/>
      <c r="U987" s="70"/>
      <c r="V987" s="70"/>
      <c r="W987" s="70"/>
      <c r="X987" s="70"/>
      <c r="Y987" s="70"/>
      <c r="Z987" s="70"/>
      <c r="AA987" s="70"/>
      <c r="AB987" s="70"/>
      <c r="AC987" s="70"/>
      <c r="AD987" s="70"/>
      <c r="AE987" s="70"/>
      <c r="AF987" s="70"/>
      <c r="AG987" s="70"/>
      <c r="AH987" s="70"/>
      <c r="AI987" s="70"/>
    </row>
    <row r="988" spans="1:35" ht="15">
      <c r="A988" s="70"/>
      <c r="B988" s="70"/>
      <c r="C988" s="70"/>
      <c r="D988" s="77"/>
      <c r="E988" s="77"/>
      <c r="F988" s="84"/>
      <c r="G988" s="77"/>
      <c r="H988" s="84"/>
      <c r="I988" s="70"/>
      <c r="J988" s="70"/>
      <c r="K988" s="70"/>
      <c r="L988" s="70"/>
      <c r="M988" s="70"/>
      <c r="N988" s="70"/>
      <c r="O988" s="70"/>
      <c r="P988" s="70"/>
      <c r="Q988" s="70"/>
      <c r="R988" s="70"/>
      <c r="S988" s="85"/>
      <c r="T988" s="70"/>
      <c r="U988" s="70"/>
      <c r="V988" s="70"/>
      <c r="W988" s="70"/>
      <c r="X988" s="70"/>
      <c r="Y988" s="70"/>
      <c r="Z988" s="70"/>
      <c r="AA988" s="70"/>
      <c r="AB988" s="70"/>
      <c r="AC988" s="70"/>
      <c r="AD988" s="70"/>
      <c r="AE988" s="70"/>
      <c r="AF988" s="70"/>
      <c r="AG988" s="70"/>
      <c r="AH988" s="70"/>
      <c r="AI988" s="70"/>
    </row>
    <row r="989" spans="1:35" ht="15">
      <c r="A989" s="70"/>
      <c r="B989" s="70"/>
      <c r="C989" s="70"/>
      <c r="D989" s="77"/>
      <c r="E989" s="77"/>
      <c r="F989" s="84"/>
      <c r="G989" s="77"/>
      <c r="H989" s="84"/>
      <c r="I989" s="70"/>
      <c r="J989" s="70"/>
      <c r="K989" s="70"/>
      <c r="L989" s="70"/>
      <c r="M989" s="70"/>
      <c r="N989" s="70"/>
      <c r="O989" s="70"/>
      <c r="P989" s="70"/>
      <c r="Q989" s="70"/>
      <c r="R989" s="70"/>
      <c r="S989" s="85"/>
      <c r="T989" s="70"/>
      <c r="U989" s="70"/>
      <c r="V989" s="70"/>
      <c r="W989" s="70"/>
      <c r="X989" s="70"/>
      <c r="Y989" s="70"/>
      <c r="Z989" s="70"/>
      <c r="AA989" s="70"/>
      <c r="AB989" s="70"/>
      <c r="AC989" s="70"/>
      <c r="AD989" s="70"/>
      <c r="AE989" s="70"/>
      <c r="AF989" s="70"/>
      <c r="AG989" s="70"/>
      <c r="AH989" s="70"/>
      <c r="AI989" s="70"/>
    </row>
    <row r="990" spans="1:35" ht="15">
      <c r="A990" s="70"/>
      <c r="B990" s="70"/>
      <c r="C990" s="70"/>
      <c r="D990" s="77"/>
      <c r="E990" s="77"/>
      <c r="F990" s="84"/>
      <c r="G990" s="77"/>
      <c r="H990" s="84"/>
      <c r="I990" s="70"/>
      <c r="J990" s="70"/>
      <c r="K990" s="70"/>
      <c r="L990" s="70"/>
      <c r="M990" s="70"/>
      <c r="N990" s="70"/>
      <c r="O990" s="70"/>
      <c r="P990" s="70"/>
      <c r="Q990" s="70"/>
      <c r="R990" s="70"/>
      <c r="S990" s="85"/>
      <c r="T990" s="70"/>
      <c r="U990" s="70"/>
      <c r="V990" s="70"/>
      <c r="W990" s="70"/>
      <c r="X990" s="70"/>
      <c r="Y990" s="70"/>
      <c r="Z990" s="70"/>
      <c r="AA990" s="70"/>
      <c r="AB990" s="70"/>
      <c r="AC990" s="70"/>
      <c r="AD990" s="70"/>
      <c r="AE990" s="70"/>
      <c r="AF990" s="70"/>
      <c r="AG990" s="70"/>
      <c r="AH990" s="70"/>
      <c r="AI990" s="70"/>
    </row>
    <row r="991" spans="1:35" ht="15">
      <c r="A991" s="70"/>
      <c r="B991" s="70"/>
      <c r="C991" s="70"/>
      <c r="D991" s="77"/>
      <c r="E991" s="77"/>
      <c r="F991" s="84"/>
      <c r="G991" s="77"/>
      <c r="H991" s="84"/>
      <c r="I991" s="70"/>
      <c r="J991" s="70"/>
      <c r="K991" s="70"/>
      <c r="L991" s="70"/>
      <c r="M991" s="70"/>
      <c r="N991" s="70"/>
      <c r="O991" s="70"/>
      <c r="P991" s="70"/>
      <c r="Q991" s="70"/>
      <c r="R991" s="70"/>
      <c r="S991" s="85"/>
      <c r="T991" s="70"/>
      <c r="U991" s="70"/>
      <c r="V991" s="70"/>
      <c r="W991" s="70"/>
      <c r="X991" s="70"/>
      <c r="Y991" s="70"/>
      <c r="Z991" s="70"/>
      <c r="AA991" s="70"/>
      <c r="AB991" s="70"/>
      <c r="AC991" s="70"/>
      <c r="AD991" s="70"/>
      <c r="AE991" s="70"/>
      <c r="AF991" s="70"/>
      <c r="AG991" s="70"/>
      <c r="AH991" s="70"/>
      <c r="AI991" s="70"/>
    </row>
    <row r="992" spans="1:35" ht="15">
      <c r="A992" s="70"/>
      <c r="B992" s="70"/>
      <c r="C992" s="70"/>
      <c r="D992" s="77"/>
      <c r="E992" s="77"/>
      <c r="F992" s="84"/>
      <c r="G992" s="77"/>
      <c r="H992" s="84"/>
      <c r="I992" s="70"/>
      <c r="J992" s="70"/>
      <c r="K992" s="70"/>
      <c r="L992" s="70"/>
      <c r="M992" s="70"/>
      <c r="N992" s="70"/>
      <c r="O992" s="70"/>
      <c r="P992" s="70"/>
      <c r="Q992" s="70"/>
      <c r="R992" s="70"/>
      <c r="S992" s="85"/>
      <c r="T992" s="70"/>
      <c r="U992" s="70"/>
      <c r="V992" s="70"/>
      <c r="W992" s="70"/>
      <c r="X992" s="70"/>
      <c r="Y992" s="70"/>
      <c r="Z992" s="70"/>
      <c r="AA992" s="70"/>
      <c r="AB992" s="70"/>
      <c r="AC992" s="70"/>
      <c r="AD992" s="70"/>
      <c r="AE992" s="70"/>
      <c r="AF992" s="70"/>
      <c r="AG992" s="70"/>
      <c r="AH992" s="70"/>
      <c r="AI992" s="70"/>
    </row>
    <row r="993" spans="1:35" ht="15">
      <c r="A993" s="70"/>
      <c r="B993" s="70"/>
      <c r="C993" s="70"/>
      <c r="D993" s="77"/>
      <c r="E993" s="77"/>
      <c r="F993" s="84"/>
      <c r="G993" s="77"/>
      <c r="H993" s="84"/>
      <c r="I993" s="70"/>
      <c r="J993" s="70"/>
      <c r="K993" s="70"/>
      <c r="L993" s="70"/>
      <c r="M993" s="70"/>
      <c r="N993" s="70"/>
      <c r="O993" s="70"/>
      <c r="P993" s="70"/>
      <c r="Q993" s="70"/>
      <c r="R993" s="70"/>
      <c r="S993" s="85"/>
      <c r="T993" s="70"/>
      <c r="U993" s="70"/>
      <c r="V993" s="70"/>
      <c r="W993" s="70"/>
      <c r="X993" s="70"/>
      <c r="Y993" s="70"/>
      <c r="Z993" s="70"/>
      <c r="AA993" s="70"/>
      <c r="AB993" s="70"/>
      <c r="AC993" s="70"/>
      <c r="AD993" s="70"/>
      <c r="AE993" s="70"/>
      <c r="AF993" s="70"/>
      <c r="AG993" s="70"/>
      <c r="AH993" s="70"/>
      <c r="AI993" s="70"/>
    </row>
    <row r="994" spans="1:35" ht="15">
      <c r="A994" s="70"/>
      <c r="B994" s="70"/>
      <c r="C994" s="70"/>
      <c r="D994" s="77"/>
      <c r="E994" s="77"/>
      <c r="F994" s="84"/>
      <c r="G994" s="77"/>
      <c r="H994" s="84"/>
      <c r="I994" s="70"/>
      <c r="J994" s="70"/>
      <c r="K994" s="70"/>
      <c r="L994" s="70"/>
      <c r="M994" s="70"/>
      <c r="N994" s="70"/>
      <c r="O994" s="70"/>
      <c r="P994" s="70"/>
      <c r="Q994" s="70"/>
      <c r="R994" s="70"/>
      <c r="S994" s="85"/>
      <c r="T994" s="70"/>
      <c r="U994" s="70"/>
      <c r="V994" s="70"/>
      <c r="W994" s="70"/>
      <c r="X994" s="70"/>
      <c r="Y994" s="70"/>
      <c r="Z994" s="70"/>
      <c r="AA994" s="70"/>
      <c r="AB994" s="70"/>
      <c r="AC994" s="70"/>
      <c r="AD994" s="70"/>
      <c r="AE994" s="70"/>
      <c r="AF994" s="70"/>
      <c r="AG994" s="70"/>
      <c r="AH994" s="70"/>
      <c r="AI994" s="70"/>
    </row>
    <row r="995" spans="1:35" ht="15">
      <c r="A995" s="70"/>
      <c r="B995" s="70"/>
      <c r="C995" s="70"/>
      <c r="D995" s="77"/>
      <c r="E995" s="77"/>
      <c r="F995" s="84"/>
      <c r="G995" s="77"/>
      <c r="H995" s="84"/>
      <c r="I995" s="70"/>
      <c r="J995" s="70"/>
      <c r="K995" s="70"/>
      <c r="L995" s="70"/>
      <c r="M995" s="70"/>
      <c r="N995" s="70"/>
      <c r="O995" s="70"/>
      <c r="P995" s="70"/>
      <c r="Q995" s="70"/>
      <c r="R995" s="70"/>
      <c r="S995" s="85"/>
      <c r="T995" s="70"/>
      <c r="U995" s="70"/>
      <c r="V995" s="70"/>
      <c r="W995" s="70"/>
      <c r="X995" s="70"/>
      <c r="Y995" s="70"/>
      <c r="Z995" s="70"/>
      <c r="AA995" s="70"/>
      <c r="AB995" s="70"/>
      <c r="AC995" s="70"/>
      <c r="AD995" s="70"/>
      <c r="AE995" s="70"/>
      <c r="AF995" s="70"/>
      <c r="AG995" s="70"/>
      <c r="AH995" s="70"/>
      <c r="AI995" s="70"/>
    </row>
    <row r="996" spans="1:35" ht="15">
      <c r="A996" s="70"/>
      <c r="B996" s="70"/>
      <c r="C996" s="70"/>
      <c r="D996" s="77"/>
      <c r="E996" s="77"/>
      <c r="F996" s="84"/>
      <c r="G996" s="77"/>
      <c r="H996" s="84"/>
      <c r="I996" s="70"/>
      <c r="J996" s="70"/>
      <c r="K996" s="70"/>
      <c r="L996" s="70"/>
      <c r="M996" s="70"/>
      <c r="N996" s="70"/>
      <c r="O996" s="70"/>
      <c r="P996" s="70"/>
      <c r="Q996" s="70"/>
      <c r="R996" s="70"/>
      <c r="S996" s="85"/>
      <c r="T996" s="70"/>
      <c r="U996" s="70"/>
      <c r="V996" s="70"/>
      <c r="W996" s="70"/>
      <c r="X996" s="70"/>
      <c r="Y996" s="70"/>
      <c r="Z996" s="70"/>
      <c r="AA996" s="70"/>
      <c r="AB996" s="70"/>
      <c r="AC996" s="70"/>
      <c r="AD996" s="70"/>
      <c r="AE996" s="70"/>
      <c r="AF996" s="70"/>
      <c r="AG996" s="70"/>
      <c r="AH996" s="70"/>
      <c r="AI996" s="70"/>
    </row>
    <row r="997" spans="1:35" ht="15">
      <c r="A997" s="70"/>
      <c r="B997" s="70"/>
      <c r="C997" s="70"/>
      <c r="D997" s="77"/>
      <c r="E997" s="77"/>
      <c r="F997" s="84"/>
      <c r="G997" s="77"/>
      <c r="H997" s="84"/>
      <c r="I997" s="70"/>
      <c r="J997" s="70"/>
      <c r="K997" s="70"/>
      <c r="L997" s="70"/>
      <c r="M997" s="70"/>
      <c r="N997" s="70"/>
      <c r="O997" s="70"/>
      <c r="P997" s="70"/>
      <c r="Q997" s="70"/>
      <c r="R997" s="70"/>
      <c r="S997" s="85"/>
      <c r="T997" s="70"/>
      <c r="U997" s="70"/>
      <c r="V997" s="70"/>
      <c r="W997" s="70"/>
      <c r="X997" s="70"/>
      <c r="Y997" s="70"/>
      <c r="Z997" s="70"/>
      <c r="AA997" s="70"/>
      <c r="AB997" s="70"/>
      <c r="AC997" s="70"/>
      <c r="AD997" s="70"/>
      <c r="AE997" s="70"/>
      <c r="AF997" s="70"/>
      <c r="AG997" s="70"/>
      <c r="AH997" s="70"/>
      <c r="AI997" s="70"/>
    </row>
    <row r="998" spans="1:35" ht="15">
      <c r="A998" s="70"/>
      <c r="B998" s="70"/>
      <c r="C998" s="70"/>
      <c r="D998" s="77"/>
      <c r="E998" s="77"/>
      <c r="F998" s="84"/>
      <c r="G998" s="77"/>
      <c r="H998" s="84"/>
      <c r="I998" s="70"/>
      <c r="J998" s="70"/>
      <c r="K998" s="70"/>
      <c r="L998" s="70"/>
      <c r="M998" s="70"/>
      <c r="N998" s="70"/>
      <c r="O998" s="70"/>
      <c r="P998" s="70"/>
      <c r="Q998" s="70"/>
      <c r="R998" s="70"/>
      <c r="S998" s="85"/>
      <c r="T998" s="70"/>
      <c r="U998" s="70"/>
      <c r="V998" s="70"/>
      <c r="W998" s="70"/>
      <c r="X998" s="70"/>
      <c r="Y998" s="70"/>
      <c r="Z998" s="70"/>
      <c r="AA998" s="70"/>
      <c r="AB998" s="70"/>
      <c r="AC998" s="70"/>
      <c r="AD998" s="70"/>
      <c r="AE998" s="70"/>
      <c r="AF998" s="70"/>
      <c r="AG998" s="70"/>
      <c r="AH998" s="70"/>
      <c r="AI998" s="70"/>
    </row>
    <row r="999" spans="1:35" ht="15">
      <c r="A999" s="70"/>
      <c r="B999" s="70"/>
      <c r="C999" s="70"/>
      <c r="D999" s="77"/>
      <c r="E999" s="77"/>
      <c r="F999" s="84"/>
      <c r="G999" s="77"/>
      <c r="H999" s="84"/>
      <c r="I999" s="70"/>
      <c r="J999" s="70"/>
      <c r="K999" s="70"/>
      <c r="L999" s="70"/>
      <c r="M999" s="70"/>
      <c r="N999" s="70"/>
      <c r="O999" s="70"/>
      <c r="P999" s="70"/>
      <c r="Q999" s="70"/>
      <c r="R999" s="70"/>
      <c r="S999" s="85"/>
      <c r="T999" s="70"/>
      <c r="U999" s="70"/>
      <c r="V999" s="70"/>
      <c r="W999" s="70"/>
      <c r="X999" s="70"/>
      <c r="Y999" s="70"/>
      <c r="Z999" s="70"/>
      <c r="AA999" s="70"/>
      <c r="AB999" s="70"/>
      <c r="AC999" s="70"/>
      <c r="AD999" s="70"/>
      <c r="AE999" s="70"/>
      <c r="AF999" s="70"/>
      <c r="AG999" s="70"/>
      <c r="AH999" s="70"/>
      <c r="AI999" s="70"/>
    </row>
    <row r="1000" spans="1:35" ht="15">
      <c r="A1000" s="70"/>
      <c r="B1000" s="70"/>
      <c r="C1000" s="70"/>
      <c r="D1000" s="77"/>
      <c r="E1000" s="77"/>
      <c r="F1000" s="84"/>
      <c r="G1000" s="77"/>
      <c r="H1000" s="84"/>
      <c r="I1000" s="70"/>
      <c r="J1000" s="70"/>
      <c r="K1000" s="70"/>
      <c r="L1000" s="70"/>
      <c r="M1000" s="70"/>
      <c r="N1000" s="70"/>
      <c r="O1000" s="70"/>
      <c r="P1000" s="70"/>
      <c r="Q1000" s="70"/>
      <c r="R1000" s="70"/>
      <c r="S1000" s="85"/>
      <c r="T1000" s="70"/>
      <c r="U1000" s="70"/>
      <c r="V1000" s="70"/>
      <c r="W1000" s="70"/>
      <c r="X1000" s="70"/>
      <c r="Y1000" s="70"/>
      <c r="Z1000" s="70"/>
      <c r="AA1000" s="70"/>
      <c r="AB1000" s="70"/>
      <c r="AC1000" s="70"/>
      <c r="AD1000" s="70"/>
      <c r="AE1000" s="70"/>
      <c r="AF1000" s="70"/>
      <c r="AG1000" s="70"/>
      <c r="AH1000" s="70"/>
      <c r="AI1000" s="70"/>
    </row>
    <row r="1001" spans="1:35" ht="15">
      <c r="A1001" s="70"/>
      <c r="B1001" s="70"/>
      <c r="C1001" s="70"/>
      <c r="D1001" s="77"/>
      <c r="E1001" s="77"/>
      <c r="F1001" s="84"/>
      <c r="G1001" s="77"/>
      <c r="H1001" s="84"/>
      <c r="I1001" s="70"/>
      <c r="J1001" s="70"/>
      <c r="K1001" s="70"/>
      <c r="L1001" s="70"/>
      <c r="M1001" s="70"/>
      <c r="N1001" s="70"/>
      <c r="O1001" s="70"/>
      <c r="P1001" s="70"/>
      <c r="Q1001" s="70"/>
      <c r="R1001" s="70"/>
      <c r="S1001" s="85"/>
      <c r="T1001" s="70"/>
      <c r="U1001" s="70"/>
      <c r="V1001" s="70"/>
      <c r="W1001" s="70"/>
      <c r="X1001" s="70"/>
      <c r="Y1001" s="70"/>
      <c r="Z1001" s="70"/>
      <c r="AA1001" s="70"/>
      <c r="AB1001" s="70"/>
      <c r="AC1001" s="70"/>
      <c r="AD1001" s="70"/>
      <c r="AE1001" s="70"/>
      <c r="AF1001" s="70"/>
      <c r="AG1001" s="70"/>
      <c r="AH1001" s="70"/>
      <c r="AI1001" s="70"/>
    </row>
    <row r="1002" spans="1:35" ht="15">
      <c r="A1002" s="70"/>
      <c r="B1002" s="70"/>
      <c r="C1002" s="70"/>
      <c r="D1002" s="77"/>
      <c r="E1002" s="77"/>
      <c r="F1002" s="84"/>
      <c r="G1002" s="77"/>
      <c r="H1002" s="84"/>
      <c r="I1002" s="70"/>
      <c r="J1002" s="70"/>
      <c r="K1002" s="70"/>
      <c r="L1002" s="70"/>
      <c r="M1002" s="70"/>
      <c r="N1002" s="70"/>
      <c r="O1002" s="70"/>
      <c r="P1002" s="70"/>
      <c r="Q1002" s="70"/>
      <c r="R1002" s="70"/>
      <c r="S1002" s="85"/>
      <c r="T1002" s="70"/>
      <c r="U1002" s="70"/>
      <c r="V1002" s="70"/>
      <c r="W1002" s="70"/>
      <c r="X1002" s="70"/>
      <c r="Y1002" s="70"/>
      <c r="Z1002" s="70"/>
      <c r="AA1002" s="70"/>
      <c r="AB1002" s="70"/>
      <c r="AC1002" s="70"/>
      <c r="AD1002" s="70"/>
      <c r="AE1002" s="70"/>
      <c r="AF1002" s="70"/>
      <c r="AG1002" s="70"/>
      <c r="AH1002" s="70"/>
      <c r="AI1002" s="70"/>
    </row>
    <row r="1003" spans="1:35" ht="15">
      <c r="A1003" s="70"/>
      <c r="B1003" s="70"/>
      <c r="C1003" s="70"/>
      <c r="D1003" s="77"/>
      <c r="E1003" s="77"/>
      <c r="F1003" s="84"/>
      <c r="G1003" s="77"/>
      <c r="H1003" s="84"/>
      <c r="I1003" s="70"/>
      <c r="J1003" s="70"/>
      <c r="K1003" s="70"/>
      <c r="L1003" s="70"/>
      <c r="M1003" s="70"/>
      <c r="N1003" s="70"/>
      <c r="O1003" s="70"/>
      <c r="P1003" s="70"/>
      <c r="Q1003" s="70"/>
      <c r="R1003" s="70"/>
      <c r="S1003" s="85"/>
      <c r="T1003" s="70"/>
      <c r="U1003" s="70"/>
      <c r="V1003" s="70"/>
      <c r="W1003" s="70"/>
      <c r="X1003" s="70"/>
      <c r="Y1003" s="70"/>
      <c r="Z1003" s="70"/>
      <c r="AA1003" s="70"/>
      <c r="AB1003" s="70"/>
      <c r="AC1003" s="70"/>
      <c r="AD1003" s="70"/>
      <c r="AE1003" s="70"/>
      <c r="AF1003" s="70"/>
      <c r="AG1003" s="70"/>
      <c r="AH1003" s="70"/>
      <c r="AI1003" s="70"/>
    </row>
    <row r="1004" spans="1:35" ht="15">
      <c r="A1004" s="70"/>
      <c r="B1004" s="70"/>
      <c r="C1004" s="70"/>
      <c r="D1004" s="77"/>
      <c r="E1004" s="77"/>
      <c r="F1004" s="84"/>
      <c r="G1004" s="77"/>
      <c r="H1004" s="84"/>
      <c r="I1004" s="70"/>
      <c r="J1004" s="70"/>
      <c r="K1004" s="70"/>
      <c r="L1004" s="70"/>
      <c r="M1004" s="70"/>
      <c r="N1004" s="70"/>
      <c r="O1004" s="70"/>
      <c r="P1004" s="70"/>
      <c r="Q1004" s="70"/>
      <c r="R1004" s="70"/>
      <c r="S1004" s="85"/>
      <c r="T1004" s="70"/>
      <c r="U1004" s="70"/>
      <c r="V1004" s="70"/>
      <c r="W1004" s="70"/>
      <c r="X1004" s="70"/>
      <c r="Y1004" s="70"/>
      <c r="Z1004" s="70"/>
      <c r="AA1004" s="70"/>
      <c r="AB1004" s="70"/>
      <c r="AC1004" s="70"/>
      <c r="AD1004" s="70"/>
      <c r="AE1004" s="70"/>
      <c r="AF1004" s="70"/>
      <c r="AG1004" s="70"/>
      <c r="AH1004" s="70"/>
      <c r="AI1004" s="70"/>
    </row>
    <row r="1005" spans="1:35" ht="15">
      <c r="A1005" s="70"/>
      <c r="B1005" s="70"/>
      <c r="C1005" s="70"/>
      <c r="D1005" s="77"/>
      <c r="E1005" s="77"/>
      <c r="F1005" s="84"/>
      <c r="G1005" s="77"/>
      <c r="H1005" s="84"/>
      <c r="I1005" s="70"/>
      <c r="J1005" s="70"/>
      <c r="K1005" s="70"/>
      <c r="L1005" s="70"/>
      <c r="M1005" s="70"/>
      <c r="N1005" s="70"/>
      <c r="O1005" s="70"/>
      <c r="P1005" s="70"/>
      <c r="Q1005" s="70"/>
      <c r="R1005" s="70"/>
      <c r="S1005" s="85"/>
      <c r="T1005" s="70"/>
      <c r="U1005" s="70"/>
      <c r="V1005" s="70"/>
      <c r="W1005" s="70"/>
      <c r="X1005" s="70"/>
      <c r="Y1005" s="70"/>
      <c r="Z1005" s="70"/>
      <c r="AA1005" s="70"/>
      <c r="AB1005" s="70"/>
      <c r="AC1005" s="70"/>
      <c r="AD1005" s="70"/>
      <c r="AE1005" s="70"/>
      <c r="AF1005" s="70"/>
      <c r="AG1005" s="70"/>
      <c r="AH1005" s="70"/>
      <c r="AI1005" s="70"/>
    </row>
    <row r="1006" spans="1:35" ht="15">
      <c r="A1006" s="70"/>
      <c r="B1006" s="70"/>
      <c r="C1006" s="70"/>
      <c r="D1006" s="77"/>
      <c r="E1006" s="77"/>
      <c r="F1006" s="84"/>
      <c r="G1006" s="77"/>
      <c r="H1006" s="84"/>
      <c r="I1006" s="70"/>
      <c r="J1006" s="70"/>
      <c r="K1006" s="70"/>
      <c r="L1006" s="70"/>
      <c r="M1006" s="70"/>
      <c r="N1006" s="70"/>
      <c r="O1006" s="70"/>
      <c r="P1006" s="70"/>
      <c r="Q1006" s="70"/>
      <c r="R1006" s="70"/>
      <c r="S1006" s="85"/>
      <c r="T1006" s="70"/>
      <c r="U1006" s="70"/>
      <c r="V1006" s="70"/>
      <c r="W1006" s="70"/>
      <c r="X1006" s="70"/>
      <c r="Y1006" s="70"/>
      <c r="Z1006" s="70"/>
      <c r="AA1006" s="70"/>
      <c r="AB1006" s="70"/>
      <c r="AC1006" s="70"/>
      <c r="AD1006" s="70"/>
      <c r="AE1006" s="70"/>
      <c r="AF1006" s="70"/>
      <c r="AG1006" s="70"/>
      <c r="AH1006" s="70"/>
      <c r="AI1006" s="70"/>
    </row>
    <row r="1007" spans="1:35" ht="15">
      <c r="A1007" s="70"/>
      <c r="B1007" s="70"/>
      <c r="C1007" s="70"/>
      <c r="D1007" s="77"/>
      <c r="E1007" s="77"/>
      <c r="F1007" s="84"/>
      <c r="G1007" s="77"/>
      <c r="H1007" s="84"/>
      <c r="I1007" s="70"/>
      <c r="J1007" s="70"/>
      <c r="K1007" s="70"/>
      <c r="L1007" s="70"/>
      <c r="M1007" s="70"/>
      <c r="N1007" s="70"/>
      <c r="O1007" s="70"/>
      <c r="P1007" s="70"/>
      <c r="Q1007" s="70"/>
      <c r="R1007" s="70"/>
      <c r="S1007" s="85"/>
      <c r="T1007" s="70"/>
      <c r="U1007" s="70"/>
      <c r="V1007" s="70"/>
      <c r="W1007" s="70"/>
      <c r="X1007" s="70"/>
      <c r="Y1007" s="70"/>
      <c r="Z1007" s="70"/>
      <c r="AA1007" s="70"/>
      <c r="AB1007" s="70"/>
      <c r="AC1007" s="70"/>
      <c r="AD1007" s="70"/>
      <c r="AE1007" s="70"/>
      <c r="AF1007" s="70"/>
      <c r="AG1007" s="70"/>
      <c r="AH1007" s="70"/>
      <c r="AI1007" s="70"/>
    </row>
    <row r="1008" spans="1:35" ht="15">
      <c r="A1008" s="70"/>
      <c r="B1008" s="70"/>
      <c r="C1008" s="70"/>
      <c r="D1008" s="77"/>
      <c r="E1008" s="77"/>
      <c r="F1008" s="84"/>
      <c r="G1008" s="77"/>
      <c r="H1008" s="84"/>
      <c r="I1008" s="70"/>
      <c r="J1008" s="70"/>
      <c r="K1008" s="70"/>
      <c r="L1008" s="70"/>
      <c r="M1008" s="70"/>
      <c r="N1008" s="70"/>
      <c r="O1008" s="70"/>
      <c r="P1008" s="70"/>
      <c r="Q1008" s="70"/>
      <c r="R1008" s="70"/>
      <c r="S1008" s="85"/>
      <c r="T1008" s="70"/>
      <c r="U1008" s="70"/>
      <c r="V1008" s="70"/>
      <c r="W1008" s="70"/>
      <c r="X1008" s="70"/>
      <c r="Y1008" s="70"/>
      <c r="Z1008" s="70"/>
      <c r="AA1008" s="70"/>
      <c r="AB1008" s="70"/>
      <c r="AC1008" s="70"/>
      <c r="AD1008" s="70"/>
      <c r="AE1008" s="70"/>
      <c r="AF1008" s="70"/>
      <c r="AG1008" s="70"/>
      <c r="AH1008" s="70"/>
      <c r="AI1008" s="70"/>
    </row>
    <row r="1009" spans="1:35" ht="15">
      <c r="A1009" s="70"/>
      <c r="B1009" s="70"/>
      <c r="C1009" s="70"/>
      <c r="D1009" s="77"/>
      <c r="E1009" s="77"/>
      <c r="F1009" s="84"/>
      <c r="G1009" s="77"/>
      <c r="H1009" s="84"/>
      <c r="I1009" s="70"/>
      <c r="J1009" s="70"/>
      <c r="K1009" s="70"/>
      <c r="L1009" s="70"/>
      <c r="M1009" s="70"/>
      <c r="N1009" s="70"/>
      <c r="O1009" s="70"/>
      <c r="P1009" s="70"/>
      <c r="Q1009" s="70"/>
      <c r="R1009" s="70"/>
      <c r="S1009" s="85"/>
      <c r="T1009" s="70"/>
      <c r="U1009" s="70"/>
      <c r="V1009" s="70"/>
      <c r="W1009" s="70"/>
      <c r="X1009" s="70"/>
      <c r="Y1009" s="70"/>
      <c r="Z1009" s="70"/>
      <c r="AA1009" s="70"/>
      <c r="AB1009" s="70"/>
      <c r="AC1009" s="70"/>
      <c r="AD1009" s="70"/>
      <c r="AE1009" s="70"/>
      <c r="AF1009" s="70"/>
      <c r="AG1009" s="70"/>
      <c r="AH1009" s="70"/>
      <c r="AI1009" s="70"/>
    </row>
    <row r="1010" spans="1:35" ht="15">
      <c r="A1010" s="70"/>
      <c r="B1010" s="70"/>
      <c r="C1010" s="70"/>
      <c r="D1010" s="77"/>
      <c r="E1010" s="77"/>
      <c r="F1010" s="84"/>
      <c r="G1010" s="77"/>
      <c r="H1010" s="84"/>
      <c r="I1010" s="70"/>
      <c r="J1010" s="70"/>
      <c r="K1010" s="70"/>
      <c r="L1010" s="70"/>
      <c r="M1010" s="70"/>
      <c r="N1010" s="70"/>
      <c r="O1010" s="70"/>
      <c r="P1010" s="70"/>
      <c r="Q1010" s="70"/>
      <c r="R1010" s="70"/>
      <c r="S1010" s="85"/>
      <c r="T1010" s="70"/>
      <c r="U1010" s="70"/>
      <c r="V1010" s="70"/>
      <c r="W1010" s="70"/>
      <c r="X1010" s="70"/>
      <c r="Y1010" s="70"/>
      <c r="Z1010" s="70"/>
      <c r="AA1010" s="70"/>
      <c r="AB1010" s="70"/>
      <c r="AC1010" s="70"/>
      <c r="AD1010" s="70"/>
      <c r="AE1010" s="70"/>
      <c r="AF1010" s="70"/>
      <c r="AG1010" s="70"/>
      <c r="AH1010" s="70"/>
      <c r="AI1010" s="70"/>
    </row>
    <row r="1011" spans="1:35" ht="15">
      <c r="A1011" s="70"/>
      <c r="B1011" s="70"/>
      <c r="C1011" s="70"/>
      <c r="D1011" s="77"/>
      <c r="E1011" s="77"/>
      <c r="F1011" s="84"/>
      <c r="G1011" s="77"/>
      <c r="H1011" s="84"/>
      <c r="I1011" s="70"/>
      <c r="J1011" s="70"/>
      <c r="K1011" s="70"/>
      <c r="L1011" s="70"/>
      <c r="M1011" s="70"/>
      <c r="N1011" s="70"/>
      <c r="O1011" s="70"/>
      <c r="P1011" s="70"/>
      <c r="Q1011" s="70"/>
      <c r="R1011" s="70"/>
      <c r="S1011" s="85"/>
      <c r="T1011" s="70"/>
      <c r="U1011" s="70"/>
      <c r="V1011" s="70"/>
      <c r="W1011" s="70"/>
      <c r="X1011" s="70"/>
      <c r="Y1011" s="70"/>
      <c r="Z1011" s="70"/>
      <c r="AA1011" s="70"/>
      <c r="AB1011" s="70"/>
      <c r="AC1011" s="70"/>
      <c r="AD1011" s="70"/>
      <c r="AE1011" s="70"/>
      <c r="AF1011" s="70"/>
      <c r="AG1011" s="70"/>
      <c r="AH1011" s="70"/>
      <c r="AI1011" s="70"/>
    </row>
    <row r="1012" spans="1:35" ht="15">
      <c r="A1012" s="70"/>
      <c r="B1012" s="70"/>
      <c r="C1012" s="70"/>
      <c r="D1012" s="77"/>
      <c r="E1012" s="77"/>
      <c r="F1012" s="84"/>
      <c r="G1012" s="77"/>
      <c r="H1012" s="84"/>
      <c r="I1012" s="70"/>
      <c r="J1012" s="70"/>
      <c r="K1012" s="70"/>
      <c r="L1012" s="70"/>
      <c r="M1012" s="70"/>
      <c r="N1012" s="70"/>
      <c r="O1012" s="70"/>
      <c r="P1012" s="70"/>
      <c r="Q1012" s="70"/>
      <c r="R1012" s="70"/>
      <c r="S1012" s="85"/>
      <c r="T1012" s="70"/>
      <c r="U1012" s="70"/>
      <c r="V1012" s="70"/>
      <c r="W1012" s="70"/>
      <c r="X1012" s="70"/>
      <c r="Y1012" s="70"/>
      <c r="Z1012" s="70"/>
      <c r="AA1012" s="70"/>
      <c r="AB1012" s="70"/>
      <c r="AC1012" s="70"/>
      <c r="AD1012" s="70"/>
      <c r="AE1012" s="70"/>
      <c r="AF1012" s="70"/>
      <c r="AG1012" s="70"/>
      <c r="AH1012" s="70"/>
      <c r="AI1012" s="70"/>
    </row>
    <row r="1013" spans="1:35" ht="15">
      <c r="A1013" s="70"/>
      <c r="B1013" s="70"/>
      <c r="C1013" s="70"/>
      <c r="D1013" s="77"/>
      <c r="E1013" s="77"/>
      <c r="F1013" s="84"/>
      <c r="G1013" s="77"/>
      <c r="H1013" s="84"/>
      <c r="I1013" s="70"/>
      <c r="J1013" s="70"/>
      <c r="K1013" s="70"/>
      <c r="L1013" s="70"/>
      <c r="M1013" s="70"/>
      <c r="N1013" s="70"/>
      <c r="O1013" s="70"/>
      <c r="P1013" s="70"/>
      <c r="Q1013" s="70"/>
      <c r="R1013" s="70"/>
      <c r="S1013" s="85"/>
      <c r="T1013" s="70"/>
      <c r="U1013" s="70"/>
      <c r="V1013" s="70"/>
      <c r="W1013" s="70"/>
      <c r="X1013" s="70"/>
      <c r="Y1013" s="70"/>
      <c r="Z1013" s="70"/>
      <c r="AA1013" s="70"/>
      <c r="AB1013" s="70"/>
      <c r="AC1013" s="70"/>
      <c r="AD1013" s="70"/>
      <c r="AE1013" s="70"/>
      <c r="AF1013" s="70"/>
      <c r="AG1013" s="70"/>
      <c r="AH1013" s="70"/>
      <c r="AI1013" s="70"/>
    </row>
    <row r="1014" spans="1:35" ht="15">
      <c r="A1014" s="70"/>
      <c r="B1014" s="70"/>
      <c r="C1014" s="70"/>
      <c r="D1014" s="77"/>
      <c r="E1014" s="77"/>
      <c r="F1014" s="84"/>
      <c r="G1014" s="77"/>
      <c r="H1014" s="84"/>
      <c r="I1014" s="70"/>
      <c r="J1014" s="70"/>
      <c r="K1014" s="70"/>
      <c r="L1014" s="70"/>
      <c r="M1014" s="70"/>
      <c r="N1014" s="70"/>
      <c r="O1014" s="70"/>
      <c r="P1014" s="70"/>
      <c r="Q1014" s="70"/>
      <c r="R1014" s="70"/>
      <c r="S1014" s="85"/>
      <c r="T1014" s="70"/>
      <c r="U1014" s="70"/>
      <c r="V1014" s="70"/>
      <c r="W1014" s="70"/>
      <c r="X1014" s="70"/>
      <c r="Y1014" s="70"/>
      <c r="Z1014" s="70"/>
      <c r="AA1014" s="70"/>
      <c r="AB1014" s="70"/>
      <c r="AC1014" s="70"/>
      <c r="AD1014" s="70"/>
      <c r="AE1014" s="70"/>
      <c r="AF1014" s="70"/>
      <c r="AG1014" s="70"/>
      <c r="AH1014" s="70"/>
      <c r="AI1014" s="70"/>
    </row>
    <row r="1015" spans="1:35" ht="15">
      <c r="A1015" s="70"/>
      <c r="B1015" s="70"/>
      <c r="C1015" s="70"/>
      <c r="D1015" s="77"/>
      <c r="E1015" s="77"/>
      <c r="F1015" s="84"/>
      <c r="G1015" s="77"/>
      <c r="H1015" s="84"/>
      <c r="I1015" s="70"/>
      <c r="J1015" s="70"/>
      <c r="K1015" s="70"/>
      <c r="L1015" s="70"/>
      <c r="M1015" s="70"/>
      <c r="N1015" s="70"/>
      <c r="O1015" s="70"/>
      <c r="P1015" s="70"/>
      <c r="Q1015" s="70"/>
      <c r="R1015" s="70"/>
      <c r="S1015" s="85"/>
      <c r="T1015" s="70"/>
      <c r="U1015" s="70"/>
      <c r="V1015" s="70"/>
      <c r="W1015" s="70"/>
      <c r="X1015" s="70"/>
      <c r="Y1015" s="70"/>
      <c r="Z1015" s="70"/>
      <c r="AA1015" s="70"/>
      <c r="AB1015" s="70"/>
      <c r="AC1015" s="70"/>
      <c r="AD1015" s="70"/>
      <c r="AE1015" s="70"/>
      <c r="AF1015" s="70"/>
      <c r="AG1015" s="70"/>
      <c r="AH1015" s="70"/>
      <c r="AI1015" s="70"/>
    </row>
    <row r="1016" spans="1:35" ht="15">
      <c r="A1016" s="70"/>
      <c r="B1016" s="70"/>
      <c r="C1016" s="70"/>
      <c r="D1016" s="77"/>
      <c r="E1016" s="77"/>
      <c r="F1016" s="84"/>
      <c r="G1016" s="77"/>
      <c r="H1016" s="84"/>
      <c r="I1016" s="70"/>
      <c r="J1016" s="70"/>
      <c r="K1016" s="70"/>
      <c r="L1016" s="70"/>
      <c r="M1016" s="70"/>
      <c r="N1016" s="70"/>
      <c r="O1016" s="70"/>
      <c r="P1016" s="70"/>
      <c r="Q1016" s="70"/>
      <c r="R1016" s="70"/>
      <c r="S1016" s="85"/>
      <c r="T1016" s="70"/>
      <c r="U1016" s="70"/>
      <c r="V1016" s="70"/>
      <c r="W1016" s="70"/>
      <c r="X1016" s="70"/>
      <c r="Y1016" s="70"/>
      <c r="Z1016" s="70"/>
      <c r="AA1016" s="70"/>
      <c r="AB1016" s="70"/>
      <c r="AC1016" s="70"/>
      <c r="AD1016" s="70"/>
      <c r="AE1016" s="70"/>
      <c r="AF1016" s="70"/>
      <c r="AG1016" s="70"/>
      <c r="AH1016" s="70"/>
      <c r="AI1016" s="70"/>
    </row>
    <row r="1017" spans="1:35" ht="15">
      <c r="A1017" s="70"/>
      <c r="B1017" s="70"/>
      <c r="C1017" s="70"/>
      <c r="D1017" s="77"/>
      <c r="E1017" s="77"/>
      <c r="F1017" s="84"/>
      <c r="G1017" s="77"/>
      <c r="H1017" s="84"/>
      <c r="I1017" s="70"/>
      <c r="J1017" s="70"/>
      <c r="K1017" s="70"/>
      <c r="L1017" s="70"/>
      <c r="M1017" s="70"/>
      <c r="N1017" s="70"/>
      <c r="O1017" s="70"/>
      <c r="P1017" s="70"/>
      <c r="Q1017" s="70"/>
      <c r="R1017" s="70"/>
      <c r="S1017" s="85"/>
      <c r="T1017" s="70"/>
      <c r="U1017" s="70"/>
      <c r="V1017" s="70"/>
      <c r="W1017" s="70"/>
      <c r="X1017" s="70"/>
      <c r="Y1017" s="70"/>
      <c r="Z1017" s="70"/>
      <c r="AA1017" s="70"/>
      <c r="AB1017" s="70"/>
      <c r="AC1017" s="70"/>
      <c r="AD1017" s="70"/>
      <c r="AE1017" s="70"/>
      <c r="AF1017" s="70"/>
      <c r="AG1017" s="70"/>
      <c r="AH1017" s="70"/>
      <c r="AI1017" s="70"/>
    </row>
    <row r="1018" spans="1:35" ht="15">
      <c r="A1018" s="70"/>
      <c r="B1018" s="70"/>
      <c r="C1018" s="70"/>
      <c r="D1018" s="77"/>
      <c r="E1018" s="77"/>
      <c r="F1018" s="84"/>
      <c r="G1018" s="77"/>
      <c r="H1018" s="84"/>
      <c r="I1018" s="70"/>
      <c r="J1018" s="70"/>
      <c r="K1018" s="70"/>
      <c r="L1018" s="70"/>
      <c r="M1018" s="70"/>
      <c r="N1018" s="70"/>
      <c r="O1018" s="70"/>
      <c r="P1018" s="70"/>
      <c r="Q1018" s="70"/>
      <c r="R1018" s="70"/>
      <c r="S1018" s="85"/>
      <c r="T1018" s="70"/>
      <c r="U1018" s="70"/>
      <c r="V1018" s="70"/>
      <c r="W1018" s="70"/>
      <c r="X1018" s="70"/>
      <c r="Y1018" s="70"/>
      <c r="Z1018" s="70"/>
      <c r="AA1018" s="70"/>
      <c r="AB1018" s="70"/>
      <c r="AC1018" s="70"/>
      <c r="AD1018" s="70"/>
      <c r="AE1018" s="70"/>
      <c r="AF1018" s="70"/>
      <c r="AG1018" s="70"/>
      <c r="AH1018" s="70"/>
      <c r="AI1018" s="70"/>
    </row>
    <row r="1019" spans="1:35" ht="15">
      <c r="A1019" s="70"/>
      <c r="B1019" s="70"/>
      <c r="C1019" s="70"/>
      <c r="D1019" s="77"/>
      <c r="E1019" s="77"/>
      <c r="F1019" s="84"/>
      <c r="G1019" s="77"/>
      <c r="H1019" s="84"/>
      <c r="I1019" s="70"/>
      <c r="J1019" s="70"/>
      <c r="K1019" s="70"/>
      <c r="L1019" s="70"/>
      <c r="M1019" s="70"/>
      <c r="N1019" s="70"/>
      <c r="O1019" s="70"/>
      <c r="P1019" s="70"/>
      <c r="Q1019" s="70"/>
      <c r="R1019" s="70"/>
      <c r="S1019" s="85"/>
      <c r="T1019" s="70"/>
      <c r="U1019" s="70"/>
      <c r="V1019" s="70"/>
      <c r="W1019" s="70"/>
      <c r="X1019" s="70"/>
      <c r="Y1019" s="70"/>
      <c r="Z1019" s="70"/>
      <c r="AA1019" s="70"/>
      <c r="AB1019" s="70"/>
      <c r="AC1019" s="70"/>
      <c r="AD1019" s="70"/>
      <c r="AE1019" s="70"/>
      <c r="AF1019" s="70"/>
      <c r="AG1019" s="70"/>
      <c r="AH1019" s="70"/>
      <c r="AI1019" s="70"/>
    </row>
    <row r="1020" spans="1:35" ht="15">
      <c r="A1020" s="70"/>
      <c r="B1020" s="70"/>
      <c r="C1020" s="70"/>
      <c r="D1020" s="77"/>
      <c r="E1020" s="77"/>
      <c r="F1020" s="84"/>
      <c r="G1020" s="77"/>
      <c r="H1020" s="84"/>
      <c r="I1020" s="70"/>
      <c r="J1020" s="70"/>
      <c r="K1020" s="70"/>
      <c r="L1020" s="70"/>
      <c r="M1020" s="70"/>
      <c r="N1020" s="70"/>
      <c r="O1020" s="70"/>
      <c r="P1020" s="70"/>
      <c r="Q1020" s="70"/>
      <c r="R1020" s="70"/>
      <c r="S1020" s="85"/>
      <c r="T1020" s="70"/>
      <c r="U1020" s="70"/>
      <c r="V1020" s="70"/>
      <c r="W1020" s="70"/>
      <c r="X1020" s="70"/>
      <c r="Y1020" s="70"/>
      <c r="Z1020" s="70"/>
      <c r="AA1020" s="70"/>
      <c r="AB1020" s="70"/>
      <c r="AC1020" s="70"/>
      <c r="AD1020" s="70"/>
      <c r="AE1020" s="70"/>
      <c r="AF1020" s="70"/>
      <c r="AG1020" s="70"/>
      <c r="AH1020" s="70"/>
      <c r="AI1020" s="70"/>
    </row>
    <row r="1021" spans="1:35" ht="15">
      <c r="A1021" s="70"/>
      <c r="B1021" s="70"/>
      <c r="C1021" s="70"/>
      <c r="D1021" s="77"/>
      <c r="E1021" s="77"/>
      <c r="F1021" s="84"/>
      <c r="G1021" s="77"/>
      <c r="H1021" s="84"/>
      <c r="I1021" s="70"/>
      <c r="J1021" s="70"/>
      <c r="K1021" s="70"/>
      <c r="L1021" s="70"/>
      <c r="M1021" s="70"/>
      <c r="N1021" s="70"/>
      <c r="O1021" s="70"/>
      <c r="P1021" s="70"/>
      <c r="Q1021" s="70"/>
      <c r="R1021" s="70"/>
      <c r="S1021" s="85"/>
      <c r="T1021" s="70"/>
      <c r="U1021" s="70"/>
      <c r="V1021" s="70"/>
      <c r="W1021" s="70"/>
      <c r="X1021" s="70"/>
      <c r="Y1021" s="70"/>
      <c r="Z1021" s="70"/>
      <c r="AA1021" s="70"/>
      <c r="AB1021" s="70"/>
      <c r="AC1021" s="70"/>
      <c r="AD1021" s="70"/>
      <c r="AE1021" s="70"/>
      <c r="AF1021" s="70"/>
      <c r="AG1021" s="70"/>
      <c r="AH1021" s="70"/>
      <c r="AI1021" s="70"/>
    </row>
    <row r="1022" spans="1:35" ht="15">
      <c r="A1022" s="70"/>
      <c r="B1022" s="70"/>
      <c r="C1022" s="70"/>
      <c r="D1022" s="77"/>
      <c r="E1022" s="77"/>
      <c r="F1022" s="84"/>
      <c r="G1022" s="77"/>
      <c r="H1022" s="84"/>
      <c r="I1022" s="70"/>
      <c r="J1022" s="70"/>
      <c r="K1022" s="70"/>
      <c r="L1022" s="70"/>
      <c r="M1022" s="70"/>
      <c r="N1022" s="70"/>
      <c r="O1022" s="70"/>
      <c r="P1022" s="70"/>
      <c r="Q1022" s="70"/>
      <c r="R1022" s="70"/>
      <c r="S1022" s="85"/>
      <c r="T1022" s="70"/>
      <c r="U1022" s="70"/>
      <c r="V1022" s="70"/>
      <c r="W1022" s="70"/>
      <c r="X1022" s="70"/>
      <c r="Y1022" s="70"/>
      <c r="Z1022" s="70"/>
      <c r="AA1022" s="70"/>
      <c r="AB1022" s="70"/>
      <c r="AC1022" s="70"/>
      <c r="AD1022" s="70"/>
      <c r="AE1022" s="70"/>
      <c r="AF1022" s="70"/>
      <c r="AG1022" s="70"/>
      <c r="AH1022" s="70"/>
      <c r="AI1022" s="70"/>
    </row>
    <row r="1023" spans="1:35" ht="15">
      <c r="A1023" s="70"/>
      <c r="B1023" s="70"/>
      <c r="C1023" s="70"/>
      <c r="D1023" s="77"/>
      <c r="E1023" s="77"/>
      <c r="F1023" s="84"/>
      <c r="G1023" s="77"/>
      <c r="H1023" s="84"/>
      <c r="I1023" s="70"/>
      <c r="J1023" s="70"/>
      <c r="K1023" s="70"/>
      <c r="L1023" s="70"/>
      <c r="M1023" s="70"/>
      <c r="N1023" s="70"/>
      <c r="O1023" s="70"/>
      <c r="P1023" s="70"/>
      <c r="Q1023" s="70"/>
      <c r="R1023" s="70"/>
      <c r="S1023" s="85"/>
      <c r="T1023" s="70"/>
      <c r="U1023" s="70"/>
      <c r="V1023" s="70"/>
      <c r="W1023" s="70"/>
      <c r="X1023" s="70"/>
      <c r="Y1023" s="70"/>
      <c r="Z1023" s="70"/>
      <c r="AA1023" s="70"/>
      <c r="AB1023" s="70"/>
      <c r="AC1023" s="70"/>
      <c r="AD1023" s="70"/>
      <c r="AE1023" s="70"/>
      <c r="AF1023" s="70"/>
      <c r="AG1023" s="70"/>
      <c r="AH1023" s="70"/>
      <c r="AI1023" s="70"/>
    </row>
    <row r="1024" spans="1:35" ht="15">
      <c r="A1024" s="70"/>
      <c r="B1024" s="70"/>
      <c r="C1024" s="70"/>
      <c r="D1024" s="77"/>
      <c r="E1024" s="77"/>
      <c r="F1024" s="84"/>
      <c r="G1024" s="77"/>
      <c r="H1024" s="84"/>
      <c r="I1024" s="70"/>
      <c r="J1024" s="70"/>
      <c r="K1024" s="70"/>
      <c r="L1024" s="70"/>
      <c r="M1024" s="70"/>
      <c r="N1024" s="70"/>
      <c r="O1024" s="70"/>
      <c r="P1024" s="70"/>
      <c r="Q1024" s="70"/>
      <c r="R1024" s="70"/>
      <c r="S1024" s="85"/>
      <c r="T1024" s="70"/>
      <c r="U1024" s="70"/>
      <c r="V1024" s="70"/>
      <c r="W1024" s="70"/>
      <c r="X1024" s="70"/>
      <c r="Y1024" s="70"/>
      <c r="Z1024" s="70"/>
      <c r="AA1024" s="70"/>
      <c r="AB1024" s="70"/>
      <c r="AC1024" s="70"/>
      <c r="AD1024" s="70"/>
      <c r="AE1024" s="70"/>
      <c r="AF1024" s="70"/>
      <c r="AG1024" s="70"/>
      <c r="AH1024" s="70"/>
      <c r="AI1024" s="70"/>
    </row>
    <row r="1025" spans="1:35" ht="15">
      <c r="A1025" s="70"/>
      <c r="B1025" s="70"/>
      <c r="C1025" s="70"/>
      <c r="D1025" s="77"/>
      <c r="E1025" s="77"/>
      <c r="F1025" s="84"/>
      <c r="G1025" s="77"/>
      <c r="H1025" s="84"/>
      <c r="I1025" s="70"/>
      <c r="J1025" s="70"/>
      <c r="K1025" s="70"/>
      <c r="L1025" s="70"/>
      <c r="M1025" s="70"/>
      <c r="N1025" s="70"/>
      <c r="O1025" s="70"/>
      <c r="P1025" s="70"/>
      <c r="Q1025" s="70"/>
      <c r="R1025" s="70"/>
      <c r="S1025" s="85"/>
      <c r="T1025" s="70"/>
      <c r="U1025" s="70"/>
      <c r="V1025" s="70"/>
      <c r="W1025" s="70"/>
      <c r="X1025" s="70"/>
      <c r="Y1025" s="70"/>
      <c r="Z1025" s="70"/>
      <c r="AA1025" s="70"/>
      <c r="AB1025" s="70"/>
      <c r="AC1025" s="70"/>
      <c r="AD1025" s="70"/>
      <c r="AE1025" s="70"/>
      <c r="AF1025" s="70"/>
      <c r="AG1025" s="70"/>
      <c r="AH1025" s="70"/>
      <c r="AI1025" s="70"/>
    </row>
    <row r="1026" spans="1:35" ht="15">
      <c r="A1026" s="70"/>
      <c r="B1026" s="70"/>
      <c r="C1026" s="70"/>
      <c r="D1026" s="77"/>
      <c r="E1026" s="77"/>
      <c r="F1026" s="84"/>
      <c r="G1026" s="77"/>
      <c r="H1026" s="84"/>
      <c r="I1026" s="70"/>
      <c r="J1026" s="70"/>
      <c r="K1026" s="70"/>
      <c r="L1026" s="70"/>
      <c r="M1026" s="70"/>
      <c r="N1026" s="70"/>
      <c r="O1026" s="70"/>
      <c r="P1026" s="70"/>
      <c r="Q1026" s="70"/>
      <c r="R1026" s="70"/>
      <c r="S1026" s="85"/>
      <c r="T1026" s="70"/>
      <c r="U1026" s="70"/>
      <c r="V1026" s="70"/>
      <c r="W1026" s="70"/>
      <c r="X1026" s="70"/>
      <c r="Y1026" s="70"/>
      <c r="Z1026" s="70"/>
      <c r="AA1026" s="70"/>
      <c r="AB1026" s="70"/>
      <c r="AC1026" s="70"/>
      <c r="AD1026" s="70"/>
      <c r="AE1026" s="70"/>
      <c r="AF1026" s="70"/>
      <c r="AG1026" s="70"/>
      <c r="AH1026" s="70"/>
      <c r="AI1026" s="70"/>
    </row>
    <row r="1027" spans="1:35" ht="15">
      <c r="A1027" s="70"/>
      <c r="B1027" s="70"/>
      <c r="C1027" s="70"/>
      <c r="D1027" s="77"/>
      <c r="E1027" s="77"/>
      <c r="F1027" s="84"/>
      <c r="G1027" s="77"/>
      <c r="H1027" s="84"/>
      <c r="I1027" s="70"/>
      <c r="J1027" s="70"/>
      <c r="K1027" s="70"/>
      <c r="L1027" s="70"/>
      <c r="M1027" s="70"/>
      <c r="N1027" s="70"/>
      <c r="O1027" s="70"/>
      <c r="P1027" s="70"/>
      <c r="Q1027" s="70"/>
      <c r="R1027" s="70"/>
      <c r="S1027" s="85"/>
      <c r="T1027" s="70"/>
      <c r="U1027" s="70"/>
      <c r="V1027" s="70"/>
      <c r="W1027" s="70"/>
      <c r="X1027" s="70"/>
      <c r="Y1027" s="70"/>
      <c r="Z1027" s="70"/>
      <c r="AA1027" s="70"/>
      <c r="AB1027" s="70"/>
      <c r="AC1027" s="70"/>
      <c r="AD1027" s="70"/>
      <c r="AE1027" s="70"/>
      <c r="AF1027" s="70"/>
      <c r="AG1027" s="70"/>
      <c r="AH1027" s="70"/>
      <c r="AI1027" s="70"/>
    </row>
    <row r="1028" spans="1:35" ht="15">
      <c r="A1028" s="70"/>
      <c r="B1028" s="70"/>
      <c r="C1028" s="70"/>
      <c r="D1028" s="77"/>
      <c r="E1028" s="77"/>
      <c r="F1028" s="84"/>
      <c r="G1028" s="77"/>
      <c r="H1028" s="84"/>
      <c r="I1028" s="70"/>
      <c r="J1028" s="70"/>
      <c r="K1028" s="70"/>
      <c r="L1028" s="70"/>
      <c r="M1028" s="70"/>
      <c r="N1028" s="70"/>
      <c r="O1028" s="70"/>
      <c r="P1028" s="70"/>
      <c r="Q1028" s="70"/>
      <c r="R1028" s="70"/>
      <c r="S1028" s="85"/>
      <c r="T1028" s="70"/>
      <c r="U1028" s="70"/>
      <c r="V1028" s="70"/>
      <c r="W1028" s="70"/>
      <c r="X1028" s="70"/>
      <c r="Y1028" s="70"/>
      <c r="Z1028" s="70"/>
      <c r="AA1028" s="70"/>
      <c r="AB1028" s="70"/>
      <c r="AC1028" s="70"/>
      <c r="AD1028" s="70"/>
      <c r="AE1028" s="70"/>
      <c r="AF1028" s="70"/>
      <c r="AG1028" s="70"/>
      <c r="AH1028" s="70"/>
      <c r="AI1028" s="70"/>
    </row>
    <row r="1029" spans="1:35" ht="15">
      <c r="A1029" s="70"/>
      <c r="B1029" s="70"/>
      <c r="C1029" s="70"/>
      <c r="D1029" s="77"/>
      <c r="E1029" s="77"/>
      <c r="F1029" s="84"/>
      <c r="G1029" s="77"/>
      <c r="H1029" s="84"/>
      <c r="I1029" s="70"/>
      <c r="J1029" s="70"/>
      <c r="K1029" s="70"/>
      <c r="L1029" s="70"/>
      <c r="M1029" s="70"/>
      <c r="N1029" s="70"/>
      <c r="O1029" s="70"/>
      <c r="P1029" s="70"/>
      <c r="Q1029" s="70"/>
      <c r="R1029" s="70"/>
      <c r="S1029" s="85"/>
      <c r="T1029" s="70"/>
      <c r="U1029" s="70"/>
      <c r="V1029" s="70"/>
      <c r="W1029" s="70"/>
      <c r="X1029" s="70"/>
      <c r="Y1029" s="70"/>
      <c r="Z1029" s="70"/>
      <c r="AA1029" s="70"/>
      <c r="AB1029" s="70"/>
      <c r="AC1029" s="70"/>
      <c r="AD1029" s="70"/>
      <c r="AE1029" s="70"/>
      <c r="AF1029" s="70"/>
      <c r="AG1029" s="70"/>
      <c r="AH1029" s="70"/>
      <c r="AI1029" s="70"/>
    </row>
    <row r="1030" spans="1:35" ht="15">
      <c r="A1030" s="70"/>
      <c r="B1030" s="70"/>
      <c r="C1030" s="70"/>
      <c r="D1030" s="77"/>
      <c r="E1030" s="77"/>
      <c r="F1030" s="84"/>
      <c r="G1030" s="77"/>
      <c r="H1030" s="84"/>
      <c r="I1030" s="70"/>
      <c r="J1030" s="70"/>
      <c r="K1030" s="70"/>
      <c r="L1030" s="70"/>
      <c r="M1030" s="70"/>
      <c r="N1030" s="70"/>
      <c r="O1030" s="70"/>
      <c r="P1030" s="70"/>
      <c r="Q1030" s="70"/>
      <c r="R1030" s="70"/>
      <c r="S1030" s="85"/>
      <c r="T1030" s="70"/>
      <c r="U1030" s="70"/>
      <c r="V1030" s="70"/>
      <c r="W1030" s="70"/>
      <c r="X1030" s="70"/>
      <c r="Y1030" s="70"/>
      <c r="Z1030" s="70"/>
      <c r="AA1030" s="70"/>
      <c r="AB1030" s="70"/>
      <c r="AC1030" s="70"/>
      <c r="AD1030" s="70"/>
      <c r="AE1030" s="70"/>
      <c r="AF1030" s="70"/>
      <c r="AG1030" s="70"/>
      <c r="AH1030" s="70"/>
      <c r="AI1030" s="70"/>
    </row>
    <row r="1031" spans="1:35" ht="15">
      <c r="A1031" s="70"/>
      <c r="B1031" s="70"/>
      <c r="C1031" s="70"/>
      <c r="D1031" s="77"/>
      <c r="E1031" s="77"/>
      <c r="F1031" s="84"/>
      <c r="G1031" s="77"/>
      <c r="H1031" s="84"/>
      <c r="I1031" s="70"/>
      <c r="J1031" s="70"/>
      <c r="K1031" s="70"/>
      <c r="L1031" s="70"/>
      <c r="M1031" s="70"/>
      <c r="N1031" s="70"/>
      <c r="O1031" s="70"/>
      <c r="P1031" s="70"/>
      <c r="Q1031" s="70"/>
      <c r="R1031" s="70"/>
      <c r="S1031" s="85"/>
      <c r="T1031" s="70"/>
      <c r="U1031" s="70"/>
      <c r="V1031" s="70"/>
      <c r="W1031" s="70"/>
      <c r="X1031" s="70"/>
      <c r="Y1031" s="70"/>
      <c r="Z1031" s="70"/>
      <c r="AA1031" s="70"/>
      <c r="AB1031" s="70"/>
      <c r="AC1031" s="70"/>
      <c r="AD1031" s="70"/>
      <c r="AE1031" s="70"/>
      <c r="AF1031" s="70"/>
      <c r="AG1031" s="70"/>
      <c r="AH1031" s="70"/>
      <c r="AI1031" s="70"/>
    </row>
    <row r="1032" spans="1:35" ht="15">
      <c r="A1032" s="70"/>
      <c r="B1032" s="70"/>
      <c r="C1032" s="70"/>
      <c r="D1032" s="77"/>
      <c r="E1032" s="77"/>
      <c r="F1032" s="84"/>
      <c r="G1032" s="77"/>
      <c r="H1032" s="84"/>
      <c r="I1032" s="70"/>
      <c r="J1032" s="70"/>
      <c r="K1032" s="70"/>
      <c r="L1032" s="70"/>
      <c r="M1032" s="70"/>
      <c r="N1032" s="70"/>
      <c r="O1032" s="70"/>
      <c r="P1032" s="70"/>
      <c r="Q1032" s="70"/>
      <c r="R1032" s="70"/>
      <c r="S1032" s="85"/>
      <c r="T1032" s="70"/>
      <c r="U1032" s="70"/>
      <c r="V1032" s="70"/>
      <c r="W1032" s="70"/>
      <c r="X1032" s="70"/>
      <c r="Y1032" s="70"/>
      <c r="Z1032" s="70"/>
      <c r="AA1032" s="70"/>
      <c r="AB1032" s="70"/>
      <c r="AC1032" s="70"/>
      <c r="AD1032" s="70"/>
      <c r="AE1032" s="70"/>
      <c r="AF1032" s="70"/>
      <c r="AG1032" s="70"/>
      <c r="AH1032" s="70"/>
      <c r="AI1032" s="70"/>
    </row>
    <row r="1033" spans="1:35" ht="15">
      <c r="A1033" s="70"/>
      <c r="B1033" s="70"/>
      <c r="C1033" s="70"/>
      <c r="D1033" s="77"/>
      <c r="E1033" s="77"/>
      <c r="F1033" s="84"/>
      <c r="G1033" s="77"/>
      <c r="H1033" s="84"/>
      <c r="I1033" s="70"/>
      <c r="J1033" s="70"/>
      <c r="K1033" s="70"/>
      <c r="L1033" s="70"/>
      <c r="M1033" s="70"/>
      <c r="N1033" s="70"/>
      <c r="O1033" s="70"/>
      <c r="P1033" s="70"/>
      <c r="Q1033" s="70"/>
      <c r="R1033" s="70"/>
      <c r="S1033" s="85"/>
      <c r="T1033" s="70"/>
      <c r="U1033" s="70"/>
      <c r="V1033" s="70"/>
      <c r="W1033" s="70"/>
      <c r="X1033" s="70"/>
      <c r="Y1033" s="70"/>
      <c r="Z1033" s="70"/>
      <c r="AA1033" s="70"/>
      <c r="AB1033" s="70"/>
      <c r="AC1033" s="70"/>
      <c r="AD1033" s="70"/>
      <c r="AE1033" s="70"/>
      <c r="AF1033" s="70"/>
      <c r="AG1033" s="70"/>
      <c r="AH1033" s="70"/>
      <c r="AI1033" s="70"/>
    </row>
    <row r="1034" spans="1:35" ht="15">
      <c r="A1034" s="70"/>
      <c r="B1034" s="70"/>
      <c r="C1034" s="70"/>
      <c r="D1034" s="77"/>
      <c r="E1034" s="77"/>
      <c r="F1034" s="84"/>
      <c r="G1034" s="77"/>
      <c r="H1034" s="84"/>
      <c r="I1034" s="70"/>
      <c r="J1034" s="70"/>
      <c r="K1034" s="70"/>
      <c r="L1034" s="70"/>
      <c r="M1034" s="70"/>
      <c r="N1034" s="70"/>
      <c r="O1034" s="70"/>
      <c r="P1034" s="70"/>
      <c r="Q1034" s="70"/>
      <c r="R1034" s="70"/>
      <c r="S1034" s="85"/>
      <c r="T1034" s="70"/>
      <c r="U1034" s="70"/>
      <c r="V1034" s="70"/>
      <c r="W1034" s="70"/>
      <c r="X1034" s="70"/>
      <c r="Y1034" s="70"/>
      <c r="Z1034" s="70"/>
      <c r="AA1034" s="70"/>
      <c r="AB1034" s="70"/>
      <c r="AC1034" s="70"/>
      <c r="AD1034" s="70"/>
      <c r="AE1034" s="70"/>
      <c r="AF1034" s="70"/>
      <c r="AG1034" s="70"/>
      <c r="AH1034" s="70"/>
      <c r="AI1034" s="70"/>
    </row>
    <row r="1035" spans="1:35" ht="15">
      <c r="A1035" s="70"/>
      <c r="B1035" s="70"/>
      <c r="C1035" s="70"/>
      <c r="D1035" s="77"/>
      <c r="E1035" s="77"/>
      <c r="F1035" s="84"/>
      <c r="G1035" s="77"/>
      <c r="H1035" s="84"/>
      <c r="I1035" s="70"/>
      <c r="J1035" s="70"/>
      <c r="K1035" s="70"/>
      <c r="L1035" s="70"/>
      <c r="M1035" s="70"/>
      <c r="N1035" s="70"/>
      <c r="O1035" s="70"/>
      <c r="P1035" s="70"/>
      <c r="Q1035" s="70"/>
      <c r="R1035" s="70"/>
      <c r="S1035" s="85"/>
      <c r="T1035" s="70"/>
      <c r="U1035" s="70"/>
      <c r="V1035" s="70"/>
      <c r="W1035" s="70"/>
      <c r="X1035" s="70"/>
      <c r="Y1035" s="70"/>
      <c r="Z1035" s="70"/>
      <c r="AA1035" s="70"/>
      <c r="AB1035" s="70"/>
      <c r="AC1035" s="70"/>
      <c r="AD1035" s="70"/>
      <c r="AE1035" s="70"/>
      <c r="AF1035" s="70"/>
      <c r="AG1035" s="70"/>
      <c r="AH1035" s="70"/>
      <c r="AI1035" s="70"/>
    </row>
    <row r="1036" spans="1:35" ht="15">
      <c r="A1036" s="70"/>
      <c r="B1036" s="70"/>
      <c r="C1036" s="70"/>
      <c r="D1036" s="77"/>
      <c r="E1036" s="77"/>
      <c r="F1036" s="84"/>
      <c r="G1036" s="77"/>
      <c r="H1036" s="84"/>
      <c r="I1036" s="70"/>
      <c r="J1036" s="70"/>
      <c r="K1036" s="70"/>
      <c r="L1036" s="70"/>
      <c r="M1036" s="70"/>
      <c r="N1036" s="70"/>
      <c r="O1036" s="70"/>
      <c r="P1036" s="70"/>
      <c r="Q1036" s="70"/>
      <c r="R1036" s="70"/>
      <c r="S1036" s="85"/>
      <c r="T1036" s="70"/>
      <c r="U1036" s="70"/>
      <c r="V1036" s="70"/>
      <c r="W1036" s="70"/>
      <c r="X1036" s="70"/>
      <c r="Y1036" s="70"/>
      <c r="Z1036" s="70"/>
      <c r="AA1036" s="70"/>
      <c r="AB1036" s="70"/>
      <c r="AC1036" s="70"/>
      <c r="AD1036" s="70"/>
      <c r="AE1036" s="70"/>
      <c r="AF1036" s="70"/>
      <c r="AG1036" s="70"/>
      <c r="AH1036" s="70"/>
      <c r="AI1036" s="70"/>
    </row>
    <row r="1037" spans="1:35" ht="15">
      <c r="A1037" s="70"/>
      <c r="B1037" s="70"/>
      <c r="C1037" s="70"/>
      <c r="D1037" s="77"/>
      <c r="E1037" s="77"/>
      <c r="F1037" s="84"/>
      <c r="G1037" s="77"/>
      <c r="H1037" s="84"/>
      <c r="I1037" s="70"/>
      <c r="J1037" s="70"/>
      <c r="K1037" s="70"/>
      <c r="L1037" s="70"/>
      <c r="M1037" s="70"/>
      <c r="N1037" s="70"/>
      <c r="O1037" s="70"/>
      <c r="P1037" s="70"/>
      <c r="Q1037" s="70"/>
      <c r="R1037" s="70"/>
      <c r="S1037" s="85"/>
      <c r="T1037" s="70"/>
      <c r="U1037" s="70"/>
      <c r="V1037" s="70"/>
      <c r="W1037" s="70"/>
      <c r="X1037" s="70"/>
      <c r="Y1037" s="70"/>
      <c r="Z1037" s="70"/>
      <c r="AA1037" s="70"/>
      <c r="AB1037" s="70"/>
      <c r="AC1037" s="70"/>
      <c r="AD1037" s="70"/>
      <c r="AE1037" s="70"/>
      <c r="AF1037" s="70"/>
      <c r="AG1037" s="70"/>
      <c r="AH1037" s="70"/>
      <c r="AI1037" s="70"/>
    </row>
    <row r="1038" spans="1:35" ht="15">
      <c r="A1038" s="70"/>
      <c r="B1038" s="70"/>
      <c r="C1038" s="70"/>
      <c r="D1038" s="77"/>
      <c r="E1038" s="77"/>
      <c r="F1038" s="84"/>
      <c r="G1038" s="77"/>
      <c r="H1038" s="84"/>
      <c r="I1038" s="70"/>
      <c r="J1038" s="70"/>
      <c r="K1038" s="70"/>
      <c r="L1038" s="70"/>
      <c r="M1038" s="70"/>
      <c r="N1038" s="70"/>
      <c r="O1038" s="70"/>
      <c r="P1038" s="70"/>
      <c r="Q1038" s="70"/>
      <c r="R1038" s="70"/>
      <c r="S1038" s="85"/>
      <c r="T1038" s="70"/>
      <c r="U1038" s="70"/>
      <c r="V1038" s="70"/>
      <c r="W1038" s="70"/>
      <c r="X1038" s="70"/>
      <c r="Y1038" s="70"/>
      <c r="Z1038" s="70"/>
      <c r="AA1038" s="70"/>
      <c r="AB1038" s="70"/>
      <c r="AC1038" s="70"/>
      <c r="AD1038" s="70"/>
      <c r="AE1038" s="70"/>
      <c r="AF1038" s="70"/>
      <c r="AG1038" s="70"/>
      <c r="AH1038" s="70"/>
      <c r="AI1038" s="70"/>
    </row>
    <row r="1039" spans="1:35" ht="15">
      <c r="A1039" s="70"/>
      <c r="B1039" s="70"/>
      <c r="C1039" s="70"/>
      <c r="D1039" s="77"/>
      <c r="E1039" s="77"/>
      <c r="F1039" s="84"/>
      <c r="G1039" s="77"/>
      <c r="H1039" s="84"/>
      <c r="I1039" s="70"/>
      <c r="J1039" s="70"/>
      <c r="K1039" s="70"/>
      <c r="L1039" s="70"/>
      <c r="M1039" s="70"/>
      <c r="N1039" s="70"/>
      <c r="O1039" s="70"/>
      <c r="P1039" s="70"/>
      <c r="Q1039" s="70"/>
      <c r="R1039" s="70"/>
      <c r="S1039" s="85"/>
      <c r="T1039" s="70"/>
      <c r="U1039" s="70"/>
      <c r="V1039" s="70"/>
      <c r="W1039" s="70"/>
      <c r="X1039" s="70"/>
      <c r="Y1039" s="70"/>
      <c r="Z1039" s="70"/>
      <c r="AA1039" s="70"/>
      <c r="AB1039" s="70"/>
      <c r="AC1039" s="70"/>
      <c r="AD1039" s="70"/>
      <c r="AE1039" s="70"/>
      <c r="AF1039" s="70"/>
      <c r="AG1039" s="70"/>
      <c r="AH1039" s="70"/>
      <c r="AI1039" s="70"/>
    </row>
    <row r="1040" spans="1:35" ht="15">
      <c r="A1040" s="70"/>
      <c r="B1040" s="70"/>
      <c r="C1040" s="70"/>
      <c r="D1040" s="77"/>
      <c r="E1040" s="77"/>
      <c r="F1040" s="84"/>
      <c r="G1040" s="77"/>
      <c r="H1040" s="84"/>
      <c r="I1040" s="70"/>
      <c r="J1040" s="70"/>
      <c r="K1040" s="70"/>
      <c r="L1040" s="70"/>
      <c r="M1040" s="70"/>
      <c r="N1040" s="70"/>
      <c r="O1040" s="70"/>
      <c r="P1040" s="70"/>
      <c r="Q1040" s="70"/>
      <c r="R1040" s="70"/>
      <c r="S1040" s="85"/>
      <c r="T1040" s="70"/>
      <c r="U1040" s="70"/>
      <c r="V1040" s="70"/>
      <c r="W1040" s="70"/>
      <c r="X1040" s="70"/>
      <c r="Y1040" s="70"/>
      <c r="Z1040" s="70"/>
      <c r="AA1040" s="70"/>
      <c r="AB1040" s="70"/>
      <c r="AC1040" s="70"/>
      <c r="AD1040" s="70"/>
      <c r="AE1040" s="70"/>
      <c r="AF1040" s="70"/>
      <c r="AG1040" s="70"/>
      <c r="AH1040" s="70"/>
      <c r="AI1040" s="70"/>
    </row>
    <row r="1041" spans="1:35" ht="15">
      <c r="A1041" s="70"/>
      <c r="B1041" s="70"/>
      <c r="C1041" s="70"/>
      <c r="D1041" s="77"/>
      <c r="E1041" s="77"/>
      <c r="F1041" s="84"/>
      <c r="G1041" s="77"/>
      <c r="H1041" s="84"/>
      <c r="I1041" s="70"/>
      <c r="J1041" s="70"/>
      <c r="K1041" s="70"/>
      <c r="L1041" s="70"/>
      <c r="M1041" s="70"/>
      <c r="N1041" s="70"/>
      <c r="O1041" s="70"/>
      <c r="P1041" s="70"/>
      <c r="Q1041" s="70"/>
      <c r="R1041" s="70"/>
      <c r="S1041" s="85"/>
      <c r="T1041" s="70"/>
      <c r="U1041" s="70"/>
      <c r="V1041" s="70"/>
      <c r="W1041" s="70"/>
      <c r="X1041" s="70"/>
      <c r="Y1041" s="70"/>
      <c r="Z1041" s="70"/>
      <c r="AA1041" s="70"/>
      <c r="AB1041" s="70"/>
      <c r="AC1041" s="70"/>
      <c r="AD1041" s="70"/>
      <c r="AE1041" s="70"/>
      <c r="AF1041" s="70"/>
      <c r="AG1041" s="70"/>
      <c r="AH1041" s="70"/>
      <c r="AI1041" s="70"/>
    </row>
  </sheetData>
  <autoFilter ref="A3:AI507"/>
  <customSheetViews>
    <customSheetView guid="{7AC71A28-8353-4463-A205-B23B34754A54}" filter="1" showAutoFilter="1">
      <pageMargins left="0.7" right="0.7" top="0.75" bottom="0.75" header="0.3" footer="0.3"/>
      <autoFilter ref="A3:AB441"/>
    </customSheetView>
  </customSheetViews>
  <mergeCells count="4">
    <mergeCell ref="A1:T1"/>
    <mergeCell ref="A2:K2"/>
    <mergeCell ref="L2:R2"/>
    <mergeCell ref="S2:T2"/>
  </mergeCells>
  <conditionalFormatting sqref="D71:D77">
    <cfRule type="notContainsBlanks" dxfId="0" priority="1">
      <formula>LEN(TRIM(D71))&gt;0</formula>
    </cfRule>
  </conditionalFormatting>
  <hyperlinks>
    <hyperlink ref="U115" r:id="rId1"/>
    <hyperlink ref="U119" r:id="rId2"/>
    <hyperlink ref="U121" r:id="rId3" location="gid=651401555"/>
    <hyperlink ref="U131" r:id="rId4"/>
    <hyperlink ref="U133" r:id="rId5"/>
    <hyperlink ref="U134" r:id="rId6"/>
  </hyperlinks>
  <pageMargins left="0.7" right="0.7" top="0.75" bottom="0.75" header="0" footer="0"/>
  <pageSetup scale="18" orientation="landscape" r:id="rId7"/>
  <colBreaks count="1" manualBreakCount="1">
    <brk id="21" max="1048575" man="1"/>
  </colBreaks>
  <extLst>
    <ext xmlns:x14="http://schemas.microsoft.com/office/spreadsheetml/2009/9/main" uri="{CCE6A557-97BC-4b89-ADB6-D9C93CAAB3DF}">
      <x14:dataValidations xmlns:xm="http://schemas.microsoft.com/office/excel/2006/main" count="9">
        <x14:dataValidation type="list" allowBlank="1">
          <x14:formula1>
            <xm:f>Meses!$A$1:$A$13</xm:f>
          </x14:formula1>
          <xm:sqref>K4:K1041</xm:sqref>
        </x14:dataValidation>
        <x14:dataValidation type="list" allowBlank="1" showErrorMessage="1">
          <x14:formula1>
            <xm:f>Procesos!$B$2:$B$22</xm:f>
          </x14:formula1>
          <xm:sqref>Q4:Q1041</xm:sqref>
        </x14:dataValidation>
        <x14:dataValidation type="list" allowBlank="1">
          <x14:formula1>
            <xm:f>Meses!$A$1:$A$12</xm:f>
          </x14:formula1>
          <xm:sqref>T4:T1041</xm:sqref>
        </x14:dataValidation>
        <x14:dataValidation type="list" allowBlank="1" showErrorMessage="1">
          <x14:formula1>
            <xm:f>MIPG!$B$2:$B$20</xm:f>
          </x14:formula1>
          <xm:sqref>O4:O1041</xm:sqref>
        </x14:dataValidation>
        <x14:dataValidation type="list" allowBlank="1" showErrorMessage="1">
          <x14:formula1>
            <xm:f>'Área y Dependencia'!$A$2:$A$19</xm:f>
          </x14:formula1>
          <xm:sqref>A4:A1041</xm:sqref>
        </x14:dataValidation>
        <x14:dataValidation type="list" allowBlank="1" showErrorMessage="1">
          <x14:formula1>
            <xm:f>'Proyectos de Inversión'!$A$2:$A$9</xm:f>
          </x14:formula1>
          <xm:sqref>M4:M1041</xm:sqref>
        </x14:dataValidation>
        <x14:dataValidation type="list" allowBlank="1" showErrorMessage="1">
          <x14:formula1>
            <xm:f>'Objetivos Estratégicos'!$A$2:$A$5</xm:f>
          </x14:formula1>
          <xm:sqref>P4:P1041</xm:sqref>
        </x14:dataValidation>
        <x14:dataValidation type="list" allowBlank="1" showErrorMessage="1">
          <x14:formula1>
            <xm:f>'Planes Institucionales'!$A$2:$A$14</xm:f>
          </x14:formula1>
          <xm:sqref>R4:R1041</xm:sqref>
        </x14:dataValidation>
        <x14:dataValidation type="list" allowBlank="1" showErrorMessage="1">
          <x14:formula1>
            <xm:f>MIPG!$A$2:$A$9</xm:f>
          </x14:formula1>
          <xm:sqref>N4:N1041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6"/>
  <sheetViews>
    <sheetView workbookViewId="0"/>
  </sheetViews>
  <sheetFormatPr baseColWidth="10" defaultColWidth="12.625" defaultRowHeight="15" customHeight="1"/>
  <cols>
    <col min="1" max="1" width="5.875" customWidth="1"/>
    <col min="2" max="2" width="55.375" customWidth="1"/>
    <col min="3" max="3" width="67.25" customWidth="1"/>
    <col min="4" max="4" width="25.375" customWidth="1"/>
    <col min="5" max="6" width="10" customWidth="1"/>
    <col min="7" max="26" width="9.375" customWidth="1"/>
  </cols>
  <sheetData>
    <row r="1" spans="1:26">
      <c r="A1" s="12"/>
      <c r="B1" s="13" t="s">
        <v>1222</v>
      </c>
      <c r="C1" s="14" t="s">
        <v>1223</v>
      </c>
      <c r="D1" s="12"/>
      <c r="E1" s="12"/>
      <c r="F1" s="12"/>
      <c r="G1" s="12"/>
      <c r="H1" s="12"/>
      <c r="I1" s="12"/>
      <c r="J1" s="12"/>
      <c r="K1" s="12"/>
      <c r="L1" s="12"/>
      <c r="M1" s="12"/>
      <c r="N1" s="12"/>
      <c r="O1" s="12"/>
      <c r="P1" s="12"/>
      <c r="Q1" s="12"/>
      <c r="R1" s="12"/>
      <c r="S1" s="12"/>
      <c r="T1" s="12"/>
      <c r="U1" s="12"/>
      <c r="V1" s="12"/>
      <c r="W1" s="12"/>
      <c r="X1" s="12"/>
      <c r="Y1" s="12"/>
      <c r="Z1" s="12"/>
    </row>
    <row r="2" spans="1:26" ht="30">
      <c r="A2" s="125" t="s">
        <v>2</v>
      </c>
      <c r="B2" s="15" t="s">
        <v>15</v>
      </c>
      <c r="C2" s="16" t="s">
        <v>1224</v>
      </c>
      <c r="D2" s="12"/>
      <c r="E2" s="12"/>
      <c r="H2" s="12"/>
      <c r="I2" s="12"/>
      <c r="J2" s="12"/>
      <c r="K2" s="12"/>
      <c r="L2" s="12"/>
      <c r="M2" s="12"/>
      <c r="N2" s="12"/>
      <c r="O2" s="12"/>
      <c r="P2" s="12"/>
      <c r="Q2" s="12"/>
      <c r="R2" s="12"/>
      <c r="S2" s="12"/>
      <c r="T2" s="12"/>
      <c r="U2" s="12"/>
      <c r="V2" s="12"/>
      <c r="W2" s="12"/>
      <c r="X2" s="12"/>
      <c r="Y2" s="12"/>
      <c r="Z2" s="12"/>
    </row>
    <row r="3" spans="1:26" ht="60">
      <c r="A3" s="126"/>
      <c r="B3" s="17" t="s">
        <v>16</v>
      </c>
      <c r="C3" s="18" t="s">
        <v>1225</v>
      </c>
      <c r="D3" s="12"/>
      <c r="E3" s="12"/>
      <c r="H3" s="12"/>
      <c r="I3" s="12"/>
      <c r="J3" s="12"/>
      <c r="K3" s="12"/>
      <c r="L3" s="12"/>
      <c r="M3" s="12"/>
      <c r="N3" s="12"/>
      <c r="O3" s="12"/>
      <c r="P3" s="12"/>
      <c r="Q3" s="12"/>
      <c r="R3" s="12"/>
      <c r="S3" s="12"/>
      <c r="T3" s="12"/>
      <c r="U3" s="12"/>
      <c r="V3" s="12"/>
      <c r="W3" s="12"/>
      <c r="X3" s="12"/>
      <c r="Y3" s="12"/>
      <c r="Z3" s="12"/>
    </row>
    <row r="4" spans="1:26" ht="30">
      <c r="A4" s="126"/>
      <c r="B4" s="17" t="s">
        <v>17</v>
      </c>
      <c r="C4" s="18" t="s">
        <v>1226</v>
      </c>
      <c r="D4" s="12"/>
      <c r="E4" s="12"/>
      <c r="H4" s="12"/>
      <c r="I4" s="12"/>
      <c r="J4" s="12"/>
      <c r="K4" s="12"/>
      <c r="L4" s="12"/>
      <c r="M4" s="12"/>
      <c r="N4" s="12"/>
      <c r="O4" s="12"/>
      <c r="P4" s="12"/>
      <c r="Q4" s="12"/>
      <c r="R4" s="12"/>
      <c r="S4" s="12"/>
      <c r="T4" s="12"/>
      <c r="U4" s="12"/>
      <c r="V4" s="12"/>
      <c r="W4" s="12"/>
      <c r="X4" s="12"/>
      <c r="Y4" s="12"/>
      <c r="Z4" s="12"/>
    </row>
    <row r="5" spans="1:26" ht="30">
      <c r="A5" s="126"/>
      <c r="B5" s="17" t="s">
        <v>18</v>
      </c>
      <c r="C5" s="18" t="s">
        <v>1227</v>
      </c>
      <c r="D5" s="12"/>
      <c r="E5" s="12"/>
      <c r="H5" s="12"/>
      <c r="I5" s="12"/>
      <c r="J5" s="12"/>
      <c r="K5" s="12"/>
      <c r="L5" s="12"/>
      <c r="M5" s="12"/>
      <c r="N5" s="12"/>
      <c r="O5" s="12"/>
      <c r="P5" s="12"/>
      <c r="Q5" s="12"/>
      <c r="R5" s="12"/>
      <c r="S5" s="12"/>
      <c r="T5" s="12"/>
      <c r="U5" s="12"/>
      <c r="V5" s="12"/>
      <c r="W5" s="12"/>
      <c r="X5" s="12"/>
      <c r="Y5" s="12"/>
      <c r="Z5" s="12"/>
    </row>
    <row r="6" spans="1:26" ht="30">
      <c r="A6" s="126"/>
      <c r="B6" s="17" t="s">
        <v>19</v>
      </c>
      <c r="C6" s="18" t="s">
        <v>1228</v>
      </c>
      <c r="D6" s="12"/>
      <c r="E6" s="12"/>
      <c r="H6" s="12"/>
      <c r="I6" s="12"/>
      <c r="J6" s="12"/>
      <c r="K6" s="12"/>
      <c r="L6" s="12"/>
      <c r="M6" s="12"/>
      <c r="N6" s="12"/>
      <c r="O6" s="12"/>
      <c r="P6" s="12"/>
      <c r="Q6" s="12"/>
      <c r="R6" s="12"/>
      <c r="S6" s="12"/>
      <c r="T6" s="12"/>
      <c r="U6" s="12"/>
      <c r="V6" s="12"/>
      <c r="W6" s="12"/>
      <c r="X6" s="12"/>
      <c r="Y6" s="12"/>
      <c r="Z6" s="12"/>
    </row>
    <row r="7" spans="1:26" ht="30">
      <c r="A7" s="126"/>
      <c r="B7" s="17" t="s">
        <v>20</v>
      </c>
      <c r="C7" s="18" t="s">
        <v>1229</v>
      </c>
      <c r="D7" s="12"/>
      <c r="E7" s="12"/>
      <c r="H7" s="12"/>
      <c r="I7" s="12"/>
      <c r="J7" s="12"/>
      <c r="K7" s="12"/>
      <c r="L7" s="12"/>
      <c r="M7" s="12"/>
      <c r="N7" s="12"/>
      <c r="O7" s="12"/>
      <c r="P7" s="12"/>
      <c r="Q7" s="12"/>
      <c r="R7" s="12"/>
      <c r="S7" s="12"/>
      <c r="T7" s="12"/>
      <c r="U7" s="12"/>
      <c r="V7" s="12"/>
      <c r="W7" s="12"/>
      <c r="X7" s="12"/>
      <c r="Y7" s="12"/>
      <c r="Z7" s="12"/>
    </row>
    <row r="8" spans="1:26" ht="45">
      <c r="A8" s="127"/>
      <c r="B8" s="19" t="s">
        <v>21</v>
      </c>
      <c r="C8" s="20" t="s">
        <v>1230</v>
      </c>
      <c r="D8" s="12"/>
      <c r="E8" s="12"/>
      <c r="H8" s="12"/>
      <c r="I8" s="12"/>
      <c r="J8" s="12"/>
      <c r="K8" s="12"/>
      <c r="L8" s="12"/>
      <c r="M8" s="12"/>
      <c r="N8" s="12"/>
      <c r="O8" s="12"/>
      <c r="P8" s="12"/>
      <c r="Q8" s="12"/>
      <c r="R8" s="12"/>
      <c r="S8" s="12"/>
      <c r="T8" s="12"/>
      <c r="U8" s="12"/>
      <c r="V8" s="12"/>
      <c r="W8" s="12"/>
      <c r="X8" s="12"/>
      <c r="Y8" s="12"/>
      <c r="Z8" s="12"/>
    </row>
    <row r="9" spans="1:26" ht="45">
      <c r="A9" s="128" t="s">
        <v>1</v>
      </c>
      <c r="B9" s="21" t="s">
        <v>4</v>
      </c>
      <c r="C9" s="22" t="s">
        <v>1231</v>
      </c>
      <c r="D9" s="12"/>
      <c r="E9" s="12"/>
      <c r="H9" s="12"/>
      <c r="I9" s="12"/>
      <c r="J9" s="12"/>
      <c r="K9" s="12"/>
      <c r="L9" s="12"/>
      <c r="M9" s="12"/>
      <c r="N9" s="12"/>
      <c r="O9" s="12"/>
      <c r="P9" s="12"/>
      <c r="Q9" s="12"/>
      <c r="R9" s="12"/>
      <c r="S9" s="12"/>
      <c r="T9" s="12"/>
      <c r="U9" s="12"/>
      <c r="V9" s="12"/>
      <c r="W9" s="12"/>
      <c r="X9" s="12"/>
      <c r="Y9" s="12"/>
      <c r="Z9" s="12"/>
    </row>
    <row r="10" spans="1:26" ht="30">
      <c r="A10" s="126"/>
      <c r="B10" s="21" t="s">
        <v>5</v>
      </c>
      <c r="C10" s="22" t="s">
        <v>1232</v>
      </c>
      <c r="D10" s="12"/>
      <c r="E10" s="12"/>
      <c r="H10" s="12"/>
      <c r="I10" s="12"/>
      <c r="J10" s="12"/>
      <c r="K10" s="12"/>
      <c r="L10" s="12"/>
      <c r="M10" s="12"/>
      <c r="N10" s="12"/>
      <c r="O10" s="12"/>
      <c r="P10" s="12"/>
      <c r="Q10" s="12"/>
      <c r="R10" s="12"/>
      <c r="S10" s="12"/>
      <c r="T10" s="12"/>
      <c r="U10" s="12"/>
      <c r="V10" s="12"/>
      <c r="W10" s="12"/>
      <c r="X10" s="12"/>
      <c r="Y10" s="12"/>
      <c r="Z10" s="12"/>
    </row>
    <row r="11" spans="1:26" ht="135">
      <c r="A11" s="126"/>
      <c r="B11" s="21" t="s">
        <v>6</v>
      </c>
      <c r="C11" s="23" t="s">
        <v>1233</v>
      </c>
      <c r="D11" s="24"/>
      <c r="E11" s="12"/>
      <c r="H11" s="12"/>
      <c r="I11" s="12"/>
      <c r="J11" s="12"/>
      <c r="K11" s="12"/>
      <c r="L11" s="12"/>
      <c r="M11" s="12"/>
      <c r="N11" s="12"/>
      <c r="O11" s="12"/>
      <c r="P11" s="12"/>
      <c r="Q11" s="12"/>
      <c r="R11" s="12"/>
      <c r="S11" s="12"/>
      <c r="T11" s="12"/>
      <c r="U11" s="12"/>
      <c r="V11" s="12"/>
      <c r="W11" s="12"/>
      <c r="X11" s="12"/>
      <c r="Y11" s="12"/>
      <c r="Z11" s="12"/>
    </row>
    <row r="12" spans="1:26">
      <c r="A12" s="126"/>
      <c r="B12" s="21" t="s">
        <v>7</v>
      </c>
      <c r="E12" s="12"/>
      <c r="H12" s="12"/>
      <c r="I12" s="12"/>
      <c r="J12" s="12"/>
      <c r="K12" s="12"/>
      <c r="L12" s="12"/>
      <c r="M12" s="12"/>
      <c r="N12" s="12"/>
      <c r="O12" s="12"/>
      <c r="P12" s="12"/>
      <c r="Q12" s="12"/>
      <c r="R12" s="12"/>
      <c r="S12" s="12"/>
      <c r="T12" s="12"/>
      <c r="U12" s="12"/>
      <c r="V12" s="12"/>
      <c r="W12" s="12"/>
      <c r="X12" s="12"/>
      <c r="Y12" s="12"/>
      <c r="Z12" s="12"/>
    </row>
    <row r="13" spans="1:26" ht="45">
      <c r="A13" s="126"/>
      <c r="B13" s="25" t="s">
        <v>8</v>
      </c>
      <c r="C13" s="23" t="s">
        <v>1234</v>
      </c>
      <c r="D13" s="24"/>
      <c r="E13" s="12"/>
      <c r="H13" s="12"/>
      <c r="I13" s="12"/>
      <c r="J13" s="12"/>
      <c r="K13" s="12"/>
      <c r="L13" s="12"/>
      <c r="M13" s="12"/>
      <c r="N13" s="12"/>
      <c r="O13" s="12"/>
      <c r="P13" s="12"/>
      <c r="Q13" s="12"/>
      <c r="R13" s="12"/>
      <c r="S13" s="12"/>
      <c r="T13" s="12"/>
      <c r="U13" s="12"/>
      <c r="V13" s="12"/>
      <c r="W13" s="12"/>
      <c r="X13" s="12"/>
      <c r="Y13" s="12"/>
      <c r="Z13" s="12"/>
    </row>
    <row r="14" spans="1:26" ht="90">
      <c r="A14" s="126"/>
      <c r="B14" s="21" t="s">
        <v>9</v>
      </c>
      <c r="C14" s="23" t="s">
        <v>1235</v>
      </c>
      <c r="D14" s="24"/>
      <c r="E14" s="12"/>
      <c r="H14" s="12"/>
      <c r="I14" s="12"/>
      <c r="J14" s="12"/>
      <c r="K14" s="12"/>
      <c r="L14" s="12"/>
      <c r="M14" s="12"/>
      <c r="N14" s="12"/>
      <c r="O14" s="12"/>
      <c r="P14" s="12"/>
      <c r="Q14" s="12"/>
      <c r="R14" s="12"/>
      <c r="S14" s="12"/>
      <c r="T14" s="12"/>
      <c r="U14" s="12"/>
      <c r="V14" s="12"/>
      <c r="W14" s="12"/>
      <c r="X14" s="12"/>
      <c r="Y14" s="12"/>
      <c r="Z14" s="12"/>
    </row>
    <row r="15" spans="1:26" ht="75">
      <c r="A15" s="126"/>
      <c r="B15" s="21" t="s">
        <v>10</v>
      </c>
      <c r="C15" s="23" t="s">
        <v>1236</v>
      </c>
      <c r="E15" s="12"/>
      <c r="H15" s="12"/>
      <c r="I15" s="12"/>
      <c r="J15" s="12"/>
      <c r="K15" s="12"/>
      <c r="L15" s="12"/>
      <c r="M15" s="12"/>
      <c r="N15" s="12"/>
      <c r="O15" s="12"/>
      <c r="P15" s="12"/>
      <c r="Q15" s="12"/>
      <c r="R15" s="12"/>
      <c r="S15" s="12"/>
      <c r="T15" s="12"/>
      <c r="U15" s="12"/>
      <c r="V15" s="12"/>
      <c r="W15" s="12"/>
      <c r="X15" s="12"/>
      <c r="Y15" s="12"/>
      <c r="Z15" s="12"/>
    </row>
    <row r="16" spans="1:26" ht="30">
      <c r="A16" s="126"/>
      <c r="B16" s="21" t="s">
        <v>11</v>
      </c>
      <c r="C16" s="22" t="s">
        <v>1237</v>
      </c>
      <c r="D16" s="24"/>
      <c r="E16" s="12"/>
      <c r="H16" s="12"/>
      <c r="I16" s="12"/>
      <c r="J16" s="12"/>
      <c r="K16" s="12"/>
      <c r="L16" s="12"/>
      <c r="M16" s="12"/>
      <c r="N16" s="12"/>
      <c r="O16" s="12"/>
      <c r="P16" s="12"/>
      <c r="Q16" s="12"/>
      <c r="R16" s="12"/>
      <c r="S16" s="12"/>
      <c r="T16" s="12"/>
      <c r="U16" s="12"/>
      <c r="V16" s="12"/>
      <c r="W16" s="12"/>
      <c r="X16" s="12"/>
      <c r="Y16" s="12"/>
      <c r="Z16" s="12"/>
    </row>
    <row r="17" spans="1:26" ht="60">
      <c r="A17" s="126"/>
      <c r="B17" s="21" t="s">
        <v>1238</v>
      </c>
      <c r="C17" s="23" t="s">
        <v>1239</v>
      </c>
      <c r="D17" s="26" t="s">
        <v>1240</v>
      </c>
      <c r="E17" s="12"/>
      <c r="H17" s="12"/>
      <c r="I17" s="12"/>
      <c r="J17" s="12"/>
      <c r="K17" s="12"/>
      <c r="L17" s="12"/>
      <c r="M17" s="12"/>
      <c r="N17" s="12"/>
      <c r="O17" s="12"/>
      <c r="P17" s="12"/>
      <c r="Q17" s="12"/>
      <c r="R17" s="12"/>
      <c r="S17" s="12"/>
      <c r="T17" s="12"/>
      <c r="U17" s="12"/>
      <c r="V17" s="12"/>
      <c r="W17" s="12"/>
      <c r="X17" s="12"/>
      <c r="Y17" s="12"/>
      <c r="Z17" s="12"/>
    </row>
    <row r="18" spans="1:26" ht="60">
      <c r="A18" s="126"/>
      <c r="B18" s="21" t="s">
        <v>13</v>
      </c>
      <c r="C18" s="22" t="s">
        <v>1241</v>
      </c>
      <c r="D18" s="12"/>
      <c r="E18" s="12"/>
      <c r="H18" s="12"/>
      <c r="I18" s="12"/>
      <c r="J18" s="12"/>
      <c r="K18" s="12"/>
      <c r="L18" s="12"/>
      <c r="M18" s="12"/>
      <c r="N18" s="12"/>
      <c r="O18" s="12"/>
      <c r="P18" s="12"/>
      <c r="Q18" s="12"/>
      <c r="R18" s="12"/>
      <c r="S18" s="12"/>
      <c r="T18" s="12"/>
      <c r="U18" s="12"/>
      <c r="V18" s="12"/>
      <c r="W18" s="12"/>
      <c r="X18" s="12"/>
      <c r="Y18" s="12"/>
      <c r="Z18" s="12"/>
    </row>
    <row r="19" spans="1:26" ht="30">
      <c r="A19" s="127"/>
      <c r="B19" s="21" t="s">
        <v>14</v>
      </c>
      <c r="C19" s="27" t="s">
        <v>1242</v>
      </c>
      <c r="D19" s="12"/>
      <c r="E19" s="12"/>
      <c r="H19" s="12"/>
      <c r="I19" s="12"/>
      <c r="J19" s="12"/>
      <c r="K19" s="12"/>
      <c r="L19" s="12"/>
      <c r="M19" s="12"/>
      <c r="N19" s="12"/>
      <c r="O19" s="12"/>
      <c r="P19" s="12"/>
      <c r="Q19" s="12"/>
      <c r="R19" s="12"/>
      <c r="S19" s="12"/>
      <c r="T19" s="12"/>
      <c r="U19" s="12"/>
      <c r="V19" s="12"/>
      <c r="W19" s="12"/>
      <c r="X19" s="12"/>
      <c r="Y19" s="12"/>
      <c r="Z19" s="12"/>
    </row>
    <row r="20" spans="1:26" ht="15.75" customHeight="1">
      <c r="A20" s="129" t="s">
        <v>3</v>
      </c>
      <c r="B20" s="28" t="s">
        <v>22</v>
      </c>
      <c r="C20" s="29" t="s">
        <v>1243</v>
      </c>
      <c r="D20" s="12"/>
      <c r="E20" s="12"/>
      <c r="H20" s="12"/>
      <c r="I20" s="12"/>
      <c r="J20" s="12"/>
      <c r="K20" s="12"/>
      <c r="L20" s="12"/>
      <c r="M20" s="12"/>
      <c r="N20" s="12"/>
      <c r="O20" s="12"/>
      <c r="P20" s="12"/>
      <c r="Q20" s="12"/>
      <c r="R20" s="12"/>
      <c r="S20" s="12"/>
      <c r="T20" s="12"/>
      <c r="U20" s="12"/>
      <c r="V20" s="12"/>
      <c r="W20" s="12"/>
      <c r="X20" s="12"/>
      <c r="Y20" s="12"/>
      <c r="Z20" s="12"/>
    </row>
    <row r="21" spans="1:26" ht="15.75" customHeight="1">
      <c r="A21" s="130"/>
      <c r="B21" s="28" t="s">
        <v>23</v>
      </c>
      <c r="C21" s="29" t="s">
        <v>1244</v>
      </c>
      <c r="D21" s="12"/>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c r="A22" s="12"/>
      <c r="B22" s="12"/>
      <c r="C22" s="11"/>
      <c r="D22" s="12"/>
      <c r="E22" s="12"/>
      <c r="F22" s="12"/>
      <c r="G22" s="12"/>
      <c r="H22" s="12"/>
      <c r="I22" s="12"/>
      <c r="J22" s="12"/>
      <c r="K22" s="12"/>
      <c r="L22" s="12"/>
      <c r="M22" s="12"/>
      <c r="N22" s="12"/>
      <c r="O22" s="12"/>
      <c r="P22" s="12"/>
      <c r="Q22" s="12"/>
      <c r="R22" s="12"/>
      <c r="S22" s="12"/>
      <c r="T22" s="12"/>
      <c r="U22" s="12"/>
      <c r="V22" s="12"/>
      <c r="W22" s="12"/>
      <c r="X22" s="12"/>
      <c r="Y22" s="12"/>
      <c r="Z22" s="12"/>
    </row>
    <row r="23" spans="1:26" ht="15.75" customHeight="1">
      <c r="A23" s="12"/>
      <c r="B23" s="12"/>
      <c r="C23" s="11"/>
      <c r="D23" s="12"/>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c r="A24" s="12"/>
      <c r="B24" s="12"/>
      <c r="C24" s="11"/>
      <c r="D24" s="12"/>
      <c r="E24" s="12"/>
      <c r="F24" s="12"/>
      <c r="G24" s="12"/>
      <c r="H24" s="12"/>
      <c r="I24" s="12"/>
      <c r="J24" s="12"/>
      <c r="K24" s="12"/>
      <c r="L24" s="12"/>
      <c r="M24" s="12"/>
      <c r="N24" s="12"/>
      <c r="O24" s="12"/>
      <c r="P24" s="12"/>
      <c r="Q24" s="12"/>
      <c r="R24" s="12"/>
      <c r="S24" s="12"/>
      <c r="T24" s="12"/>
      <c r="U24" s="12"/>
      <c r="V24" s="12"/>
      <c r="W24" s="12"/>
      <c r="X24" s="12"/>
      <c r="Y24" s="12"/>
      <c r="Z24" s="12"/>
    </row>
    <row r="25" spans="1:26" ht="15.75" customHeight="1">
      <c r="A25" s="12"/>
      <c r="B25" s="12"/>
      <c r="C25" s="11"/>
      <c r="D25" s="12"/>
      <c r="E25" s="12"/>
      <c r="F25" s="12"/>
      <c r="G25" s="12"/>
      <c r="H25" s="12"/>
      <c r="I25" s="12"/>
      <c r="J25" s="12"/>
      <c r="K25" s="12"/>
      <c r="L25" s="12"/>
      <c r="M25" s="12"/>
      <c r="N25" s="12"/>
      <c r="O25" s="12"/>
      <c r="P25" s="12"/>
      <c r="Q25" s="12"/>
      <c r="R25" s="12"/>
      <c r="S25" s="12"/>
      <c r="T25" s="12"/>
      <c r="U25" s="12"/>
      <c r="V25" s="12"/>
      <c r="W25" s="12"/>
      <c r="X25" s="12"/>
      <c r="Y25" s="12"/>
      <c r="Z25" s="12"/>
    </row>
    <row r="26" spans="1:26" ht="15.75" customHeight="1">
      <c r="A26" s="12"/>
      <c r="B26" s="12"/>
      <c r="C26" s="11"/>
      <c r="D26" s="12"/>
      <c r="E26" s="12"/>
      <c r="F26" s="12"/>
      <c r="G26" s="12"/>
      <c r="H26" s="12"/>
      <c r="I26" s="12"/>
      <c r="J26" s="12"/>
      <c r="K26" s="12"/>
      <c r="L26" s="12"/>
      <c r="M26" s="12"/>
      <c r="N26" s="12"/>
      <c r="O26" s="12"/>
      <c r="P26" s="12"/>
      <c r="Q26" s="12"/>
      <c r="R26" s="12"/>
      <c r="S26" s="12"/>
      <c r="T26" s="12"/>
      <c r="U26" s="12"/>
      <c r="V26" s="12"/>
      <c r="W26" s="12"/>
      <c r="X26" s="12"/>
      <c r="Y26" s="12"/>
      <c r="Z26" s="12"/>
    </row>
    <row r="27" spans="1:26" ht="15.75" customHeight="1">
      <c r="A27" s="12"/>
      <c r="B27" s="12"/>
      <c r="C27" s="11"/>
      <c r="D27" s="12"/>
      <c r="E27" s="12"/>
      <c r="F27" s="12"/>
      <c r="G27" s="12"/>
      <c r="H27" s="12"/>
      <c r="I27" s="12"/>
      <c r="J27" s="12"/>
      <c r="K27" s="12"/>
      <c r="L27" s="12"/>
      <c r="M27" s="12"/>
      <c r="N27" s="12"/>
      <c r="O27" s="12"/>
      <c r="P27" s="12"/>
      <c r="Q27" s="12"/>
      <c r="R27" s="12"/>
      <c r="S27" s="12"/>
      <c r="T27" s="12"/>
      <c r="U27" s="12"/>
      <c r="V27" s="12"/>
      <c r="W27" s="12"/>
      <c r="X27" s="12"/>
      <c r="Y27" s="12"/>
      <c r="Z27" s="12"/>
    </row>
    <row r="28" spans="1:26" ht="15.75" customHeight="1">
      <c r="A28" s="12"/>
      <c r="B28" s="12"/>
      <c r="C28" s="11"/>
      <c r="D28" s="12"/>
      <c r="E28" s="12"/>
      <c r="F28" s="12"/>
      <c r="G28" s="12"/>
      <c r="H28" s="12"/>
      <c r="I28" s="12"/>
      <c r="J28" s="12"/>
      <c r="K28" s="12"/>
      <c r="L28" s="12"/>
      <c r="M28" s="12"/>
      <c r="N28" s="12"/>
      <c r="O28" s="12"/>
      <c r="P28" s="12"/>
      <c r="Q28" s="12"/>
      <c r="R28" s="12"/>
      <c r="S28" s="12"/>
      <c r="T28" s="12"/>
      <c r="U28" s="12"/>
      <c r="V28" s="12"/>
      <c r="W28" s="12"/>
      <c r="X28" s="12"/>
      <c r="Y28" s="12"/>
      <c r="Z28" s="12"/>
    </row>
    <row r="29" spans="1:26" ht="15.75" customHeight="1">
      <c r="A29" s="12"/>
      <c r="B29" s="12"/>
      <c r="C29" s="11"/>
      <c r="D29" s="12"/>
      <c r="E29" s="12"/>
      <c r="F29" s="12"/>
      <c r="G29" s="12"/>
      <c r="H29" s="12"/>
      <c r="I29" s="12"/>
      <c r="J29" s="12"/>
      <c r="K29" s="12"/>
      <c r="L29" s="12"/>
      <c r="M29" s="12"/>
      <c r="N29" s="12"/>
      <c r="O29" s="12"/>
      <c r="P29" s="12"/>
      <c r="Q29" s="12"/>
      <c r="R29" s="12"/>
      <c r="S29" s="12"/>
      <c r="T29" s="12"/>
      <c r="U29" s="12"/>
      <c r="V29" s="12"/>
      <c r="W29" s="12"/>
      <c r="X29" s="12"/>
      <c r="Y29" s="12"/>
      <c r="Z29" s="12"/>
    </row>
    <row r="30" spans="1:26" ht="15.75" customHeight="1">
      <c r="A30" s="12"/>
      <c r="B30" s="12"/>
      <c r="C30" s="11"/>
      <c r="D30" s="12"/>
      <c r="E30" s="12"/>
      <c r="F30" s="12"/>
      <c r="G30" s="12"/>
      <c r="H30" s="12"/>
      <c r="I30" s="12"/>
      <c r="J30" s="12"/>
      <c r="K30" s="12"/>
      <c r="L30" s="12"/>
      <c r="M30" s="12"/>
      <c r="N30" s="12"/>
      <c r="O30" s="12"/>
      <c r="P30" s="12"/>
      <c r="Q30" s="12"/>
      <c r="R30" s="12"/>
      <c r="S30" s="12"/>
      <c r="T30" s="12"/>
      <c r="U30" s="12"/>
      <c r="V30" s="12"/>
      <c r="W30" s="12"/>
      <c r="X30" s="12"/>
      <c r="Y30" s="12"/>
      <c r="Z30" s="12"/>
    </row>
    <row r="31" spans="1:26" ht="15.75" customHeight="1">
      <c r="A31" s="12"/>
      <c r="B31" s="12"/>
      <c r="C31" s="11"/>
      <c r="D31" s="12"/>
      <c r="E31" s="12"/>
      <c r="G31" s="12"/>
      <c r="H31" s="12"/>
      <c r="I31" s="12"/>
      <c r="J31" s="12"/>
      <c r="K31" s="12"/>
      <c r="L31" s="12"/>
      <c r="M31" s="12"/>
      <c r="N31" s="12"/>
      <c r="O31" s="12"/>
      <c r="P31" s="12"/>
      <c r="Q31" s="12"/>
      <c r="R31" s="12"/>
      <c r="S31" s="12"/>
      <c r="T31" s="12"/>
      <c r="U31" s="12"/>
      <c r="V31" s="12"/>
      <c r="W31" s="12"/>
      <c r="X31" s="12"/>
      <c r="Y31" s="12"/>
      <c r="Z31" s="12"/>
    </row>
    <row r="32" spans="1:26" ht="15.75" customHeight="1">
      <c r="A32" s="12"/>
      <c r="B32" s="12"/>
      <c r="C32" s="11"/>
      <c r="D32" s="12"/>
      <c r="E32" s="12"/>
      <c r="G32" s="12"/>
      <c r="H32" s="12"/>
      <c r="I32" s="12"/>
      <c r="J32" s="12"/>
      <c r="K32" s="12"/>
      <c r="L32" s="12"/>
      <c r="M32" s="12"/>
      <c r="N32" s="12"/>
      <c r="O32" s="12"/>
      <c r="P32" s="12"/>
      <c r="Q32" s="12"/>
      <c r="R32" s="12"/>
      <c r="S32" s="12"/>
      <c r="T32" s="12"/>
      <c r="U32" s="12"/>
      <c r="V32" s="12"/>
      <c r="W32" s="12"/>
      <c r="X32" s="12"/>
      <c r="Y32" s="12"/>
      <c r="Z32" s="12"/>
    </row>
    <row r="33" spans="1:26" ht="15.75" customHeight="1">
      <c r="A33" s="12"/>
      <c r="B33" s="12"/>
      <c r="C33" s="11"/>
      <c r="D33" s="12"/>
      <c r="E33" s="12"/>
      <c r="G33" s="12"/>
      <c r="H33" s="12"/>
      <c r="I33" s="12"/>
      <c r="J33" s="12"/>
      <c r="K33" s="12"/>
      <c r="L33" s="12"/>
      <c r="M33" s="12"/>
      <c r="N33" s="12"/>
      <c r="O33" s="12"/>
      <c r="P33" s="12"/>
      <c r="Q33" s="12"/>
      <c r="R33" s="12"/>
      <c r="S33" s="12"/>
      <c r="T33" s="12"/>
      <c r="U33" s="12"/>
      <c r="V33" s="12"/>
      <c r="W33" s="12"/>
      <c r="X33" s="12"/>
      <c r="Y33" s="12"/>
      <c r="Z33" s="12"/>
    </row>
    <row r="34" spans="1:26" ht="15.75" customHeight="1">
      <c r="A34" s="12"/>
      <c r="B34" s="12"/>
      <c r="C34" s="11"/>
      <c r="D34" s="12"/>
      <c r="E34" s="12"/>
      <c r="G34" s="12"/>
      <c r="H34" s="12"/>
      <c r="I34" s="12"/>
      <c r="J34" s="12"/>
      <c r="K34" s="12"/>
      <c r="L34" s="12"/>
      <c r="M34" s="12"/>
      <c r="N34" s="12"/>
      <c r="O34" s="12"/>
      <c r="P34" s="12"/>
      <c r="Q34" s="12"/>
      <c r="R34" s="12"/>
      <c r="S34" s="12"/>
      <c r="T34" s="12"/>
      <c r="U34" s="12"/>
      <c r="V34" s="12"/>
      <c r="W34" s="12"/>
      <c r="X34" s="12"/>
      <c r="Y34" s="12"/>
      <c r="Z34" s="12"/>
    </row>
    <row r="35" spans="1:26" ht="15.75" customHeight="1">
      <c r="A35" s="12"/>
      <c r="B35" s="12"/>
      <c r="C35" s="11"/>
      <c r="D35" s="12"/>
      <c r="E35" s="12"/>
      <c r="G35" s="12"/>
      <c r="H35" s="12"/>
      <c r="I35" s="12"/>
      <c r="J35" s="12"/>
      <c r="K35" s="12"/>
      <c r="L35" s="12"/>
      <c r="M35" s="12"/>
      <c r="N35" s="12"/>
      <c r="O35" s="12"/>
      <c r="P35" s="12"/>
      <c r="Q35" s="12"/>
      <c r="R35" s="12"/>
      <c r="S35" s="12"/>
      <c r="T35" s="12"/>
      <c r="U35" s="12"/>
      <c r="V35" s="12"/>
      <c r="W35" s="12"/>
      <c r="X35" s="12"/>
      <c r="Y35" s="12"/>
      <c r="Z35" s="12"/>
    </row>
    <row r="36" spans="1:26" ht="15.75" customHeight="1">
      <c r="A36" s="12"/>
      <c r="B36" s="12"/>
      <c r="C36" s="11"/>
      <c r="D36" s="12"/>
      <c r="E36" s="12"/>
      <c r="G36" s="12"/>
      <c r="H36" s="12"/>
      <c r="I36" s="12"/>
      <c r="J36" s="12"/>
      <c r="K36" s="12"/>
      <c r="L36" s="12"/>
      <c r="M36" s="12"/>
      <c r="N36" s="12"/>
      <c r="O36" s="12"/>
      <c r="P36" s="12"/>
      <c r="Q36" s="12"/>
      <c r="R36" s="12"/>
      <c r="S36" s="12"/>
      <c r="T36" s="12"/>
      <c r="U36" s="12"/>
      <c r="V36" s="12"/>
      <c r="W36" s="12"/>
      <c r="X36" s="12"/>
      <c r="Y36" s="12"/>
      <c r="Z36" s="12"/>
    </row>
    <row r="37" spans="1:26" ht="15.75" customHeight="1">
      <c r="A37" s="12"/>
      <c r="B37" s="12"/>
      <c r="C37" s="11"/>
      <c r="D37" s="12"/>
      <c r="E37" s="12"/>
      <c r="G37" s="12"/>
      <c r="H37" s="12"/>
      <c r="I37" s="12"/>
      <c r="J37" s="12"/>
      <c r="K37" s="12"/>
      <c r="L37" s="12"/>
      <c r="M37" s="12"/>
      <c r="N37" s="12"/>
      <c r="O37" s="12"/>
      <c r="P37" s="12"/>
      <c r="Q37" s="12"/>
      <c r="R37" s="12"/>
      <c r="S37" s="12"/>
      <c r="T37" s="12"/>
      <c r="U37" s="12"/>
      <c r="V37" s="12"/>
      <c r="W37" s="12"/>
      <c r="X37" s="12"/>
      <c r="Y37" s="12"/>
      <c r="Z37" s="12"/>
    </row>
    <row r="38" spans="1:26" ht="15.75" customHeight="1">
      <c r="A38" s="12"/>
      <c r="B38" s="12"/>
      <c r="C38" s="11"/>
      <c r="D38" s="12"/>
      <c r="E38" s="12"/>
      <c r="G38" s="12"/>
      <c r="H38" s="12"/>
      <c r="I38" s="12"/>
      <c r="J38" s="12"/>
      <c r="K38" s="12"/>
      <c r="L38" s="12"/>
      <c r="M38" s="12"/>
      <c r="N38" s="12"/>
      <c r="O38" s="12"/>
      <c r="P38" s="12"/>
      <c r="Q38" s="12"/>
      <c r="R38" s="12"/>
      <c r="S38" s="12"/>
      <c r="T38" s="12"/>
      <c r="U38" s="12"/>
      <c r="V38" s="12"/>
      <c r="W38" s="12"/>
      <c r="X38" s="12"/>
      <c r="Y38" s="12"/>
      <c r="Z38" s="12"/>
    </row>
    <row r="39" spans="1:26" ht="15.75" customHeight="1">
      <c r="A39" s="12"/>
      <c r="B39" s="12"/>
      <c r="C39" s="11"/>
      <c r="D39" s="12"/>
      <c r="E39" s="12"/>
      <c r="G39" s="12"/>
      <c r="H39" s="12"/>
      <c r="I39" s="12"/>
      <c r="J39" s="12"/>
      <c r="K39" s="12"/>
      <c r="L39" s="12"/>
      <c r="M39" s="12"/>
      <c r="N39" s="12"/>
      <c r="O39" s="12"/>
      <c r="P39" s="12"/>
      <c r="Q39" s="12"/>
      <c r="R39" s="12"/>
      <c r="S39" s="12"/>
      <c r="T39" s="12"/>
      <c r="U39" s="12"/>
      <c r="V39" s="12"/>
      <c r="W39" s="12"/>
      <c r="X39" s="12"/>
      <c r="Y39" s="12"/>
      <c r="Z39" s="12"/>
    </row>
    <row r="40" spans="1:26" ht="15.75" customHeight="1">
      <c r="A40" s="12"/>
      <c r="B40" s="12"/>
      <c r="C40" s="11"/>
      <c r="D40" s="12"/>
      <c r="E40" s="12"/>
      <c r="G40" s="12"/>
      <c r="H40" s="12"/>
      <c r="I40" s="12"/>
      <c r="J40" s="12"/>
      <c r="K40" s="12"/>
      <c r="L40" s="12"/>
      <c r="M40" s="12"/>
      <c r="N40" s="12"/>
      <c r="O40" s="12"/>
      <c r="P40" s="12"/>
      <c r="Q40" s="12"/>
      <c r="R40" s="12"/>
      <c r="S40" s="12"/>
      <c r="T40" s="12"/>
      <c r="U40" s="12"/>
      <c r="V40" s="12"/>
      <c r="W40" s="12"/>
      <c r="X40" s="12"/>
      <c r="Y40" s="12"/>
      <c r="Z40" s="12"/>
    </row>
    <row r="41" spans="1:26" ht="15.75" customHeight="1">
      <c r="A41" s="12"/>
      <c r="B41" s="12"/>
      <c r="C41" s="11"/>
      <c r="D41" s="12"/>
      <c r="E41" s="12"/>
      <c r="G41" s="12"/>
      <c r="H41" s="12"/>
      <c r="I41" s="12"/>
      <c r="J41" s="12"/>
      <c r="K41" s="12"/>
      <c r="L41" s="12"/>
      <c r="M41" s="12"/>
      <c r="N41" s="12"/>
      <c r="O41" s="12"/>
      <c r="P41" s="12"/>
      <c r="Q41" s="12"/>
      <c r="R41" s="12"/>
      <c r="S41" s="12"/>
      <c r="T41" s="12"/>
      <c r="U41" s="12"/>
      <c r="V41" s="12"/>
      <c r="W41" s="12"/>
      <c r="X41" s="12"/>
      <c r="Y41" s="12"/>
      <c r="Z41" s="12"/>
    </row>
    <row r="42" spans="1:26" ht="15.75" customHeight="1">
      <c r="A42" s="12"/>
      <c r="B42" s="12"/>
      <c r="C42" s="11"/>
      <c r="D42" s="12"/>
      <c r="E42" s="12"/>
      <c r="F42" s="12"/>
      <c r="G42" s="12"/>
      <c r="H42" s="12"/>
      <c r="I42" s="12"/>
      <c r="J42" s="12"/>
      <c r="K42" s="12"/>
      <c r="L42" s="12"/>
      <c r="M42" s="12"/>
      <c r="N42" s="12"/>
      <c r="O42" s="12"/>
      <c r="P42" s="12"/>
      <c r="Q42" s="12"/>
      <c r="R42" s="12"/>
      <c r="S42" s="12"/>
      <c r="T42" s="12"/>
      <c r="U42" s="12"/>
      <c r="V42" s="12"/>
      <c r="W42" s="12"/>
      <c r="X42" s="12"/>
      <c r="Y42" s="12"/>
      <c r="Z42" s="12"/>
    </row>
    <row r="43" spans="1:26" ht="15.75" customHeight="1">
      <c r="A43" s="12"/>
      <c r="B43" s="12"/>
      <c r="C43" s="11"/>
      <c r="D43" s="12"/>
      <c r="E43" s="12"/>
      <c r="F43" s="12"/>
      <c r="G43" s="12"/>
      <c r="H43" s="12"/>
      <c r="I43" s="12"/>
      <c r="J43" s="12"/>
      <c r="K43" s="12"/>
      <c r="L43" s="12"/>
      <c r="M43" s="12"/>
      <c r="N43" s="12"/>
      <c r="O43" s="12"/>
      <c r="P43" s="12"/>
      <c r="Q43" s="12"/>
      <c r="R43" s="12"/>
      <c r="S43" s="12"/>
      <c r="T43" s="12"/>
      <c r="U43" s="12"/>
      <c r="V43" s="12"/>
      <c r="W43" s="12"/>
      <c r="X43" s="12"/>
      <c r="Y43" s="12"/>
      <c r="Z43" s="12"/>
    </row>
    <row r="44" spans="1:26" ht="15.75" customHeight="1">
      <c r="A44" s="12"/>
      <c r="B44" s="12"/>
      <c r="C44" s="11"/>
      <c r="D44" s="12"/>
      <c r="E44" s="12"/>
      <c r="F44" s="12"/>
      <c r="G44" s="12"/>
      <c r="H44" s="12"/>
      <c r="I44" s="12"/>
      <c r="J44" s="12"/>
      <c r="K44" s="12"/>
      <c r="L44" s="12"/>
      <c r="M44" s="12"/>
      <c r="N44" s="12"/>
      <c r="O44" s="12"/>
      <c r="P44" s="12"/>
      <c r="Q44" s="12"/>
      <c r="R44" s="12"/>
      <c r="S44" s="12"/>
      <c r="T44" s="12"/>
      <c r="U44" s="12"/>
      <c r="V44" s="12"/>
      <c r="W44" s="12"/>
      <c r="X44" s="12"/>
      <c r="Y44" s="12"/>
      <c r="Z44" s="12"/>
    </row>
    <row r="45" spans="1:26" ht="15.75" customHeight="1">
      <c r="A45" s="12"/>
      <c r="B45" s="12"/>
      <c r="C45" s="11"/>
      <c r="D45" s="12"/>
      <c r="E45" s="12"/>
      <c r="F45" s="12"/>
      <c r="G45" s="12"/>
      <c r="H45" s="12"/>
      <c r="I45" s="12"/>
      <c r="J45" s="12"/>
      <c r="K45" s="12"/>
      <c r="L45" s="12"/>
      <c r="M45" s="12"/>
      <c r="N45" s="12"/>
      <c r="O45" s="12"/>
      <c r="P45" s="12"/>
      <c r="Q45" s="12"/>
      <c r="R45" s="12"/>
      <c r="S45" s="12"/>
      <c r="T45" s="12"/>
      <c r="U45" s="12"/>
      <c r="V45" s="12"/>
      <c r="W45" s="12"/>
      <c r="X45" s="12"/>
      <c r="Y45" s="12"/>
      <c r="Z45" s="12"/>
    </row>
    <row r="46" spans="1:26" ht="15.75" customHeight="1">
      <c r="A46" s="12"/>
      <c r="B46" s="12"/>
      <c r="C46" s="11"/>
      <c r="D46" s="12"/>
      <c r="E46" s="12"/>
      <c r="F46" s="12"/>
      <c r="G46" s="12"/>
      <c r="H46" s="12"/>
      <c r="I46" s="12"/>
      <c r="J46" s="12"/>
      <c r="K46" s="12"/>
      <c r="L46" s="12"/>
      <c r="M46" s="12"/>
      <c r="N46" s="12"/>
      <c r="O46" s="12"/>
      <c r="P46" s="12"/>
      <c r="Q46" s="12"/>
      <c r="R46" s="12"/>
      <c r="S46" s="12"/>
      <c r="T46" s="12"/>
      <c r="U46" s="12"/>
      <c r="V46" s="12"/>
      <c r="W46" s="12"/>
      <c r="X46" s="12"/>
      <c r="Y46" s="12"/>
      <c r="Z46" s="12"/>
    </row>
    <row r="47" spans="1:26" ht="15.75" customHeight="1">
      <c r="A47" s="12"/>
      <c r="B47" s="12"/>
      <c r="C47" s="11"/>
      <c r="D47" s="12"/>
      <c r="E47" s="12"/>
      <c r="F47" s="12"/>
      <c r="G47" s="12"/>
      <c r="H47" s="12"/>
      <c r="I47" s="12"/>
      <c r="J47" s="12"/>
      <c r="K47" s="12"/>
      <c r="L47" s="12"/>
      <c r="M47" s="12"/>
      <c r="N47" s="12"/>
      <c r="O47" s="12"/>
      <c r="P47" s="12"/>
      <c r="Q47" s="12"/>
      <c r="R47" s="12"/>
      <c r="S47" s="12"/>
      <c r="T47" s="12"/>
      <c r="U47" s="12"/>
      <c r="V47" s="12"/>
      <c r="W47" s="12"/>
      <c r="X47" s="12"/>
      <c r="Y47" s="12"/>
      <c r="Z47" s="12"/>
    </row>
    <row r="48" spans="1:26" ht="15.75" customHeight="1">
      <c r="A48" s="12"/>
      <c r="B48" s="12"/>
      <c r="C48" s="11"/>
      <c r="D48" s="12"/>
      <c r="E48" s="12"/>
      <c r="F48" s="12"/>
      <c r="G48" s="12"/>
      <c r="H48" s="12"/>
      <c r="I48" s="12"/>
      <c r="J48" s="12"/>
      <c r="K48" s="12"/>
      <c r="L48" s="12"/>
      <c r="M48" s="12"/>
      <c r="N48" s="12"/>
      <c r="O48" s="12"/>
      <c r="P48" s="12"/>
      <c r="Q48" s="12"/>
      <c r="R48" s="12"/>
      <c r="S48" s="12"/>
      <c r="T48" s="12"/>
      <c r="U48" s="12"/>
      <c r="V48" s="12"/>
      <c r="W48" s="12"/>
      <c r="X48" s="12"/>
      <c r="Y48" s="12"/>
      <c r="Z48" s="12"/>
    </row>
    <row r="49" spans="1:26" ht="15.75" customHeight="1">
      <c r="A49" s="12"/>
      <c r="B49" s="12"/>
      <c r="C49" s="11"/>
      <c r="D49" s="12"/>
      <c r="E49" s="12"/>
      <c r="F49" s="12"/>
      <c r="G49" s="12"/>
      <c r="H49" s="12"/>
      <c r="I49" s="12"/>
      <c r="J49" s="12"/>
      <c r="K49" s="12"/>
      <c r="L49" s="12"/>
      <c r="M49" s="12"/>
      <c r="N49" s="12"/>
      <c r="O49" s="12"/>
      <c r="P49" s="12"/>
      <c r="Q49" s="12"/>
      <c r="R49" s="12"/>
      <c r="S49" s="12"/>
      <c r="T49" s="12"/>
      <c r="U49" s="12"/>
      <c r="V49" s="12"/>
      <c r="W49" s="12"/>
      <c r="X49" s="12"/>
      <c r="Y49" s="12"/>
      <c r="Z49" s="12"/>
    </row>
    <row r="50" spans="1:26" ht="15.75" customHeight="1">
      <c r="A50" s="12"/>
      <c r="B50" s="12"/>
      <c r="C50" s="11"/>
      <c r="D50" s="12"/>
      <c r="E50" s="12"/>
      <c r="F50" s="12"/>
      <c r="G50" s="12"/>
      <c r="H50" s="12"/>
      <c r="I50" s="12"/>
      <c r="J50" s="12"/>
      <c r="K50" s="12"/>
      <c r="L50" s="12"/>
      <c r="M50" s="12"/>
      <c r="N50" s="12"/>
      <c r="O50" s="12"/>
      <c r="P50" s="12"/>
      <c r="Q50" s="12"/>
      <c r="R50" s="12"/>
      <c r="S50" s="12"/>
      <c r="T50" s="12"/>
      <c r="U50" s="12"/>
      <c r="V50" s="12"/>
      <c r="W50" s="12"/>
      <c r="X50" s="12"/>
      <c r="Y50" s="12"/>
      <c r="Z50" s="12"/>
    </row>
    <row r="51" spans="1:26" ht="15.75" customHeight="1">
      <c r="A51" s="12"/>
      <c r="B51" s="12"/>
      <c r="C51" s="11"/>
      <c r="D51" s="12"/>
      <c r="E51" s="12"/>
      <c r="F51" s="12"/>
      <c r="G51" s="12"/>
      <c r="H51" s="12"/>
      <c r="I51" s="12"/>
      <c r="J51" s="12"/>
      <c r="K51" s="12"/>
      <c r="L51" s="12"/>
      <c r="M51" s="12"/>
      <c r="N51" s="12"/>
      <c r="O51" s="12"/>
      <c r="P51" s="12"/>
      <c r="Q51" s="12"/>
      <c r="R51" s="12"/>
      <c r="S51" s="12"/>
      <c r="T51" s="12"/>
      <c r="U51" s="12"/>
      <c r="V51" s="12"/>
      <c r="W51" s="12"/>
      <c r="X51" s="12"/>
      <c r="Y51" s="12"/>
      <c r="Z51" s="12"/>
    </row>
    <row r="52" spans="1:26" ht="15.75" customHeight="1">
      <c r="A52" s="12"/>
      <c r="B52" s="12"/>
      <c r="C52" s="11"/>
      <c r="D52" s="12"/>
      <c r="E52" s="12"/>
      <c r="F52" s="12"/>
      <c r="G52" s="12"/>
      <c r="H52" s="12"/>
      <c r="I52" s="12"/>
      <c r="J52" s="12"/>
      <c r="K52" s="12"/>
      <c r="L52" s="12"/>
      <c r="M52" s="12"/>
      <c r="N52" s="12"/>
      <c r="O52" s="12"/>
      <c r="P52" s="12"/>
      <c r="Q52" s="12"/>
      <c r="R52" s="12"/>
      <c r="S52" s="12"/>
      <c r="T52" s="12"/>
      <c r="U52" s="12"/>
      <c r="V52" s="12"/>
      <c r="W52" s="12"/>
      <c r="X52" s="12"/>
      <c r="Y52" s="12"/>
      <c r="Z52" s="12"/>
    </row>
    <row r="53" spans="1:26" ht="15.75" customHeight="1">
      <c r="A53" s="12"/>
      <c r="B53" s="12"/>
      <c r="C53" s="11"/>
      <c r="D53" s="12"/>
      <c r="E53" s="12"/>
      <c r="F53" s="12"/>
      <c r="G53" s="12"/>
      <c r="H53" s="12"/>
      <c r="I53" s="12"/>
      <c r="J53" s="12"/>
      <c r="K53" s="12"/>
      <c r="L53" s="12"/>
      <c r="M53" s="12"/>
      <c r="N53" s="12"/>
      <c r="O53" s="12"/>
      <c r="P53" s="12"/>
      <c r="Q53" s="12"/>
      <c r="R53" s="12"/>
      <c r="S53" s="12"/>
      <c r="T53" s="12"/>
      <c r="U53" s="12"/>
      <c r="V53" s="12"/>
      <c r="W53" s="12"/>
      <c r="X53" s="12"/>
      <c r="Y53" s="12"/>
      <c r="Z53" s="12"/>
    </row>
    <row r="54" spans="1:26" ht="15.75" customHeight="1">
      <c r="A54" s="12"/>
      <c r="B54" s="12"/>
      <c r="C54" s="11"/>
      <c r="D54" s="12"/>
      <c r="E54" s="12"/>
      <c r="F54" s="12"/>
      <c r="G54" s="12"/>
      <c r="H54" s="12"/>
      <c r="I54" s="12"/>
      <c r="J54" s="12"/>
      <c r="K54" s="12"/>
      <c r="L54" s="12"/>
      <c r="M54" s="12"/>
      <c r="N54" s="12"/>
      <c r="O54" s="12"/>
      <c r="P54" s="12"/>
      <c r="Q54" s="12"/>
      <c r="R54" s="12"/>
      <c r="S54" s="12"/>
      <c r="T54" s="12"/>
      <c r="U54" s="12"/>
      <c r="V54" s="12"/>
      <c r="W54" s="12"/>
      <c r="X54" s="12"/>
      <c r="Y54" s="12"/>
      <c r="Z54" s="12"/>
    </row>
    <row r="55" spans="1:26" ht="15.75" customHeight="1">
      <c r="A55" s="12"/>
      <c r="B55" s="12"/>
      <c r="C55" s="11"/>
      <c r="D55" s="12"/>
      <c r="E55" s="12"/>
      <c r="F55" s="12"/>
      <c r="G55" s="12"/>
      <c r="H55" s="12"/>
      <c r="I55" s="12"/>
      <c r="J55" s="12"/>
      <c r="K55" s="12"/>
      <c r="L55" s="12"/>
      <c r="M55" s="12"/>
      <c r="N55" s="12"/>
      <c r="O55" s="12"/>
      <c r="P55" s="12"/>
      <c r="Q55" s="12"/>
      <c r="R55" s="12"/>
      <c r="S55" s="12"/>
      <c r="T55" s="12"/>
      <c r="U55" s="12"/>
      <c r="V55" s="12"/>
      <c r="W55" s="12"/>
      <c r="X55" s="12"/>
      <c r="Y55" s="12"/>
      <c r="Z55" s="12"/>
    </row>
    <row r="56" spans="1:26" ht="15.75" customHeight="1">
      <c r="A56" s="12"/>
      <c r="B56" s="12"/>
      <c r="C56" s="11"/>
      <c r="D56" s="12"/>
      <c r="E56" s="12"/>
      <c r="F56" s="12"/>
      <c r="G56" s="12"/>
      <c r="H56" s="12"/>
      <c r="I56" s="12"/>
      <c r="J56" s="12"/>
      <c r="K56" s="12"/>
      <c r="L56" s="12"/>
      <c r="M56" s="12"/>
      <c r="N56" s="12"/>
      <c r="O56" s="12"/>
      <c r="P56" s="12"/>
      <c r="Q56" s="12"/>
      <c r="R56" s="12"/>
      <c r="S56" s="12"/>
      <c r="T56" s="12"/>
      <c r="U56" s="12"/>
      <c r="V56" s="12"/>
      <c r="W56" s="12"/>
      <c r="X56" s="12"/>
      <c r="Y56" s="12"/>
      <c r="Z56" s="12"/>
    </row>
    <row r="57" spans="1:26" ht="15.75" customHeight="1">
      <c r="A57" s="12"/>
      <c r="B57" s="12"/>
      <c r="C57" s="11"/>
      <c r="D57" s="12"/>
      <c r="E57" s="12"/>
      <c r="F57" s="12"/>
      <c r="G57" s="12"/>
      <c r="H57" s="12"/>
      <c r="I57" s="12"/>
      <c r="J57" s="12"/>
      <c r="K57" s="12"/>
      <c r="L57" s="12"/>
      <c r="M57" s="12"/>
      <c r="N57" s="12"/>
      <c r="O57" s="12"/>
      <c r="P57" s="12"/>
      <c r="Q57" s="12"/>
      <c r="R57" s="12"/>
      <c r="S57" s="12"/>
      <c r="T57" s="12"/>
      <c r="U57" s="12"/>
      <c r="V57" s="12"/>
      <c r="W57" s="12"/>
      <c r="X57" s="12"/>
      <c r="Y57" s="12"/>
      <c r="Z57" s="12"/>
    </row>
    <row r="58" spans="1:26" ht="15.75" customHeight="1">
      <c r="A58" s="12"/>
      <c r="B58" s="12"/>
      <c r="C58" s="11"/>
      <c r="D58" s="12"/>
      <c r="E58" s="12"/>
      <c r="F58" s="12"/>
      <c r="G58" s="12"/>
      <c r="H58" s="12"/>
      <c r="I58" s="12"/>
      <c r="J58" s="12"/>
      <c r="K58" s="12"/>
      <c r="L58" s="12"/>
      <c r="M58" s="12"/>
      <c r="N58" s="12"/>
      <c r="O58" s="12"/>
      <c r="P58" s="12"/>
      <c r="Q58" s="12"/>
      <c r="R58" s="12"/>
      <c r="S58" s="12"/>
      <c r="T58" s="12"/>
      <c r="U58" s="12"/>
      <c r="V58" s="12"/>
      <c r="W58" s="12"/>
      <c r="X58" s="12"/>
      <c r="Y58" s="12"/>
      <c r="Z58" s="12"/>
    </row>
    <row r="59" spans="1:26" ht="15.75" customHeight="1">
      <c r="A59" s="12"/>
      <c r="B59" s="12"/>
      <c r="C59" s="11"/>
      <c r="D59" s="12"/>
      <c r="E59" s="12"/>
      <c r="F59" s="12"/>
      <c r="G59" s="12"/>
      <c r="H59" s="12"/>
      <c r="I59" s="12"/>
      <c r="J59" s="12"/>
      <c r="K59" s="12"/>
      <c r="L59" s="12"/>
      <c r="M59" s="12"/>
      <c r="N59" s="12"/>
      <c r="O59" s="12"/>
      <c r="P59" s="12"/>
      <c r="Q59" s="12"/>
      <c r="R59" s="12"/>
      <c r="S59" s="12"/>
      <c r="T59" s="12"/>
      <c r="U59" s="12"/>
      <c r="V59" s="12"/>
      <c r="W59" s="12"/>
      <c r="X59" s="12"/>
      <c r="Y59" s="12"/>
      <c r="Z59" s="12"/>
    </row>
    <row r="60" spans="1:26" ht="15.75" customHeight="1">
      <c r="A60" s="12"/>
      <c r="B60" s="12"/>
      <c r="C60" s="11"/>
      <c r="D60" s="12"/>
      <c r="E60" s="12"/>
      <c r="F60" s="12"/>
      <c r="G60" s="12"/>
      <c r="H60" s="12"/>
      <c r="I60" s="12"/>
      <c r="J60" s="12"/>
      <c r="K60" s="12"/>
      <c r="L60" s="12"/>
      <c r="M60" s="12"/>
      <c r="N60" s="12"/>
      <c r="O60" s="12"/>
      <c r="P60" s="12"/>
      <c r="Q60" s="12"/>
      <c r="R60" s="12"/>
      <c r="S60" s="12"/>
      <c r="T60" s="12"/>
      <c r="U60" s="12"/>
      <c r="V60" s="12"/>
      <c r="W60" s="12"/>
      <c r="X60" s="12"/>
      <c r="Y60" s="12"/>
      <c r="Z60" s="12"/>
    </row>
    <row r="61" spans="1:26" ht="15.75" customHeight="1">
      <c r="A61" s="12"/>
      <c r="B61" s="12"/>
      <c r="C61" s="11"/>
      <c r="D61" s="12"/>
      <c r="E61" s="12"/>
      <c r="F61" s="12"/>
      <c r="G61" s="12"/>
      <c r="H61" s="12"/>
      <c r="I61" s="12"/>
      <c r="J61" s="12"/>
      <c r="K61" s="12"/>
      <c r="L61" s="12"/>
      <c r="M61" s="12"/>
      <c r="N61" s="12"/>
      <c r="O61" s="12"/>
      <c r="P61" s="12"/>
      <c r="Q61" s="12"/>
      <c r="R61" s="12"/>
      <c r="S61" s="12"/>
      <c r="T61" s="12"/>
      <c r="U61" s="12"/>
      <c r="V61" s="12"/>
      <c r="W61" s="12"/>
      <c r="X61" s="12"/>
      <c r="Y61" s="12"/>
      <c r="Z61" s="12"/>
    </row>
    <row r="62" spans="1:26" ht="15.75" customHeight="1">
      <c r="A62" s="12"/>
      <c r="B62" s="12"/>
      <c r="C62" s="11"/>
      <c r="D62" s="12"/>
      <c r="E62" s="12"/>
      <c r="F62" s="12"/>
      <c r="G62" s="12"/>
      <c r="H62" s="12"/>
      <c r="I62" s="12"/>
      <c r="J62" s="12"/>
      <c r="K62" s="12"/>
      <c r="L62" s="12"/>
      <c r="M62" s="12"/>
      <c r="N62" s="12"/>
      <c r="O62" s="12"/>
      <c r="P62" s="12"/>
      <c r="Q62" s="12"/>
      <c r="R62" s="12"/>
      <c r="S62" s="12"/>
      <c r="T62" s="12"/>
      <c r="U62" s="12"/>
      <c r="V62" s="12"/>
      <c r="W62" s="12"/>
      <c r="X62" s="12"/>
      <c r="Y62" s="12"/>
      <c r="Z62" s="12"/>
    </row>
    <row r="63" spans="1:26" ht="15.75" customHeight="1">
      <c r="A63" s="12"/>
      <c r="B63" s="12"/>
      <c r="C63" s="11"/>
      <c r="D63" s="12"/>
      <c r="E63" s="12"/>
      <c r="F63" s="12"/>
      <c r="G63" s="12"/>
      <c r="H63" s="12"/>
      <c r="I63" s="12"/>
      <c r="J63" s="12"/>
      <c r="K63" s="12"/>
      <c r="L63" s="12"/>
      <c r="M63" s="12"/>
      <c r="N63" s="12"/>
      <c r="O63" s="12"/>
      <c r="P63" s="12"/>
      <c r="Q63" s="12"/>
      <c r="R63" s="12"/>
      <c r="S63" s="12"/>
      <c r="T63" s="12"/>
      <c r="U63" s="12"/>
      <c r="V63" s="12"/>
      <c r="W63" s="12"/>
      <c r="X63" s="12"/>
      <c r="Y63" s="12"/>
      <c r="Z63" s="12"/>
    </row>
    <row r="64" spans="1:26" ht="15.75" customHeight="1">
      <c r="A64" s="12"/>
      <c r="B64" s="12"/>
      <c r="C64" s="11"/>
      <c r="D64" s="12"/>
      <c r="E64" s="12"/>
      <c r="F64" s="12"/>
      <c r="G64" s="12"/>
      <c r="H64" s="12"/>
      <c r="I64" s="12"/>
      <c r="J64" s="12"/>
      <c r="K64" s="12"/>
      <c r="L64" s="12"/>
      <c r="M64" s="12"/>
      <c r="N64" s="12"/>
      <c r="O64" s="12"/>
      <c r="P64" s="12"/>
      <c r="Q64" s="12"/>
      <c r="R64" s="12"/>
      <c r="S64" s="12"/>
      <c r="T64" s="12"/>
      <c r="U64" s="12"/>
      <c r="V64" s="12"/>
      <c r="W64" s="12"/>
      <c r="X64" s="12"/>
      <c r="Y64" s="12"/>
      <c r="Z64" s="12"/>
    </row>
    <row r="65" spans="1:26" ht="15.75" customHeight="1">
      <c r="A65" s="12"/>
      <c r="B65" s="12"/>
      <c r="C65" s="11"/>
      <c r="D65" s="12"/>
      <c r="E65" s="12"/>
      <c r="F65" s="12"/>
      <c r="G65" s="12"/>
      <c r="H65" s="12"/>
      <c r="I65" s="12"/>
      <c r="J65" s="12"/>
      <c r="K65" s="12"/>
      <c r="L65" s="12"/>
      <c r="M65" s="12"/>
      <c r="N65" s="12"/>
      <c r="O65" s="12"/>
      <c r="P65" s="12"/>
      <c r="Q65" s="12"/>
      <c r="R65" s="12"/>
      <c r="S65" s="12"/>
      <c r="T65" s="12"/>
      <c r="U65" s="12"/>
      <c r="V65" s="12"/>
      <c r="W65" s="12"/>
      <c r="X65" s="12"/>
      <c r="Y65" s="12"/>
      <c r="Z65" s="12"/>
    </row>
    <row r="66" spans="1:26" ht="15.75" customHeight="1">
      <c r="A66" s="12"/>
      <c r="B66" s="12"/>
      <c r="C66" s="11"/>
      <c r="D66" s="12"/>
      <c r="E66" s="12"/>
      <c r="F66" s="12"/>
      <c r="G66" s="12"/>
      <c r="H66" s="12"/>
      <c r="I66" s="12"/>
      <c r="J66" s="12"/>
      <c r="K66" s="12"/>
      <c r="L66" s="12"/>
      <c r="M66" s="12"/>
      <c r="N66" s="12"/>
      <c r="O66" s="12"/>
      <c r="P66" s="12"/>
      <c r="Q66" s="12"/>
      <c r="R66" s="12"/>
      <c r="S66" s="12"/>
      <c r="T66" s="12"/>
      <c r="U66" s="12"/>
      <c r="V66" s="12"/>
      <c r="W66" s="12"/>
      <c r="X66" s="12"/>
      <c r="Y66" s="12"/>
      <c r="Z66" s="12"/>
    </row>
    <row r="67" spans="1:26" ht="15.75" customHeight="1">
      <c r="A67" s="12"/>
      <c r="B67" s="12"/>
      <c r="C67" s="11"/>
      <c r="D67" s="12"/>
      <c r="E67" s="12"/>
      <c r="F67" s="12"/>
      <c r="G67" s="12"/>
      <c r="H67" s="12"/>
      <c r="I67" s="12"/>
      <c r="J67" s="12"/>
      <c r="K67" s="12"/>
      <c r="L67" s="12"/>
      <c r="M67" s="12"/>
      <c r="N67" s="12"/>
      <c r="O67" s="12"/>
      <c r="P67" s="12"/>
      <c r="Q67" s="12"/>
      <c r="R67" s="12"/>
      <c r="S67" s="12"/>
      <c r="T67" s="12"/>
      <c r="U67" s="12"/>
      <c r="V67" s="12"/>
      <c r="W67" s="12"/>
      <c r="X67" s="12"/>
      <c r="Y67" s="12"/>
      <c r="Z67" s="12"/>
    </row>
    <row r="68" spans="1:26" ht="15.75" customHeight="1">
      <c r="A68" s="12"/>
      <c r="B68" s="12"/>
      <c r="C68" s="11"/>
      <c r="D68" s="12"/>
      <c r="E68" s="12"/>
      <c r="F68" s="12"/>
      <c r="G68" s="12"/>
      <c r="H68" s="12"/>
      <c r="I68" s="12"/>
      <c r="J68" s="12"/>
      <c r="K68" s="12"/>
      <c r="L68" s="12"/>
      <c r="M68" s="12"/>
      <c r="N68" s="12"/>
      <c r="O68" s="12"/>
      <c r="P68" s="12"/>
      <c r="Q68" s="12"/>
      <c r="R68" s="12"/>
      <c r="S68" s="12"/>
      <c r="T68" s="12"/>
      <c r="U68" s="12"/>
      <c r="V68" s="12"/>
      <c r="W68" s="12"/>
      <c r="X68" s="12"/>
      <c r="Y68" s="12"/>
      <c r="Z68" s="12"/>
    </row>
    <row r="69" spans="1:26" ht="15.75" customHeight="1">
      <c r="A69" s="12"/>
      <c r="B69" s="12"/>
      <c r="C69" s="11"/>
      <c r="D69" s="12"/>
      <c r="E69" s="12"/>
      <c r="F69" s="12"/>
      <c r="G69" s="12"/>
      <c r="H69" s="12"/>
      <c r="I69" s="12"/>
      <c r="J69" s="12"/>
      <c r="K69" s="12"/>
      <c r="L69" s="12"/>
      <c r="M69" s="12"/>
      <c r="N69" s="12"/>
      <c r="O69" s="12"/>
      <c r="P69" s="12"/>
      <c r="Q69" s="12"/>
      <c r="R69" s="12"/>
      <c r="S69" s="12"/>
      <c r="T69" s="12"/>
      <c r="U69" s="12"/>
      <c r="V69" s="12"/>
      <c r="W69" s="12"/>
      <c r="X69" s="12"/>
      <c r="Y69" s="12"/>
      <c r="Z69" s="12"/>
    </row>
    <row r="70" spans="1:26" ht="15.75" customHeight="1">
      <c r="A70" s="12"/>
      <c r="B70" s="12"/>
      <c r="C70" s="11"/>
      <c r="D70" s="12"/>
      <c r="E70" s="12"/>
      <c r="F70" s="12"/>
      <c r="G70" s="12"/>
      <c r="H70" s="12"/>
      <c r="I70" s="12"/>
      <c r="J70" s="12"/>
      <c r="K70" s="12"/>
      <c r="L70" s="12"/>
      <c r="M70" s="12"/>
      <c r="N70" s="12"/>
      <c r="O70" s="12"/>
      <c r="P70" s="12"/>
      <c r="Q70" s="12"/>
      <c r="R70" s="12"/>
      <c r="S70" s="12"/>
      <c r="T70" s="12"/>
      <c r="U70" s="12"/>
      <c r="V70" s="12"/>
      <c r="W70" s="12"/>
      <c r="X70" s="12"/>
      <c r="Y70" s="12"/>
      <c r="Z70" s="12"/>
    </row>
    <row r="71" spans="1:26" ht="15.75" customHeight="1">
      <c r="A71" s="12"/>
      <c r="B71" s="12"/>
      <c r="C71" s="11"/>
      <c r="D71" s="12"/>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c r="A72" s="12"/>
      <c r="B72" s="12"/>
      <c r="C72" s="11"/>
      <c r="D72" s="12"/>
      <c r="E72" s="12"/>
      <c r="F72" s="12"/>
      <c r="G72" s="12"/>
      <c r="H72" s="12"/>
      <c r="I72" s="12"/>
      <c r="J72" s="12"/>
      <c r="K72" s="12"/>
      <c r="L72" s="12"/>
      <c r="M72" s="12"/>
      <c r="N72" s="12"/>
      <c r="O72" s="12"/>
      <c r="P72" s="12"/>
      <c r="Q72" s="12"/>
      <c r="R72" s="12"/>
      <c r="S72" s="12"/>
      <c r="T72" s="12"/>
      <c r="U72" s="12"/>
      <c r="V72" s="12"/>
      <c r="W72" s="12"/>
      <c r="X72" s="12"/>
      <c r="Y72" s="12"/>
      <c r="Z72" s="12"/>
    </row>
    <row r="73" spans="1:26" ht="15.75" customHeight="1">
      <c r="A73" s="12"/>
      <c r="B73" s="12"/>
      <c r="C73" s="11"/>
      <c r="D73" s="12"/>
      <c r="E73" s="12"/>
      <c r="F73" s="12"/>
      <c r="G73" s="12"/>
      <c r="H73" s="12"/>
      <c r="I73" s="12"/>
      <c r="J73" s="12"/>
      <c r="K73" s="12"/>
      <c r="L73" s="12"/>
      <c r="M73" s="12"/>
      <c r="N73" s="12"/>
      <c r="O73" s="12"/>
      <c r="P73" s="12"/>
      <c r="Q73" s="12"/>
      <c r="R73" s="12"/>
      <c r="S73" s="12"/>
      <c r="T73" s="12"/>
      <c r="U73" s="12"/>
      <c r="V73" s="12"/>
      <c r="W73" s="12"/>
      <c r="X73" s="12"/>
      <c r="Y73" s="12"/>
      <c r="Z73" s="12"/>
    </row>
    <row r="74" spans="1:26" ht="15.75" customHeight="1">
      <c r="A74" s="12"/>
      <c r="B74" s="12"/>
      <c r="C74" s="11"/>
      <c r="D74" s="12"/>
      <c r="E74" s="12"/>
      <c r="F74" s="12"/>
      <c r="G74" s="12"/>
      <c r="H74" s="12"/>
      <c r="I74" s="12"/>
      <c r="J74" s="12"/>
      <c r="K74" s="12"/>
      <c r="L74" s="12"/>
      <c r="M74" s="12"/>
      <c r="N74" s="12"/>
      <c r="O74" s="12"/>
      <c r="P74" s="12"/>
      <c r="Q74" s="12"/>
      <c r="R74" s="12"/>
      <c r="S74" s="12"/>
      <c r="T74" s="12"/>
      <c r="U74" s="12"/>
      <c r="V74" s="12"/>
      <c r="W74" s="12"/>
      <c r="X74" s="12"/>
      <c r="Y74" s="12"/>
      <c r="Z74" s="12"/>
    </row>
    <row r="75" spans="1:26" ht="15.75" customHeight="1">
      <c r="A75" s="12"/>
      <c r="B75" s="12"/>
      <c r="C75" s="11"/>
      <c r="D75" s="12"/>
      <c r="E75" s="12"/>
      <c r="F75" s="12"/>
      <c r="G75" s="12"/>
      <c r="H75" s="12"/>
      <c r="I75" s="12"/>
      <c r="J75" s="12"/>
      <c r="K75" s="12"/>
      <c r="L75" s="12"/>
      <c r="M75" s="12"/>
      <c r="N75" s="12"/>
      <c r="O75" s="12"/>
      <c r="P75" s="12"/>
      <c r="Q75" s="12"/>
      <c r="R75" s="12"/>
      <c r="S75" s="12"/>
      <c r="T75" s="12"/>
      <c r="U75" s="12"/>
      <c r="V75" s="12"/>
      <c r="W75" s="12"/>
      <c r="X75" s="12"/>
      <c r="Y75" s="12"/>
      <c r="Z75" s="12"/>
    </row>
    <row r="76" spans="1:26" ht="15.75" customHeight="1">
      <c r="A76" s="12"/>
      <c r="B76" s="12"/>
      <c r="C76" s="11"/>
      <c r="D76" s="12"/>
      <c r="E76" s="12"/>
      <c r="F76" s="12"/>
      <c r="G76" s="12"/>
      <c r="H76" s="12"/>
      <c r="I76" s="12"/>
      <c r="J76" s="12"/>
      <c r="K76" s="12"/>
      <c r="L76" s="12"/>
      <c r="M76" s="12"/>
      <c r="N76" s="12"/>
      <c r="O76" s="12"/>
      <c r="P76" s="12"/>
      <c r="Q76" s="12"/>
      <c r="R76" s="12"/>
      <c r="S76" s="12"/>
      <c r="T76" s="12"/>
      <c r="U76" s="12"/>
      <c r="V76" s="12"/>
      <c r="W76" s="12"/>
      <c r="X76" s="12"/>
      <c r="Y76" s="12"/>
      <c r="Z76" s="12"/>
    </row>
    <row r="77" spans="1:26" ht="15.75" customHeight="1">
      <c r="A77" s="12"/>
      <c r="B77" s="12"/>
      <c r="C77" s="11"/>
      <c r="D77" s="12"/>
      <c r="E77" s="12"/>
      <c r="F77" s="12"/>
      <c r="G77" s="12"/>
      <c r="H77" s="12"/>
      <c r="I77" s="12"/>
      <c r="J77" s="12"/>
      <c r="K77" s="12"/>
      <c r="L77" s="12"/>
      <c r="M77" s="12"/>
      <c r="N77" s="12"/>
      <c r="O77" s="12"/>
      <c r="P77" s="12"/>
      <c r="Q77" s="12"/>
      <c r="R77" s="12"/>
      <c r="S77" s="12"/>
      <c r="T77" s="12"/>
      <c r="U77" s="12"/>
      <c r="V77" s="12"/>
      <c r="W77" s="12"/>
      <c r="X77" s="12"/>
      <c r="Y77" s="12"/>
      <c r="Z77" s="12"/>
    </row>
    <row r="78" spans="1:26" ht="15.75" customHeight="1">
      <c r="A78" s="12"/>
      <c r="B78" s="12"/>
      <c r="C78" s="11"/>
      <c r="D78" s="12"/>
      <c r="E78" s="12"/>
      <c r="F78" s="12"/>
      <c r="G78" s="12"/>
      <c r="H78" s="12"/>
      <c r="I78" s="12"/>
      <c r="J78" s="12"/>
      <c r="K78" s="12"/>
      <c r="L78" s="12"/>
      <c r="M78" s="12"/>
      <c r="N78" s="12"/>
      <c r="O78" s="12"/>
      <c r="P78" s="12"/>
      <c r="Q78" s="12"/>
      <c r="R78" s="12"/>
      <c r="S78" s="12"/>
      <c r="T78" s="12"/>
      <c r="U78" s="12"/>
      <c r="V78" s="12"/>
      <c r="W78" s="12"/>
      <c r="X78" s="12"/>
      <c r="Y78" s="12"/>
      <c r="Z78" s="12"/>
    </row>
    <row r="79" spans="1:26" ht="15.75" customHeight="1">
      <c r="A79" s="12"/>
      <c r="B79" s="12"/>
      <c r="C79" s="11"/>
      <c r="D79" s="12"/>
      <c r="E79" s="12"/>
      <c r="F79" s="12"/>
      <c r="G79" s="12"/>
      <c r="H79" s="12"/>
      <c r="I79" s="12"/>
      <c r="J79" s="12"/>
      <c r="K79" s="12"/>
      <c r="L79" s="12"/>
      <c r="M79" s="12"/>
      <c r="N79" s="12"/>
      <c r="O79" s="12"/>
      <c r="P79" s="12"/>
      <c r="Q79" s="12"/>
      <c r="R79" s="12"/>
      <c r="S79" s="12"/>
      <c r="T79" s="12"/>
      <c r="U79" s="12"/>
      <c r="V79" s="12"/>
      <c r="W79" s="12"/>
      <c r="X79" s="12"/>
      <c r="Y79" s="12"/>
      <c r="Z79" s="12"/>
    </row>
    <row r="80" spans="1:26" ht="15.75" customHeight="1">
      <c r="A80" s="12"/>
      <c r="B80" s="12"/>
      <c r="C80" s="11"/>
      <c r="D80" s="12"/>
      <c r="E80" s="12"/>
      <c r="F80" s="12"/>
      <c r="G80" s="12"/>
      <c r="H80" s="12"/>
      <c r="I80" s="12"/>
      <c r="J80" s="12"/>
      <c r="K80" s="12"/>
      <c r="L80" s="12"/>
      <c r="M80" s="12"/>
      <c r="N80" s="12"/>
      <c r="O80" s="12"/>
      <c r="P80" s="12"/>
      <c r="Q80" s="12"/>
      <c r="R80" s="12"/>
      <c r="S80" s="12"/>
      <c r="T80" s="12"/>
      <c r="U80" s="12"/>
      <c r="V80" s="12"/>
      <c r="W80" s="12"/>
      <c r="X80" s="12"/>
      <c r="Y80" s="12"/>
      <c r="Z80" s="12"/>
    </row>
    <row r="81" spans="1:26" ht="15.75" customHeight="1">
      <c r="A81" s="12"/>
      <c r="B81" s="12"/>
      <c r="C81" s="11"/>
      <c r="D81" s="12"/>
      <c r="E81" s="12"/>
      <c r="F81" s="12"/>
      <c r="G81" s="12"/>
      <c r="H81" s="12"/>
      <c r="I81" s="12"/>
      <c r="J81" s="12"/>
      <c r="K81" s="12"/>
      <c r="L81" s="12"/>
      <c r="M81" s="12"/>
      <c r="N81" s="12"/>
      <c r="O81" s="12"/>
      <c r="P81" s="12"/>
      <c r="Q81" s="12"/>
      <c r="R81" s="12"/>
      <c r="S81" s="12"/>
      <c r="T81" s="12"/>
      <c r="U81" s="12"/>
      <c r="V81" s="12"/>
      <c r="W81" s="12"/>
      <c r="X81" s="12"/>
      <c r="Y81" s="12"/>
      <c r="Z81" s="12"/>
    </row>
    <row r="82" spans="1:26" ht="15.75" customHeight="1">
      <c r="A82" s="12"/>
      <c r="B82" s="12"/>
      <c r="C82" s="11"/>
      <c r="D82" s="12"/>
      <c r="E82" s="12"/>
      <c r="F82" s="12"/>
      <c r="G82" s="12"/>
      <c r="H82" s="12"/>
      <c r="I82" s="12"/>
      <c r="J82" s="12"/>
      <c r="K82" s="12"/>
      <c r="L82" s="12"/>
      <c r="M82" s="12"/>
      <c r="N82" s="12"/>
      <c r="O82" s="12"/>
      <c r="P82" s="12"/>
      <c r="Q82" s="12"/>
      <c r="R82" s="12"/>
      <c r="S82" s="12"/>
      <c r="T82" s="12"/>
      <c r="U82" s="12"/>
      <c r="V82" s="12"/>
      <c r="W82" s="12"/>
      <c r="X82" s="12"/>
      <c r="Y82" s="12"/>
      <c r="Z82" s="12"/>
    </row>
    <row r="83" spans="1:26" ht="15.75" customHeight="1">
      <c r="A83" s="12"/>
      <c r="B83" s="12"/>
      <c r="C83" s="11"/>
      <c r="D83" s="12"/>
      <c r="E83" s="12"/>
      <c r="F83" s="12"/>
      <c r="G83" s="12"/>
      <c r="H83" s="12"/>
      <c r="I83" s="12"/>
      <c r="J83" s="12"/>
      <c r="K83" s="12"/>
      <c r="L83" s="12"/>
      <c r="M83" s="12"/>
      <c r="N83" s="12"/>
      <c r="O83" s="12"/>
      <c r="P83" s="12"/>
      <c r="Q83" s="12"/>
      <c r="R83" s="12"/>
      <c r="S83" s="12"/>
      <c r="T83" s="12"/>
      <c r="U83" s="12"/>
      <c r="V83" s="12"/>
      <c r="W83" s="12"/>
      <c r="X83" s="12"/>
      <c r="Y83" s="12"/>
      <c r="Z83" s="12"/>
    </row>
    <row r="84" spans="1:26" ht="15.75" customHeight="1">
      <c r="A84" s="12"/>
      <c r="B84" s="12"/>
      <c r="C84" s="11"/>
      <c r="D84" s="12"/>
      <c r="E84" s="12"/>
      <c r="F84" s="12"/>
      <c r="G84" s="12"/>
      <c r="H84" s="12"/>
      <c r="I84" s="12"/>
      <c r="J84" s="12"/>
      <c r="K84" s="12"/>
      <c r="L84" s="12"/>
      <c r="M84" s="12"/>
      <c r="N84" s="12"/>
      <c r="O84" s="12"/>
      <c r="P84" s="12"/>
      <c r="Q84" s="12"/>
      <c r="R84" s="12"/>
      <c r="S84" s="12"/>
      <c r="T84" s="12"/>
      <c r="U84" s="12"/>
      <c r="V84" s="12"/>
      <c r="W84" s="12"/>
      <c r="X84" s="12"/>
      <c r="Y84" s="12"/>
      <c r="Z84" s="12"/>
    </row>
    <row r="85" spans="1:26" ht="15.75" customHeight="1">
      <c r="A85" s="12"/>
      <c r="B85" s="12"/>
      <c r="C85" s="11"/>
      <c r="D85" s="12"/>
      <c r="E85" s="12"/>
      <c r="F85" s="12"/>
      <c r="G85" s="12"/>
      <c r="H85" s="12"/>
      <c r="I85" s="12"/>
      <c r="J85" s="12"/>
      <c r="K85" s="12"/>
      <c r="L85" s="12"/>
      <c r="M85" s="12"/>
      <c r="N85" s="12"/>
      <c r="O85" s="12"/>
      <c r="P85" s="12"/>
      <c r="Q85" s="12"/>
      <c r="R85" s="12"/>
      <c r="S85" s="12"/>
      <c r="T85" s="12"/>
      <c r="U85" s="12"/>
      <c r="V85" s="12"/>
      <c r="W85" s="12"/>
      <c r="X85" s="12"/>
      <c r="Y85" s="12"/>
      <c r="Z85" s="12"/>
    </row>
    <row r="86" spans="1:26" ht="15.75" customHeight="1">
      <c r="A86" s="12"/>
      <c r="B86" s="12"/>
      <c r="C86" s="11"/>
      <c r="D86" s="12"/>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c r="A87" s="12"/>
      <c r="B87" s="12"/>
      <c r="C87" s="11"/>
      <c r="D87" s="12"/>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c r="A88" s="12"/>
      <c r="B88" s="12"/>
      <c r="C88" s="11"/>
      <c r="D88" s="12"/>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c r="A89" s="12"/>
      <c r="B89" s="12"/>
      <c r="C89" s="11"/>
      <c r="D89" s="12"/>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c r="A90" s="12"/>
      <c r="B90" s="12"/>
      <c r="C90" s="11"/>
      <c r="D90" s="12"/>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c r="A91" s="12"/>
      <c r="B91" s="12"/>
      <c r="C91" s="11"/>
      <c r="D91" s="12"/>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c r="A92" s="12"/>
      <c r="B92" s="12"/>
      <c r="C92" s="11"/>
      <c r="D92" s="12"/>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c r="A93" s="12"/>
      <c r="B93" s="12"/>
      <c r="C93" s="11"/>
      <c r="D93" s="12"/>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c r="A94" s="12"/>
      <c r="B94" s="12"/>
      <c r="C94" s="11"/>
      <c r="D94" s="12"/>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c r="A95" s="12"/>
      <c r="B95" s="12"/>
      <c r="C95" s="11"/>
      <c r="D95" s="12"/>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c r="A96" s="12"/>
      <c r="B96" s="12"/>
      <c r="C96" s="11"/>
      <c r="D96" s="12"/>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c r="A97" s="12"/>
      <c r="B97" s="12"/>
      <c r="C97" s="11"/>
      <c r="D97" s="12"/>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c r="A98" s="12"/>
      <c r="B98" s="12"/>
      <c r="C98" s="11"/>
      <c r="D98" s="12"/>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c r="A99" s="12"/>
      <c r="B99" s="12"/>
      <c r="C99" s="11"/>
      <c r="D99" s="12"/>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c r="A100" s="12"/>
      <c r="B100" s="12"/>
      <c r="C100" s="11"/>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c r="A101" s="12"/>
      <c r="B101" s="12"/>
      <c r="C101" s="11"/>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c r="A102" s="12"/>
      <c r="B102" s="12"/>
      <c r="C102" s="11"/>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c r="A103" s="12"/>
      <c r="B103" s="12"/>
      <c r="C103" s="11"/>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c r="A104" s="12"/>
      <c r="B104" s="12"/>
      <c r="C104" s="11"/>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c r="A105" s="12"/>
      <c r="B105" s="12"/>
      <c r="C105" s="11"/>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c r="A106" s="12"/>
      <c r="B106" s="12"/>
      <c r="C106" s="11"/>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c r="A107" s="12"/>
      <c r="B107" s="12"/>
      <c r="C107" s="11"/>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c r="A108" s="12"/>
      <c r="B108" s="12"/>
      <c r="C108" s="11"/>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c r="A109" s="12"/>
      <c r="B109" s="12"/>
      <c r="C109" s="11"/>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c r="A110" s="12"/>
      <c r="B110" s="12"/>
      <c r="C110" s="11"/>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c r="A111" s="12"/>
      <c r="B111" s="12"/>
      <c r="C111" s="11"/>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c r="A112" s="12"/>
      <c r="B112" s="12"/>
      <c r="C112" s="11"/>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c r="A113" s="12"/>
      <c r="B113" s="12"/>
      <c r="C113" s="11"/>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c r="A114" s="12"/>
      <c r="B114" s="12"/>
      <c r="C114" s="11"/>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c r="A115" s="12"/>
      <c r="B115" s="12"/>
      <c r="C115" s="11"/>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c r="A116" s="12"/>
      <c r="B116" s="12"/>
      <c r="C116" s="11"/>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c r="A117" s="12"/>
      <c r="B117" s="12"/>
      <c r="C117" s="11"/>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c r="A118" s="12"/>
      <c r="B118" s="12"/>
      <c r="C118" s="11"/>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c r="A119" s="12"/>
      <c r="B119" s="12"/>
      <c r="C119" s="11"/>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c r="A120" s="12"/>
      <c r="B120" s="12"/>
      <c r="C120" s="11"/>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c r="A121" s="12"/>
      <c r="B121" s="12"/>
      <c r="C121" s="11"/>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c r="A122" s="12"/>
      <c r="B122" s="12"/>
      <c r="C122" s="11"/>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c r="A123" s="12"/>
      <c r="B123" s="12"/>
      <c r="C123" s="11"/>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c r="A124" s="12"/>
      <c r="B124" s="12"/>
      <c r="C124" s="11"/>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c r="A125" s="12"/>
      <c r="B125" s="12"/>
      <c r="C125" s="11"/>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c r="A126" s="12"/>
      <c r="B126" s="12"/>
      <c r="C126" s="11"/>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c r="A127" s="12"/>
      <c r="B127" s="12"/>
      <c r="C127" s="11"/>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c r="A128" s="12"/>
      <c r="B128" s="12"/>
      <c r="C128" s="11"/>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c r="A129" s="12"/>
      <c r="B129" s="12"/>
      <c r="C129" s="11"/>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c r="A130" s="12"/>
      <c r="B130" s="12"/>
      <c r="C130" s="11"/>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c r="A131" s="12"/>
      <c r="B131" s="12"/>
      <c r="C131" s="11"/>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c r="A132" s="12"/>
      <c r="B132" s="12"/>
      <c r="C132" s="11"/>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c r="A133" s="12"/>
      <c r="B133" s="12"/>
      <c r="C133" s="11"/>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c r="A134" s="12"/>
      <c r="B134" s="12"/>
      <c r="C134" s="11"/>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c r="A135" s="12"/>
      <c r="B135" s="12"/>
      <c r="C135" s="11"/>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c r="A136" s="12"/>
      <c r="B136" s="12"/>
      <c r="C136" s="11"/>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c r="A137" s="12"/>
      <c r="B137" s="12"/>
      <c r="C137" s="11"/>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c r="A138" s="12"/>
      <c r="B138" s="12"/>
      <c r="C138" s="11"/>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c r="A139" s="12"/>
      <c r="B139" s="12"/>
      <c r="C139" s="11"/>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c r="A140" s="12"/>
      <c r="B140" s="12"/>
      <c r="C140" s="11"/>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c r="A141" s="12"/>
      <c r="B141" s="12"/>
      <c r="C141" s="11"/>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c r="A142" s="12"/>
      <c r="B142" s="12"/>
      <c r="C142" s="11"/>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c r="A143" s="12"/>
      <c r="B143" s="12"/>
      <c r="C143" s="11"/>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c r="A144" s="12"/>
      <c r="B144" s="12"/>
      <c r="C144" s="11"/>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c r="A145" s="12"/>
      <c r="B145" s="12"/>
      <c r="C145" s="11"/>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c r="A146" s="12"/>
      <c r="B146" s="12"/>
      <c r="C146" s="11"/>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c r="A147" s="12"/>
      <c r="B147" s="12"/>
      <c r="C147" s="11"/>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c r="A148" s="12"/>
      <c r="B148" s="12"/>
      <c r="C148" s="11"/>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c r="A149" s="12"/>
      <c r="B149" s="12"/>
      <c r="C149" s="11"/>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c r="A150" s="12"/>
      <c r="B150" s="12"/>
      <c r="C150" s="11"/>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c r="A151" s="12"/>
      <c r="B151" s="12"/>
      <c r="C151" s="11"/>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c r="A152" s="12"/>
      <c r="B152" s="12"/>
      <c r="C152" s="11"/>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c r="A153" s="12"/>
      <c r="B153" s="12"/>
      <c r="C153" s="11"/>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c r="A154" s="12"/>
      <c r="B154" s="12"/>
      <c r="C154" s="11"/>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c r="A155" s="12"/>
      <c r="B155" s="12"/>
      <c r="C155" s="11"/>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c r="A156" s="12"/>
      <c r="B156" s="12"/>
      <c r="C156" s="11"/>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c r="A157" s="12"/>
      <c r="B157" s="12"/>
      <c r="C157" s="11"/>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c r="A158" s="12"/>
      <c r="B158" s="12"/>
      <c r="C158" s="11"/>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c r="A159" s="12"/>
      <c r="B159" s="12"/>
      <c r="C159" s="11"/>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c r="A160" s="12"/>
      <c r="B160" s="12"/>
      <c r="C160" s="11"/>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c r="A161" s="12"/>
      <c r="B161" s="12"/>
      <c r="C161" s="11"/>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c r="A162" s="12"/>
      <c r="B162" s="12"/>
      <c r="C162" s="11"/>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c r="A163" s="12"/>
      <c r="B163" s="12"/>
      <c r="C163" s="11"/>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c r="A164" s="12"/>
      <c r="B164" s="12"/>
      <c r="C164" s="11"/>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c r="A165" s="12"/>
      <c r="B165" s="12"/>
      <c r="C165" s="11"/>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c r="A166" s="12"/>
      <c r="B166" s="12"/>
      <c r="C166" s="11"/>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c r="A167" s="12"/>
      <c r="B167" s="12"/>
      <c r="C167" s="11"/>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c r="A168" s="12"/>
      <c r="B168" s="12"/>
      <c r="C168" s="11"/>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c r="A169" s="12"/>
      <c r="B169" s="12"/>
      <c r="C169" s="11"/>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c r="A170" s="12"/>
      <c r="B170" s="12"/>
      <c r="C170" s="11"/>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c r="A171" s="12"/>
      <c r="B171" s="12"/>
      <c r="C171" s="11"/>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c r="A172" s="12"/>
      <c r="B172" s="12"/>
      <c r="C172" s="11"/>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c r="A173" s="12"/>
      <c r="B173" s="12"/>
      <c r="C173" s="11"/>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c r="A174" s="12"/>
      <c r="B174" s="12"/>
      <c r="C174" s="11"/>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c r="A175" s="12"/>
      <c r="B175" s="12"/>
      <c r="C175" s="11"/>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c r="A176" s="12"/>
      <c r="B176" s="12"/>
      <c r="C176" s="11"/>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c r="A177" s="12"/>
      <c r="B177" s="12"/>
      <c r="C177" s="11"/>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c r="A178" s="12"/>
      <c r="B178" s="12"/>
      <c r="C178" s="11"/>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c r="A179" s="12"/>
      <c r="B179" s="12"/>
      <c r="C179" s="11"/>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c r="A180" s="12"/>
      <c r="B180" s="12"/>
      <c r="C180" s="11"/>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c r="A181" s="12"/>
      <c r="B181" s="12"/>
      <c r="C181" s="11"/>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c r="A182" s="12"/>
      <c r="B182" s="12"/>
      <c r="C182" s="11"/>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c r="A183" s="12"/>
      <c r="B183" s="12"/>
      <c r="C183" s="11"/>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c r="A184" s="12"/>
      <c r="B184" s="12"/>
      <c r="C184" s="11"/>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c r="A185" s="12"/>
      <c r="B185" s="12"/>
      <c r="C185" s="11"/>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c r="A186" s="12"/>
      <c r="B186" s="12"/>
      <c r="C186" s="11"/>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c r="A187" s="12"/>
      <c r="B187" s="12"/>
      <c r="C187" s="11"/>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c r="A188" s="12"/>
      <c r="B188" s="12"/>
      <c r="C188" s="11"/>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c r="A189" s="12"/>
      <c r="B189" s="12"/>
      <c r="C189" s="11"/>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c r="A190" s="12"/>
      <c r="B190" s="12"/>
      <c r="C190" s="11"/>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c r="A191" s="12"/>
      <c r="B191" s="12"/>
      <c r="C191" s="11"/>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c r="A192" s="12"/>
      <c r="B192" s="12"/>
      <c r="C192" s="11"/>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c r="A193" s="12"/>
      <c r="B193" s="12"/>
      <c r="C193" s="11"/>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c r="A194" s="12"/>
      <c r="B194" s="12"/>
      <c r="C194" s="11"/>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c r="A195" s="12"/>
      <c r="B195" s="12"/>
      <c r="C195" s="11"/>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c r="A196" s="12"/>
      <c r="B196" s="12"/>
      <c r="C196" s="11"/>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c r="A197" s="12"/>
      <c r="B197" s="12"/>
      <c r="C197" s="11"/>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c r="A198" s="12"/>
      <c r="B198" s="12"/>
      <c r="C198" s="11"/>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c r="A199" s="12"/>
      <c r="B199" s="12"/>
      <c r="C199" s="11"/>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c r="A200" s="12"/>
      <c r="B200" s="12"/>
      <c r="C200" s="11"/>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c r="A201" s="12"/>
      <c r="B201" s="12"/>
      <c r="C201" s="11"/>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c r="A202" s="12"/>
      <c r="B202" s="12"/>
      <c r="C202" s="11"/>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c r="A203" s="12"/>
      <c r="B203" s="12"/>
      <c r="C203" s="11"/>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c r="A204" s="12"/>
      <c r="B204" s="12"/>
      <c r="C204" s="11"/>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c r="A205" s="12"/>
      <c r="B205" s="12"/>
      <c r="C205" s="11"/>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c r="A206" s="12"/>
      <c r="B206" s="12"/>
      <c r="C206" s="11"/>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c r="A207" s="12"/>
      <c r="B207" s="12"/>
      <c r="C207" s="11"/>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c r="A208" s="12"/>
      <c r="B208" s="12"/>
      <c r="C208" s="11"/>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c r="A209" s="12"/>
      <c r="B209" s="12"/>
      <c r="C209" s="11"/>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c r="A210" s="12"/>
      <c r="B210" s="12"/>
      <c r="C210" s="11"/>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c r="A211" s="12"/>
      <c r="B211" s="12"/>
      <c r="C211" s="11"/>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c r="A212" s="12"/>
      <c r="B212" s="12"/>
      <c r="C212" s="11"/>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c r="A213" s="12"/>
      <c r="B213" s="12"/>
      <c r="C213" s="11"/>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c r="A214" s="12"/>
      <c r="B214" s="12"/>
      <c r="C214" s="11"/>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c r="A215" s="12"/>
      <c r="B215" s="12"/>
      <c r="C215" s="11"/>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c r="A216" s="12"/>
      <c r="B216" s="12"/>
      <c r="C216" s="11"/>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c r="A217" s="12"/>
      <c r="B217" s="12"/>
      <c r="C217" s="11"/>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c r="A218" s="12"/>
      <c r="B218" s="12"/>
      <c r="C218" s="11"/>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c r="A219" s="12"/>
      <c r="B219" s="12"/>
      <c r="C219" s="11"/>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c r="A220" s="12"/>
      <c r="B220" s="12"/>
      <c r="C220" s="11"/>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c r="A221" s="12"/>
      <c r="B221" s="12"/>
      <c r="C221" s="11"/>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c r="A222" s="12"/>
      <c r="B222" s="12"/>
      <c r="C222" s="11"/>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c r="A223" s="12"/>
      <c r="B223" s="12"/>
      <c r="C223" s="11"/>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c r="A224" s="12"/>
      <c r="B224" s="12"/>
      <c r="C224" s="11"/>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c r="A225" s="12"/>
      <c r="B225" s="12"/>
      <c r="C225" s="11"/>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c r="A226" s="12"/>
      <c r="B226" s="12"/>
      <c r="C226" s="11"/>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c r="A227" s="12"/>
      <c r="B227" s="12"/>
      <c r="C227" s="11"/>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c r="A228" s="12"/>
      <c r="B228" s="12"/>
      <c r="C228" s="11"/>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c r="A229" s="12"/>
      <c r="B229" s="12"/>
      <c r="C229" s="11"/>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c r="A230" s="12"/>
      <c r="B230" s="12"/>
      <c r="C230" s="11"/>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c r="A231" s="12"/>
      <c r="B231" s="12"/>
      <c r="C231" s="11"/>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c r="A232" s="12"/>
      <c r="B232" s="12"/>
      <c r="C232" s="11"/>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c r="A233" s="12"/>
      <c r="B233" s="12"/>
      <c r="C233" s="11"/>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c r="A234" s="12"/>
      <c r="B234" s="12"/>
      <c r="C234" s="11"/>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c r="A235" s="12"/>
      <c r="B235" s="12"/>
      <c r="C235" s="11"/>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c r="A236" s="12"/>
      <c r="B236" s="12"/>
      <c r="C236" s="11"/>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c r="A237" s="12"/>
      <c r="B237" s="12"/>
      <c r="C237" s="11"/>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c r="A238" s="12"/>
      <c r="B238" s="12"/>
      <c r="C238" s="11"/>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c r="A239" s="12"/>
      <c r="B239" s="12"/>
      <c r="C239" s="11"/>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c r="A240" s="12"/>
      <c r="B240" s="12"/>
      <c r="C240" s="11"/>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c r="A241" s="12"/>
      <c r="B241" s="12"/>
      <c r="C241" s="11"/>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c r="A242" s="12"/>
      <c r="B242" s="12"/>
      <c r="C242" s="11"/>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c r="A243" s="12"/>
      <c r="B243" s="12"/>
      <c r="C243" s="11"/>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c r="A244" s="12"/>
      <c r="B244" s="12"/>
      <c r="C244" s="11"/>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c r="A245" s="12"/>
      <c r="B245" s="12"/>
      <c r="C245" s="11"/>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c r="A246" s="12"/>
      <c r="B246" s="12"/>
      <c r="C246" s="11"/>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c r="A247" s="12"/>
      <c r="B247" s="12"/>
      <c r="C247" s="11"/>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c r="A248" s="12"/>
      <c r="B248" s="12"/>
      <c r="C248" s="11"/>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c r="A249" s="12"/>
      <c r="B249" s="12"/>
      <c r="C249" s="11"/>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c r="A250" s="12"/>
      <c r="B250" s="12"/>
      <c r="C250" s="11"/>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c r="A251" s="12"/>
      <c r="B251" s="12"/>
      <c r="C251" s="11"/>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c r="A252" s="12"/>
      <c r="B252" s="12"/>
      <c r="C252" s="11"/>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c r="A253" s="12"/>
      <c r="B253" s="12"/>
      <c r="C253" s="11"/>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c r="A254" s="12"/>
      <c r="B254" s="12"/>
      <c r="C254" s="11"/>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c r="A255" s="12"/>
      <c r="B255" s="12"/>
      <c r="C255" s="11"/>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c r="A256" s="12"/>
      <c r="B256" s="12"/>
      <c r="C256" s="11"/>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c r="A257" s="12"/>
      <c r="B257" s="12"/>
      <c r="C257" s="11"/>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c r="A258" s="12"/>
      <c r="B258" s="12"/>
      <c r="C258" s="11"/>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c r="A259" s="12"/>
      <c r="B259" s="12"/>
      <c r="C259" s="11"/>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c r="A260" s="12"/>
      <c r="B260" s="12"/>
      <c r="C260" s="11"/>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c r="A261" s="12"/>
      <c r="B261" s="12"/>
      <c r="C261" s="11"/>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c r="A262" s="12"/>
      <c r="B262" s="12"/>
      <c r="C262" s="11"/>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c r="A263" s="12"/>
      <c r="B263" s="12"/>
      <c r="C263" s="11"/>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c r="A264" s="12"/>
      <c r="B264" s="12"/>
      <c r="C264" s="11"/>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c r="A265" s="12"/>
      <c r="B265" s="12"/>
      <c r="C265" s="11"/>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c r="A266" s="12"/>
      <c r="B266" s="12"/>
      <c r="C266" s="11"/>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c r="A267" s="12"/>
      <c r="B267" s="12"/>
      <c r="C267" s="11"/>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c r="A268" s="12"/>
      <c r="B268" s="12"/>
      <c r="C268" s="11"/>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c r="A269" s="12"/>
      <c r="B269" s="12"/>
      <c r="C269" s="11"/>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c r="A270" s="12"/>
      <c r="B270" s="12"/>
      <c r="C270" s="11"/>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c r="A271" s="12"/>
      <c r="B271" s="12"/>
      <c r="C271" s="11"/>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c r="A272" s="12"/>
      <c r="B272" s="12"/>
      <c r="C272" s="11"/>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c r="A273" s="12"/>
      <c r="B273" s="12"/>
      <c r="C273" s="11"/>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c r="A274" s="12"/>
      <c r="B274" s="12"/>
      <c r="C274" s="11"/>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c r="A275" s="12"/>
      <c r="B275" s="12"/>
      <c r="C275" s="11"/>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c r="A276" s="12"/>
      <c r="B276" s="12"/>
      <c r="C276" s="11"/>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c r="A277" s="12"/>
      <c r="B277" s="12"/>
      <c r="C277" s="11"/>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c r="A278" s="12"/>
      <c r="B278" s="12"/>
      <c r="C278" s="11"/>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c r="A279" s="12"/>
      <c r="B279" s="12"/>
      <c r="C279" s="11"/>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c r="A280" s="12"/>
      <c r="B280" s="12"/>
      <c r="C280" s="11"/>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c r="A281" s="12"/>
      <c r="B281" s="12"/>
      <c r="C281" s="11"/>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c r="A282" s="12"/>
      <c r="B282" s="12"/>
      <c r="C282" s="11"/>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c r="A283" s="12"/>
      <c r="B283" s="12"/>
      <c r="C283" s="11"/>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c r="A284" s="12"/>
      <c r="B284" s="12"/>
      <c r="C284" s="11"/>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c r="A285" s="12"/>
      <c r="B285" s="12"/>
      <c r="C285" s="11"/>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c r="A286" s="12"/>
      <c r="B286" s="12"/>
      <c r="C286" s="11"/>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c r="A287" s="12"/>
      <c r="B287" s="12"/>
      <c r="C287" s="11"/>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c r="A288" s="12"/>
      <c r="B288" s="12"/>
      <c r="C288" s="11"/>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c r="A289" s="12"/>
      <c r="B289" s="12"/>
      <c r="C289" s="11"/>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c r="A290" s="12"/>
      <c r="B290" s="12"/>
      <c r="C290" s="11"/>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c r="A291" s="12"/>
      <c r="B291" s="12"/>
      <c r="C291" s="11"/>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c r="A292" s="12"/>
      <c r="B292" s="12"/>
      <c r="C292" s="11"/>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c r="A293" s="12"/>
      <c r="B293" s="12"/>
      <c r="C293" s="11"/>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c r="A294" s="12"/>
      <c r="B294" s="12"/>
      <c r="C294" s="11"/>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c r="A295" s="12"/>
      <c r="B295" s="12"/>
      <c r="C295" s="11"/>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c r="A296" s="12"/>
      <c r="B296" s="12"/>
      <c r="C296" s="11"/>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c r="A297" s="12"/>
      <c r="B297" s="12"/>
      <c r="C297" s="11"/>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c r="A298" s="12"/>
      <c r="B298" s="12"/>
      <c r="C298" s="11"/>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c r="A299" s="12"/>
      <c r="B299" s="12"/>
      <c r="C299" s="11"/>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c r="A300" s="12"/>
      <c r="B300" s="12"/>
      <c r="C300" s="11"/>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c r="A301" s="12"/>
      <c r="B301" s="12"/>
      <c r="C301" s="11"/>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c r="A302" s="12"/>
      <c r="B302" s="12"/>
      <c r="C302" s="11"/>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c r="A303" s="12"/>
      <c r="B303" s="12"/>
      <c r="C303" s="11"/>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c r="A304" s="12"/>
      <c r="B304" s="12"/>
      <c r="C304" s="11"/>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c r="A305" s="12"/>
      <c r="B305" s="12"/>
      <c r="C305" s="11"/>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c r="A306" s="12"/>
      <c r="B306" s="12"/>
      <c r="C306" s="11"/>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c r="A307" s="12"/>
      <c r="B307" s="12"/>
      <c r="C307" s="11"/>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c r="A308" s="12"/>
      <c r="B308" s="12"/>
      <c r="C308" s="11"/>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c r="A309" s="12"/>
      <c r="B309" s="12"/>
      <c r="C309" s="11"/>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c r="A310" s="12"/>
      <c r="B310" s="12"/>
      <c r="C310" s="11"/>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c r="A311" s="12"/>
      <c r="B311" s="12"/>
      <c r="C311" s="11"/>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c r="A312" s="12"/>
      <c r="B312" s="12"/>
      <c r="C312" s="11"/>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c r="A313" s="12"/>
      <c r="B313" s="12"/>
      <c r="C313" s="11"/>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c r="A314" s="12"/>
      <c r="B314" s="12"/>
      <c r="C314" s="11"/>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c r="A315" s="12"/>
      <c r="B315" s="12"/>
      <c r="C315" s="11"/>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c r="A316" s="12"/>
      <c r="B316" s="12"/>
      <c r="C316" s="11"/>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c r="A317" s="12"/>
      <c r="B317" s="12"/>
      <c r="C317" s="11"/>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c r="A318" s="12"/>
      <c r="B318" s="12"/>
      <c r="C318" s="11"/>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c r="A319" s="12"/>
      <c r="B319" s="12"/>
      <c r="C319" s="11"/>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c r="A320" s="12"/>
      <c r="B320" s="12"/>
      <c r="C320" s="11"/>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c r="A321" s="12"/>
      <c r="B321" s="12"/>
      <c r="C321" s="11"/>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c r="A322" s="12"/>
      <c r="B322" s="12"/>
      <c r="C322" s="11"/>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c r="A323" s="12"/>
      <c r="B323" s="12"/>
      <c r="C323" s="11"/>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c r="A324" s="12"/>
      <c r="B324" s="12"/>
      <c r="C324" s="11"/>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c r="A325" s="12"/>
      <c r="B325" s="12"/>
      <c r="C325" s="11"/>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c r="A326" s="12"/>
      <c r="B326" s="12"/>
      <c r="C326" s="11"/>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c r="A327" s="12"/>
      <c r="B327" s="12"/>
      <c r="C327" s="11"/>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c r="A328" s="12"/>
      <c r="B328" s="12"/>
      <c r="C328" s="11"/>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c r="A329" s="12"/>
      <c r="B329" s="12"/>
      <c r="C329" s="11"/>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c r="A330" s="12"/>
      <c r="B330" s="12"/>
      <c r="C330" s="11"/>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c r="A331" s="12"/>
      <c r="B331" s="12"/>
      <c r="C331" s="11"/>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c r="A332" s="12"/>
      <c r="B332" s="12"/>
      <c r="C332" s="11"/>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c r="A333" s="12"/>
      <c r="B333" s="12"/>
      <c r="C333" s="11"/>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c r="A334" s="12"/>
      <c r="B334" s="12"/>
      <c r="C334" s="11"/>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c r="A335" s="12"/>
      <c r="B335" s="12"/>
      <c r="C335" s="11"/>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c r="A336" s="12"/>
      <c r="B336" s="12"/>
      <c r="C336" s="11"/>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c r="A337" s="12"/>
      <c r="B337" s="12"/>
      <c r="C337" s="11"/>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c r="A338" s="12"/>
      <c r="B338" s="12"/>
      <c r="C338" s="11"/>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c r="A339" s="12"/>
      <c r="B339" s="12"/>
      <c r="C339" s="11"/>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c r="A340" s="12"/>
      <c r="B340" s="12"/>
      <c r="C340" s="11"/>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c r="A341" s="12"/>
      <c r="B341" s="12"/>
      <c r="C341" s="11"/>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c r="A342" s="12"/>
      <c r="B342" s="12"/>
      <c r="C342" s="11"/>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c r="A343" s="12"/>
      <c r="B343" s="12"/>
      <c r="C343" s="11"/>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c r="A344" s="12"/>
      <c r="B344" s="12"/>
      <c r="C344" s="11"/>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c r="A345" s="12"/>
      <c r="B345" s="12"/>
      <c r="C345" s="11"/>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c r="A346" s="12"/>
      <c r="B346" s="12"/>
      <c r="C346" s="11"/>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c r="A347" s="12"/>
      <c r="B347" s="12"/>
      <c r="C347" s="11"/>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c r="A348" s="12"/>
      <c r="B348" s="12"/>
      <c r="C348" s="11"/>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c r="A349" s="12"/>
      <c r="B349" s="12"/>
      <c r="C349" s="11"/>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c r="A350" s="12"/>
      <c r="B350" s="12"/>
      <c r="C350" s="11"/>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c r="A351" s="12"/>
      <c r="B351" s="12"/>
      <c r="C351" s="11"/>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c r="A352" s="12"/>
      <c r="B352" s="12"/>
      <c r="C352" s="11"/>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c r="A353" s="12"/>
      <c r="B353" s="12"/>
      <c r="C353" s="11"/>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c r="A354" s="12"/>
      <c r="B354" s="12"/>
      <c r="C354" s="11"/>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c r="A355" s="12"/>
      <c r="B355" s="12"/>
      <c r="C355" s="11"/>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c r="A356" s="12"/>
      <c r="B356" s="12"/>
      <c r="C356" s="11"/>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c r="A357" s="12"/>
      <c r="B357" s="12"/>
      <c r="C357" s="11"/>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c r="A358" s="12"/>
      <c r="B358" s="12"/>
      <c r="C358" s="11"/>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c r="A359" s="12"/>
      <c r="B359" s="12"/>
      <c r="C359" s="11"/>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c r="A360" s="12"/>
      <c r="B360" s="12"/>
      <c r="C360" s="11"/>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c r="A361" s="12"/>
      <c r="B361" s="12"/>
      <c r="C361" s="11"/>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c r="A362" s="12"/>
      <c r="B362" s="12"/>
      <c r="C362" s="11"/>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c r="A363" s="12"/>
      <c r="B363" s="12"/>
      <c r="C363" s="11"/>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c r="A364" s="12"/>
      <c r="B364" s="12"/>
      <c r="C364" s="11"/>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c r="A365" s="12"/>
      <c r="B365" s="12"/>
      <c r="C365" s="11"/>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c r="A366" s="12"/>
      <c r="B366" s="12"/>
      <c r="C366" s="11"/>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c r="A367" s="12"/>
      <c r="B367" s="12"/>
      <c r="C367" s="11"/>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c r="A368" s="12"/>
      <c r="B368" s="12"/>
      <c r="C368" s="11"/>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c r="A369" s="12"/>
      <c r="B369" s="12"/>
      <c r="C369" s="11"/>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c r="A370" s="12"/>
      <c r="B370" s="12"/>
      <c r="C370" s="11"/>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c r="A371" s="12"/>
      <c r="B371" s="12"/>
      <c r="C371" s="11"/>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c r="A372" s="12"/>
      <c r="B372" s="12"/>
      <c r="C372" s="11"/>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c r="A373" s="12"/>
      <c r="B373" s="12"/>
      <c r="C373" s="11"/>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c r="A374" s="12"/>
      <c r="B374" s="12"/>
      <c r="C374" s="11"/>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c r="A375" s="12"/>
      <c r="B375" s="12"/>
      <c r="C375" s="11"/>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c r="A376" s="12"/>
      <c r="B376" s="12"/>
      <c r="C376" s="11"/>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c r="A377" s="12"/>
      <c r="B377" s="12"/>
      <c r="C377" s="11"/>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c r="A378" s="12"/>
      <c r="B378" s="12"/>
      <c r="C378" s="11"/>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c r="A379" s="12"/>
      <c r="B379" s="12"/>
      <c r="C379" s="11"/>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c r="A380" s="12"/>
      <c r="B380" s="12"/>
      <c r="C380" s="11"/>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c r="A381" s="12"/>
      <c r="B381" s="12"/>
      <c r="C381" s="11"/>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c r="A382" s="12"/>
      <c r="B382" s="12"/>
      <c r="C382" s="11"/>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c r="A383" s="12"/>
      <c r="B383" s="12"/>
      <c r="C383" s="11"/>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c r="A384" s="12"/>
      <c r="B384" s="12"/>
      <c r="C384" s="11"/>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c r="A385" s="12"/>
      <c r="B385" s="12"/>
      <c r="C385" s="11"/>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c r="A386" s="12"/>
      <c r="B386" s="12"/>
      <c r="C386" s="11"/>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c r="A387" s="12"/>
      <c r="B387" s="12"/>
      <c r="C387" s="11"/>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c r="A388" s="12"/>
      <c r="B388" s="12"/>
      <c r="C388" s="11"/>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c r="A389" s="12"/>
      <c r="B389" s="12"/>
      <c r="C389" s="11"/>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c r="A390" s="12"/>
      <c r="B390" s="12"/>
      <c r="C390" s="11"/>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c r="A391" s="12"/>
      <c r="B391" s="12"/>
      <c r="C391" s="11"/>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c r="A392" s="12"/>
      <c r="B392" s="12"/>
      <c r="C392" s="11"/>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c r="A393" s="12"/>
      <c r="B393" s="12"/>
      <c r="C393" s="11"/>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c r="A394" s="12"/>
      <c r="B394" s="12"/>
      <c r="C394" s="11"/>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c r="A395" s="12"/>
      <c r="B395" s="12"/>
      <c r="C395" s="11"/>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c r="A396" s="12"/>
      <c r="B396" s="12"/>
      <c r="C396" s="11"/>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c r="A397" s="12"/>
      <c r="B397" s="12"/>
      <c r="C397" s="11"/>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c r="A398" s="12"/>
      <c r="B398" s="12"/>
      <c r="C398" s="11"/>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c r="A399" s="12"/>
      <c r="B399" s="12"/>
      <c r="C399" s="11"/>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c r="A400" s="12"/>
      <c r="B400" s="12"/>
      <c r="C400" s="11"/>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c r="A401" s="12"/>
      <c r="B401" s="12"/>
      <c r="C401" s="11"/>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c r="A402" s="12"/>
      <c r="B402" s="12"/>
      <c r="C402" s="11"/>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c r="A403" s="12"/>
      <c r="B403" s="12"/>
      <c r="C403" s="11"/>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c r="A404" s="12"/>
      <c r="B404" s="12"/>
      <c r="C404" s="11"/>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c r="A405" s="12"/>
      <c r="B405" s="12"/>
      <c r="C405" s="11"/>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c r="A406" s="12"/>
      <c r="B406" s="12"/>
      <c r="C406" s="11"/>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c r="A407" s="12"/>
      <c r="B407" s="12"/>
      <c r="C407" s="11"/>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c r="A408" s="12"/>
      <c r="B408" s="12"/>
      <c r="C408" s="11"/>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c r="A409" s="12"/>
      <c r="B409" s="12"/>
      <c r="C409" s="11"/>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c r="A410" s="12"/>
      <c r="B410" s="12"/>
      <c r="C410" s="11"/>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c r="A411" s="12"/>
      <c r="B411" s="12"/>
      <c r="C411" s="11"/>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c r="A412" s="12"/>
      <c r="B412" s="12"/>
      <c r="C412" s="11"/>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c r="A413" s="12"/>
      <c r="B413" s="12"/>
      <c r="C413" s="11"/>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c r="A414" s="12"/>
      <c r="B414" s="12"/>
      <c r="C414" s="11"/>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c r="A415" s="12"/>
      <c r="B415" s="12"/>
      <c r="C415" s="11"/>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c r="A416" s="12"/>
      <c r="B416" s="12"/>
      <c r="C416" s="11"/>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c r="A417" s="12"/>
      <c r="B417" s="12"/>
      <c r="C417" s="11"/>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c r="A418" s="12"/>
      <c r="B418" s="12"/>
      <c r="C418" s="11"/>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c r="A419" s="12"/>
      <c r="B419" s="12"/>
      <c r="C419" s="11"/>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c r="A420" s="12"/>
      <c r="B420" s="12"/>
      <c r="C420" s="11"/>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c r="A421" s="12"/>
      <c r="B421" s="12"/>
      <c r="C421" s="11"/>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c r="A422" s="12"/>
      <c r="B422" s="12"/>
      <c r="C422" s="11"/>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c r="A423" s="12"/>
      <c r="B423" s="12"/>
      <c r="C423" s="11"/>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c r="A424" s="12"/>
      <c r="B424" s="12"/>
      <c r="C424" s="11"/>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c r="A425" s="12"/>
      <c r="B425" s="12"/>
      <c r="C425" s="11"/>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c r="A426" s="12"/>
      <c r="B426" s="12"/>
      <c r="C426" s="11"/>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c r="A427" s="12"/>
      <c r="B427" s="12"/>
      <c r="C427" s="11"/>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c r="A428" s="12"/>
      <c r="B428" s="12"/>
      <c r="C428" s="11"/>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c r="A429" s="12"/>
      <c r="B429" s="12"/>
      <c r="C429" s="11"/>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c r="A430" s="12"/>
      <c r="B430" s="12"/>
      <c r="C430" s="11"/>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c r="A431" s="12"/>
      <c r="B431" s="12"/>
      <c r="C431" s="11"/>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c r="A432" s="12"/>
      <c r="B432" s="12"/>
      <c r="C432" s="11"/>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c r="A433" s="12"/>
      <c r="B433" s="12"/>
      <c r="C433" s="11"/>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c r="A434" s="12"/>
      <c r="B434" s="12"/>
      <c r="C434" s="11"/>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c r="A435" s="12"/>
      <c r="B435" s="12"/>
      <c r="C435" s="11"/>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c r="A436" s="12"/>
      <c r="B436" s="12"/>
      <c r="C436" s="11"/>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c r="A437" s="12"/>
      <c r="B437" s="12"/>
      <c r="C437" s="11"/>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c r="A438" s="12"/>
      <c r="B438" s="12"/>
      <c r="C438" s="11"/>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c r="A439" s="12"/>
      <c r="B439" s="12"/>
      <c r="C439" s="11"/>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c r="A440" s="12"/>
      <c r="B440" s="12"/>
      <c r="C440" s="11"/>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c r="A441" s="12"/>
      <c r="B441" s="12"/>
      <c r="C441" s="11"/>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c r="A442" s="12"/>
      <c r="B442" s="12"/>
      <c r="C442" s="11"/>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c r="A443" s="12"/>
      <c r="B443" s="12"/>
      <c r="C443" s="11"/>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c r="A444" s="12"/>
      <c r="B444" s="12"/>
      <c r="C444" s="11"/>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c r="A445" s="12"/>
      <c r="B445" s="12"/>
      <c r="C445" s="11"/>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c r="A446" s="12"/>
      <c r="B446" s="12"/>
      <c r="C446" s="11"/>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c r="A447" s="12"/>
      <c r="B447" s="12"/>
      <c r="C447" s="11"/>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c r="A448" s="12"/>
      <c r="B448" s="12"/>
      <c r="C448" s="11"/>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c r="A449" s="12"/>
      <c r="B449" s="12"/>
      <c r="C449" s="11"/>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c r="A450" s="12"/>
      <c r="B450" s="12"/>
      <c r="C450" s="11"/>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c r="A451" s="12"/>
      <c r="B451" s="12"/>
      <c r="C451" s="11"/>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c r="A452" s="12"/>
      <c r="B452" s="12"/>
      <c r="C452" s="11"/>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c r="A453" s="12"/>
      <c r="B453" s="12"/>
      <c r="C453" s="11"/>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c r="A454" s="12"/>
      <c r="B454" s="12"/>
      <c r="C454" s="11"/>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c r="A455" s="12"/>
      <c r="B455" s="12"/>
      <c r="C455" s="11"/>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c r="A456" s="12"/>
      <c r="B456" s="12"/>
      <c r="C456" s="11"/>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c r="A457" s="12"/>
      <c r="B457" s="12"/>
      <c r="C457" s="11"/>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c r="A458" s="12"/>
      <c r="B458" s="12"/>
      <c r="C458" s="11"/>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c r="A459" s="12"/>
      <c r="B459" s="12"/>
      <c r="C459" s="11"/>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c r="A460" s="12"/>
      <c r="B460" s="12"/>
      <c r="C460" s="11"/>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c r="A461" s="12"/>
      <c r="B461" s="12"/>
      <c r="C461" s="11"/>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c r="A462" s="12"/>
      <c r="B462" s="12"/>
      <c r="C462" s="11"/>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c r="A463" s="12"/>
      <c r="B463" s="12"/>
      <c r="C463" s="11"/>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c r="A464" s="12"/>
      <c r="B464" s="12"/>
      <c r="C464" s="11"/>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c r="A465" s="12"/>
      <c r="B465" s="12"/>
      <c r="C465" s="11"/>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c r="A466" s="12"/>
      <c r="B466" s="12"/>
      <c r="C466" s="11"/>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c r="A467" s="12"/>
      <c r="B467" s="12"/>
      <c r="C467" s="11"/>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c r="A468" s="12"/>
      <c r="B468" s="12"/>
      <c r="C468" s="11"/>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c r="A469" s="12"/>
      <c r="B469" s="12"/>
      <c r="C469" s="11"/>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c r="A470" s="12"/>
      <c r="B470" s="12"/>
      <c r="C470" s="11"/>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c r="A471" s="12"/>
      <c r="B471" s="12"/>
      <c r="C471" s="11"/>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c r="A472" s="12"/>
      <c r="B472" s="12"/>
      <c r="C472" s="11"/>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c r="A473" s="12"/>
      <c r="B473" s="12"/>
      <c r="C473" s="11"/>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c r="A474" s="12"/>
      <c r="B474" s="12"/>
      <c r="C474" s="11"/>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c r="A475" s="12"/>
      <c r="B475" s="12"/>
      <c r="C475" s="11"/>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c r="A476" s="12"/>
      <c r="B476" s="12"/>
      <c r="C476" s="11"/>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c r="A477" s="12"/>
      <c r="B477" s="12"/>
      <c r="C477" s="11"/>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c r="A478" s="12"/>
      <c r="B478" s="12"/>
      <c r="C478" s="11"/>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c r="A479" s="12"/>
      <c r="B479" s="12"/>
      <c r="C479" s="11"/>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c r="A480" s="12"/>
      <c r="B480" s="12"/>
      <c r="C480" s="11"/>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c r="A481" s="12"/>
      <c r="B481" s="12"/>
      <c r="C481" s="11"/>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c r="A482" s="12"/>
      <c r="B482" s="12"/>
      <c r="C482" s="11"/>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c r="A483" s="12"/>
      <c r="B483" s="12"/>
      <c r="C483" s="11"/>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c r="A484" s="12"/>
      <c r="B484" s="12"/>
      <c r="C484" s="11"/>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c r="A485" s="12"/>
      <c r="B485" s="12"/>
      <c r="C485" s="11"/>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c r="A486" s="12"/>
      <c r="B486" s="12"/>
      <c r="C486" s="11"/>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c r="A487" s="12"/>
      <c r="B487" s="12"/>
      <c r="C487" s="11"/>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c r="A488" s="12"/>
      <c r="B488" s="12"/>
      <c r="C488" s="11"/>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c r="A489" s="12"/>
      <c r="B489" s="12"/>
      <c r="C489" s="11"/>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c r="A490" s="12"/>
      <c r="B490" s="12"/>
      <c r="C490" s="11"/>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c r="A491" s="12"/>
      <c r="B491" s="12"/>
      <c r="C491" s="11"/>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c r="A492" s="12"/>
      <c r="B492" s="12"/>
      <c r="C492" s="11"/>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c r="A493" s="12"/>
      <c r="B493" s="12"/>
      <c r="C493" s="11"/>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c r="A494" s="12"/>
      <c r="B494" s="12"/>
      <c r="C494" s="11"/>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c r="A495" s="12"/>
      <c r="B495" s="12"/>
      <c r="C495" s="11"/>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c r="A496" s="12"/>
      <c r="B496" s="12"/>
      <c r="C496" s="11"/>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c r="A497" s="12"/>
      <c r="B497" s="12"/>
      <c r="C497" s="11"/>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c r="A498" s="12"/>
      <c r="B498" s="12"/>
      <c r="C498" s="11"/>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c r="A499" s="12"/>
      <c r="B499" s="12"/>
      <c r="C499" s="11"/>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c r="A500" s="12"/>
      <c r="B500" s="12"/>
      <c r="C500" s="11"/>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c r="A501" s="12"/>
      <c r="B501" s="12"/>
      <c r="C501" s="11"/>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c r="A502" s="12"/>
      <c r="B502" s="12"/>
      <c r="C502" s="11"/>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c r="A503" s="12"/>
      <c r="B503" s="12"/>
      <c r="C503" s="11"/>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c r="A504" s="12"/>
      <c r="B504" s="12"/>
      <c r="C504" s="11"/>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c r="A505" s="12"/>
      <c r="B505" s="12"/>
      <c r="C505" s="11"/>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c r="A506" s="12"/>
      <c r="B506" s="12"/>
      <c r="C506" s="11"/>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c r="A507" s="12"/>
      <c r="B507" s="12"/>
      <c r="C507" s="11"/>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c r="A508" s="12"/>
      <c r="B508" s="12"/>
      <c r="C508" s="11"/>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c r="A509" s="12"/>
      <c r="B509" s="12"/>
      <c r="C509" s="11"/>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c r="A510" s="12"/>
      <c r="B510" s="12"/>
      <c r="C510" s="11"/>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c r="A511" s="12"/>
      <c r="B511" s="12"/>
      <c r="C511" s="11"/>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c r="A512" s="12"/>
      <c r="B512" s="12"/>
      <c r="C512" s="11"/>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c r="A513" s="12"/>
      <c r="B513" s="12"/>
      <c r="C513" s="11"/>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c r="A514" s="12"/>
      <c r="B514" s="12"/>
      <c r="C514" s="11"/>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c r="A515" s="12"/>
      <c r="B515" s="12"/>
      <c r="C515" s="11"/>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c r="A516" s="12"/>
      <c r="B516" s="12"/>
      <c r="C516" s="11"/>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c r="A517" s="12"/>
      <c r="B517" s="12"/>
      <c r="C517" s="11"/>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c r="A518" s="12"/>
      <c r="B518" s="12"/>
      <c r="C518" s="11"/>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c r="A519" s="12"/>
      <c r="B519" s="12"/>
      <c r="C519" s="11"/>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c r="A520" s="12"/>
      <c r="B520" s="12"/>
      <c r="C520" s="11"/>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c r="A521" s="12"/>
      <c r="B521" s="12"/>
      <c r="C521" s="11"/>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c r="A522" s="12"/>
      <c r="B522" s="12"/>
      <c r="C522" s="11"/>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c r="A523" s="12"/>
      <c r="B523" s="12"/>
      <c r="C523" s="11"/>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c r="A524" s="12"/>
      <c r="B524" s="12"/>
      <c r="C524" s="11"/>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c r="A525" s="12"/>
      <c r="B525" s="12"/>
      <c r="C525" s="11"/>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c r="A526" s="12"/>
      <c r="B526" s="12"/>
      <c r="C526" s="11"/>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c r="A527" s="12"/>
      <c r="B527" s="12"/>
      <c r="C527" s="11"/>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c r="A528" s="12"/>
      <c r="B528" s="12"/>
      <c r="C528" s="11"/>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c r="A529" s="12"/>
      <c r="B529" s="12"/>
      <c r="C529" s="11"/>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c r="A530" s="12"/>
      <c r="B530" s="12"/>
      <c r="C530" s="11"/>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c r="A531" s="12"/>
      <c r="B531" s="12"/>
      <c r="C531" s="11"/>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c r="A532" s="12"/>
      <c r="B532" s="12"/>
      <c r="C532" s="11"/>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c r="A533" s="12"/>
      <c r="B533" s="12"/>
      <c r="C533" s="11"/>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c r="A534" s="12"/>
      <c r="B534" s="12"/>
      <c r="C534" s="11"/>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c r="A535" s="12"/>
      <c r="B535" s="12"/>
      <c r="C535" s="11"/>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c r="A536" s="12"/>
      <c r="B536" s="12"/>
      <c r="C536" s="11"/>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c r="A537" s="12"/>
      <c r="B537" s="12"/>
      <c r="C537" s="11"/>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c r="A538" s="12"/>
      <c r="B538" s="12"/>
      <c r="C538" s="11"/>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c r="A539" s="12"/>
      <c r="B539" s="12"/>
      <c r="C539" s="11"/>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c r="A540" s="12"/>
      <c r="B540" s="12"/>
      <c r="C540" s="11"/>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c r="A541" s="12"/>
      <c r="B541" s="12"/>
      <c r="C541" s="11"/>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c r="A542" s="12"/>
      <c r="B542" s="12"/>
      <c r="C542" s="11"/>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c r="A543" s="12"/>
      <c r="B543" s="12"/>
      <c r="C543" s="11"/>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c r="A544" s="12"/>
      <c r="B544" s="12"/>
      <c r="C544" s="11"/>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c r="A545" s="12"/>
      <c r="B545" s="12"/>
      <c r="C545" s="11"/>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c r="A546" s="12"/>
      <c r="B546" s="12"/>
      <c r="C546" s="11"/>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c r="A547" s="12"/>
      <c r="B547" s="12"/>
      <c r="C547" s="11"/>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c r="A548" s="12"/>
      <c r="B548" s="12"/>
      <c r="C548" s="11"/>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c r="A549" s="12"/>
      <c r="B549" s="12"/>
      <c r="C549" s="11"/>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c r="A550" s="12"/>
      <c r="B550" s="12"/>
      <c r="C550" s="11"/>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c r="A551" s="12"/>
      <c r="B551" s="12"/>
      <c r="C551" s="11"/>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c r="A552" s="12"/>
      <c r="B552" s="12"/>
      <c r="C552" s="11"/>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c r="A553" s="12"/>
      <c r="B553" s="12"/>
      <c r="C553" s="11"/>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c r="A554" s="12"/>
      <c r="B554" s="12"/>
      <c r="C554" s="11"/>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c r="A555" s="12"/>
      <c r="B555" s="12"/>
      <c r="C555" s="11"/>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c r="A556" s="12"/>
      <c r="B556" s="12"/>
      <c r="C556" s="11"/>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c r="A557" s="12"/>
      <c r="B557" s="12"/>
      <c r="C557" s="11"/>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c r="A558" s="12"/>
      <c r="B558" s="12"/>
      <c r="C558" s="11"/>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c r="A559" s="12"/>
      <c r="B559" s="12"/>
      <c r="C559" s="11"/>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c r="A560" s="12"/>
      <c r="B560" s="12"/>
      <c r="C560" s="11"/>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c r="A561" s="12"/>
      <c r="B561" s="12"/>
      <c r="C561" s="11"/>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c r="A562" s="12"/>
      <c r="B562" s="12"/>
      <c r="C562" s="11"/>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c r="A563" s="12"/>
      <c r="B563" s="12"/>
      <c r="C563" s="11"/>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c r="A564" s="12"/>
      <c r="B564" s="12"/>
      <c r="C564" s="11"/>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c r="A565" s="12"/>
      <c r="B565" s="12"/>
      <c r="C565" s="11"/>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c r="A566" s="12"/>
      <c r="B566" s="12"/>
      <c r="C566" s="11"/>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c r="A567" s="12"/>
      <c r="B567" s="12"/>
      <c r="C567" s="11"/>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c r="A568" s="12"/>
      <c r="B568" s="12"/>
      <c r="C568" s="11"/>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c r="A569" s="12"/>
      <c r="B569" s="12"/>
      <c r="C569" s="11"/>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c r="A570" s="12"/>
      <c r="B570" s="12"/>
      <c r="C570" s="11"/>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c r="A571" s="12"/>
      <c r="B571" s="12"/>
      <c r="C571" s="11"/>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c r="A572" s="12"/>
      <c r="B572" s="12"/>
      <c r="C572" s="11"/>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c r="A573" s="12"/>
      <c r="B573" s="12"/>
      <c r="C573" s="11"/>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c r="A574" s="12"/>
      <c r="B574" s="12"/>
      <c r="C574" s="11"/>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c r="A575" s="12"/>
      <c r="B575" s="12"/>
      <c r="C575" s="11"/>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c r="A576" s="12"/>
      <c r="B576" s="12"/>
      <c r="C576" s="11"/>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c r="A577" s="12"/>
      <c r="B577" s="12"/>
      <c r="C577" s="11"/>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c r="A578" s="12"/>
      <c r="B578" s="12"/>
      <c r="C578" s="11"/>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c r="A579" s="12"/>
      <c r="B579" s="12"/>
      <c r="C579" s="11"/>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c r="A580" s="12"/>
      <c r="B580" s="12"/>
      <c r="C580" s="11"/>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c r="A581" s="12"/>
      <c r="B581" s="12"/>
      <c r="C581" s="11"/>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c r="A582" s="12"/>
      <c r="B582" s="12"/>
      <c r="C582" s="11"/>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c r="A583" s="12"/>
      <c r="B583" s="12"/>
      <c r="C583" s="11"/>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c r="A584" s="12"/>
      <c r="B584" s="12"/>
      <c r="C584" s="11"/>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c r="A585" s="12"/>
      <c r="B585" s="12"/>
      <c r="C585" s="11"/>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c r="A586" s="12"/>
      <c r="B586" s="12"/>
      <c r="C586" s="11"/>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c r="A587" s="12"/>
      <c r="B587" s="12"/>
      <c r="C587" s="11"/>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c r="A588" s="12"/>
      <c r="B588" s="12"/>
      <c r="C588" s="11"/>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c r="A589" s="12"/>
      <c r="B589" s="12"/>
      <c r="C589" s="11"/>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c r="A590" s="12"/>
      <c r="B590" s="12"/>
      <c r="C590" s="11"/>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c r="A591" s="12"/>
      <c r="B591" s="12"/>
      <c r="C591" s="11"/>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c r="A592" s="12"/>
      <c r="B592" s="12"/>
      <c r="C592" s="11"/>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c r="A593" s="12"/>
      <c r="B593" s="12"/>
      <c r="C593" s="11"/>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c r="A594" s="12"/>
      <c r="B594" s="12"/>
      <c r="C594" s="11"/>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c r="A595" s="12"/>
      <c r="B595" s="12"/>
      <c r="C595" s="11"/>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c r="A596" s="12"/>
      <c r="B596" s="12"/>
      <c r="C596" s="11"/>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c r="A597" s="12"/>
      <c r="B597" s="12"/>
      <c r="C597" s="11"/>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c r="A598" s="12"/>
      <c r="B598" s="12"/>
      <c r="C598" s="11"/>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c r="A599" s="12"/>
      <c r="B599" s="12"/>
      <c r="C599" s="11"/>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c r="A600" s="12"/>
      <c r="B600" s="12"/>
      <c r="C600" s="11"/>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c r="A601" s="12"/>
      <c r="B601" s="12"/>
      <c r="C601" s="11"/>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c r="A602" s="12"/>
      <c r="B602" s="12"/>
      <c r="C602" s="11"/>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c r="A603" s="12"/>
      <c r="B603" s="12"/>
      <c r="C603" s="11"/>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c r="A604" s="12"/>
      <c r="B604" s="12"/>
      <c r="C604" s="11"/>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c r="A605" s="12"/>
      <c r="B605" s="12"/>
      <c r="C605" s="11"/>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c r="A606" s="12"/>
      <c r="B606" s="12"/>
      <c r="C606" s="11"/>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c r="A607" s="12"/>
      <c r="B607" s="12"/>
      <c r="C607" s="11"/>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c r="A608" s="12"/>
      <c r="B608" s="12"/>
      <c r="C608" s="11"/>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c r="A609" s="12"/>
      <c r="B609" s="12"/>
      <c r="C609" s="11"/>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c r="A610" s="12"/>
      <c r="B610" s="12"/>
      <c r="C610" s="11"/>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c r="A611" s="12"/>
      <c r="B611" s="12"/>
      <c r="C611" s="11"/>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c r="A612" s="12"/>
      <c r="B612" s="12"/>
      <c r="C612" s="11"/>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c r="A613" s="12"/>
      <c r="B613" s="12"/>
      <c r="C613" s="11"/>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c r="A614" s="12"/>
      <c r="B614" s="12"/>
      <c r="C614" s="11"/>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c r="A615" s="12"/>
      <c r="B615" s="12"/>
      <c r="C615" s="11"/>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c r="A616" s="12"/>
      <c r="B616" s="12"/>
      <c r="C616" s="11"/>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c r="A617" s="12"/>
      <c r="B617" s="12"/>
      <c r="C617" s="11"/>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c r="A618" s="12"/>
      <c r="B618" s="12"/>
      <c r="C618" s="11"/>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c r="A619" s="12"/>
      <c r="B619" s="12"/>
      <c r="C619" s="11"/>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c r="A620" s="12"/>
      <c r="B620" s="12"/>
      <c r="C620" s="11"/>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c r="A621" s="12"/>
      <c r="B621" s="12"/>
      <c r="C621" s="11"/>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c r="A622" s="12"/>
      <c r="B622" s="12"/>
      <c r="C622" s="11"/>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c r="A623" s="12"/>
      <c r="B623" s="12"/>
      <c r="C623" s="11"/>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c r="A624" s="12"/>
      <c r="B624" s="12"/>
      <c r="C624" s="11"/>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c r="A625" s="12"/>
      <c r="B625" s="12"/>
      <c r="C625" s="11"/>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c r="A626" s="12"/>
      <c r="B626" s="12"/>
      <c r="C626" s="11"/>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c r="A627" s="12"/>
      <c r="B627" s="12"/>
      <c r="C627" s="11"/>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c r="A628" s="12"/>
      <c r="B628" s="12"/>
      <c r="C628" s="11"/>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c r="A629" s="12"/>
      <c r="B629" s="12"/>
      <c r="C629" s="11"/>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c r="A630" s="12"/>
      <c r="B630" s="12"/>
      <c r="C630" s="11"/>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c r="A631" s="12"/>
      <c r="B631" s="12"/>
      <c r="C631" s="11"/>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c r="A632" s="12"/>
      <c r="B632" s="12"/>
      <c r="C632" s="11"/>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c r="A633" s="12"/>
      <c r="B633" s="12"/>
      <c r="C633" s="11"/>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c r="A634" s="12"/>
      <c r="B634" s="12"/>
      <c r="C634" s="11"/>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c r="A635" s="12"/>
      <c r="B635" s="12"/>
      <c r="C635" s="11"/>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c r="A636" s="12"/>
      <c r="B636" s="12"/>
      <c r="C636" s="11"/>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c r="A637" s="12"/>
      <c r="B637" s="12"/>
      <c r="C637" s="11"/>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c r="A638" s="12"/>
      <c r="B638" s="12"/>
      <c r="C638" s="11"/>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c r="A639" s="12"/>
      <c r="B639" s="12"/>
      <c r="C639" s="11"/>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c r="A640" s="12"/>
      <c r="B640" s="12"/>
      <c r="C640" s="11"/>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c r="A641" s="12"/>
      <c r="B641" s="12"/>
      <c r="C641" s="11"/>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c r="A642" s="12"/>
      <c r="B642" s="12"/>
      <c r="C642" s="11"/>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c r="A643" s="12"/>
      <c r="B643" s="12"/>
      <c r="C643" s="11"/>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c r="A644" s="12"/>
      <c r="B644" s="12"/>
      <c r="C644" s="11"/>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c r="A645" s="12"/>
      <c r="B645" s="12"/>
      <c r="C645" s="11"/>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c r="A646" s="12"/>
      <c r="B646" s="12"/>
      <c r="C646" s="11"/>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c r="A647" s="12"/>
      <c r="B647" s="12"/>
      <c r="C647" s="11"/>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c r="A648" s="12"/>
      <c r="B648" s="12"/>
      <c r="C648" s="11"/>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c r="A649" s="12"/>
      <c r="B649" s="12"/>
      <c r="C649" s="11"/>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c r="A650" s="12"/>
      <c r="B650" s="12"/>
      <c r="C650" s="11"/>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c r="A651" s="12"/>
      <c r="B651" s="12"/>
      <c r="C651" s="11"/>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c r="A652" s="12"/>
      <c r="B652" s="12"/>
      <c r="C652" s="11"/>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c r="A653" s="12"/>
      <c r="B653" s="12"/>
      <c r="C653" s="11"/>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c r="A654" s="12"/>
      <c r="B654" s="12"/>
      <c r="C654" s="11"/>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c r="A655" s="12"/>
      <c r="B655" s="12"/>
      <c r="C655" s="11"/>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c r="A656" s="12"/>
      <c r="B656" s="12"/>
      <c r="C656" s="11"/>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c r="A657" s="12"/>
      <c r="B657" s="12"/>
      <c r="C657" s="11"/>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c r="A658" s="12"/>
      <c r="B658" s="12"/>
      <c r="C658" s="11"/>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c r="A659" s="12"/>
      <c r="B659" s="12"/>
      <c r="C659" s="11"/>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c r="A660" s="12"/>
      <c r="B660" s="12"/>
      <c r="C660" s="11"/>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c r="A661" s="12"/>
      <c r="B661" s="12"/>
      <c r="C661" s="11"/>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c r="A662" s="12"/>
      <c r="B662" s="12"/>
      <c r="C662" s="11"/>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c r="A663" s="12"/>
      <c r="B663" s="12"/>
      <c r="C663" s="11"/>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c r="A664" s="12"/>
      <c r="B664" s="12"/>
      <c r="C664" s="11"/>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c r="A665" s="12"/>
      <c r="B665" s="12"/>
      <c r="C665" s="11"/>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c r="A666" s="12"/>
      <c r="B666" s="12"/>
      <c r="C666" s="11"/>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c r="A667" s="12"/>
      <c r="B667" s="12"/>
      <c r="C667" s="11"/>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c r="A668" s="12"/>
      <c r="B668" s="12"/>
      <c r="C668" s="11"/>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c r="A669" s="12"/>
      <c r="B669" s="12"/>
      <c r="C669" s="11"/>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c r="A670" s="12"/>
      <c r="B670" s="12"/>
      <c r="C670" s="11"/>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c r="A671" s="12"/>
      <c r="B671" s="12"/>
      <c r="C671" s="11"/>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c r="A672" s="12"/>
      <c r="B672" s="12"/>
      <c r="C672" s="11"/>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c r="A673" s="12"/>
      <c r="B673" s="12"/>
      <c r="C673" s="11"/>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c r="A674" s="12"/>
      <c r="B674" s="12"/>
      <c r="C674" s="11"/>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c r="A675" s="12"/>
      <c r="B675" s="12"/>
      <c r="C675" s="11"/>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c r="A676" s="12"/>
      <c r="B676" s="12"/>
      <c r="C676" s="11"/>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c r="A677" s="12"/>
      <c r="B677" s="12"/>
      <c r="C677" s="11"/>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c r="A678" s="12"/>
      <c r="B678" s="12"/>
      <c r="C678" s="11"/>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c r="A679" s="12"/>
      <c r="B679" s="12"/>
      <c r="C679" s="11"/>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c r="A680" s="12"/>
      <c r="B680" s="12"/>
      <c r="C680" s="11"/>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c r="A681" s="12"/>
      <c r="B681" s="12"/>
      <c r="C681" s="11"/>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c r="A682" s="12"/>
      <c r="B682" s="12"/>
      <c r="C682" s="11"/>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c r="A683" s="12"/>
      <c r="B683" s="12"/>
      <c r="C683" s="11"/>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c r="A684" s="12"/>
      <c r="B684" s="12"/>
      <c r="C684" s="11"/>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c r="A685" s="12"/>
      <c r="B685" s="12"/>
      <c r="C685" s="11"/>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c r="A686" s="12"/>
      <c r="B686" s="12"/>
      <c r="C686" s="11"/>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c r="A687" s="12"/>
      <c r="B687" s="12"/>
      <c r="C687" s="11"/>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c r="A688" s="12"/>
      <c r="B688" s="12"/>
      <c r="C688" s="11"/>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c r="A689" s="12"/>
      <c r="B689" s="12"/>
      <c r="C689" s="11"/>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c r="A690" s="12"/>
      <c r="B690" s="12"/>
      <c r="C690" s="11"/>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c r="A691" s="12"/>
      <c r="B691" s="12"/>
      <c r="C691" s="11"/>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c r="A692" s="12"/>
      <c r="B692" s="12"/>
      <c r="C692" s="11"/>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c r="A693" s="12"/>
      <c r="B693" s="12"/>
      <c r="C693" s="11"/>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c r="A694" s="12"/>
      <c r="B694" s="12"/>
      <c r="C694" s="11"/>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c r="A695" s="12"/>
      <c r="B695" s="12"/>
      <c r="C695" s="11"/>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c r="A696" s="12"/>
      <c r="B696" s="12"/>
      <c r="C696" s="11"/>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c r="A697" s="12"/>
      <c r="B697" s="12"/>
      <c r="C697" s="11"/>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c r="A698" s="12"/>
      <c r="B698" s="12"/>
      <c r="C698" s="11"/>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c r="A699" s="12"/>
      <c r="B699" s="12"/>
      <c r="C699" s="11"/>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c r="A700" s="12"/>
      <c r="B700" s="12"/>
      <c r="C700" s="11"/>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c r="A701" s="12"/>
      <c r="B701" s="12"/>
      <c r="C701" s="11"/>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c r="A702" s="12"/>
      <c r="B702" s="12"/>
      <c r="C702" s="11"/>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c r="A703" s="12"/>
      <c r="B703" s="12"/>
      <c r="C703" s="11"/>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c r="A704" s="12"/>
      <c r="B704" s="12"/>
      <c r="C704" s="11"/>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c r="A705" s="12"/>
      <c r="B705" s="12"/>
      <c r="C705" s="11"/>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c r="A706" s="12"/>
      <c r="B706" s="12"/>
      <c r="C706" s="11"/>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c r="A707" s="12"/>
      <c r="B707" s="12"/>
      <c r="C707" s="11"/>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c r="A708" s="12"/>
      <c r="B708" s="12"/>
      <c r="C708" s="11"/>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c r="A709" s="12"/>
      <c r="B709" s="12"/>
      <c r="C709" s="11"/>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c r="A710" s="12"/>
      <c r="B710" s="12"/>
      <c r="C710" s="11"/>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c r="A711" s="12"/>
      <c r="B711" s="12"/>
      <c r="C711" s="11"/>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c r="A712" s="12"/>
      <c r="B712" s="12"/>
      <c r="C712" s="11"/>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c r="A713" s="12"/>
      <c r="B713" s="12"/>
      <c r="C713" s="11"/>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c r="A714" s="12"/>
      <c r="B714" s="12"/>
      <c r="C714" s="11"/>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c r="A715" s="12"/>
      <c r="B715" s="12"/>
      <c r="C715" s="11"/>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c r="A716" s="12"/>
      <c r="B716" s="12"/>
      <c r="C716" s="11"/>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c r="A717" s="12"/>
      <c r="B717" s="12"/>
      <c r="C717" s="11"/>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c r="A718" s="12"/>
      <c r="B718" s="12"/>
      <c r="C718" s="11"/>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c r="A719" s="12"/>
      <c r="B719" s="12"/>
      <c r="C719" s="11"/>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c r="A720" s="12"/>
      <c r="B720" s="12"/>
      <c r="C720" s="11"/>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c r="A721" s="12"/>
      <c r="B721" s="12"/>
      <c r="C721" s="11"/>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c r="A722" s="12"/>
      <c r="B722" s="12"/>
      <c r="C722" s="11"/>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c r="A723" s="12"/>
      <c r="B723" s="12"/>
      <c r="C723" s="11"/>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c r="A724" s="12"/>
      <c r="B724" s="12"/>
      <c r="C724" s="11"/>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c r="A725" s="12"/>
      <c r="B725" s="12"/>
      <c r="C725" s="11"/>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c r="A726" s="12"/>
      <c r="B726" s="12"/>
      <c r="C726" s="11"/>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c r="A727" s="12"/>
      <c r="B727" s="12"/>
      <c r="C727" s="11"/>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c r="A728" s="12"/>
      <c r="B728" s="12"/>
      <c r="C728" s="11"/>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c r="A729" s="12"/>
      <c r="B729" s="12"/>
      <c r="C729" s="11"/>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c r="A730" s="12"/>
      <c r="B730" s="12"/>
      <c r="C730" s="11"/>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c r="A731" s="12"/>
      <c r="B731" s="12"/>
      <c r="C731" s="11"/>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c r="A732" s="12"/>
      <c r="B732" s="12"/>
      <c r="C732" s="11"/>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c r="A733" s="12"/>
      <c r="B733" s="12"/>
      <c r="C733" s="11"/>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c r="A734" s="12"/>
      <c r="B734" s="12"/>
      <c r="C734" s="11"/>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c r="A735" s="12"/>
      <c r="B735" s="12"/>
      <c r="C735" s="11"/>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c r="A736" s="12"/>
      <c r="B736" s="12"/>
      <c r="C736" s="11"/>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c r="A737" s="12"/>
      <c r="B737" s="12"/>
      <c r="C737" s="11"/>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c r="A738" s="12"/>
      <c r="B738" s="12"/>
      <c r="C738" s="11"/>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c r="A739" s="12"/>
      <c r="B739" s="12"/>
      <c r="C739" s="11"/>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c r="A740" s="12"/>
      <c r="B740" s="12"/>
      <c r="C740" s="11"/>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c r="A741" s="12"/>
      <c r="B741" s="12"/>
      <c r="C741" s="11"/>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c r="A742" s="12"/>
      <c r="B742" s="12"/>
      <c r="C742" s="11"/>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c r="A743" s="12"/>
      <c r="B743" s="12"/>
      <c r="C743" s="11"/>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c r="A744" s="12"/>
      <c r="B744" s="12"/>
      <c r="C744" s="11"/>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c r="A745" s="12"/>
      <c r="B745" s="12"/>
      <c r="C745" s="11"/>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c r="A746" s="12"/>
      <c r="B746" s="12"/>
      <c r="C746" s="11"/>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c r="A747" s="12"/>
      <c r="B747" s="12"/>
      <c r="C747" s="11"/>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c r="A748" s="12"/>
      <c r="B748" s="12"/>
      <c r="C748" s="11"/>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c r="A749" s="12"/>
      <c r="B749" s="12"/>
      <c r="C749" s="11"/>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c r="A750" s="12"/>
      <c r="B750" s="12"/>
      <c r="C750" s="11"/>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c r="A751" s="12"/>
      <c r="B751" s="12"/>
      <c r="C751" s="11"/>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c r="A752" s="12"/>
      <c r="B752" s="12"/>
      <c r="C752" s="11"/>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c r="A753" s="12"/>
      <c r="B753" s="12"/>
      <c r="C753" s="11"/>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c r="A754" s="12"/>
      <c r="B754" s="12"/>
      <c r="C754" s="11"/>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c r="A755" s="12"/>
      <c r="B755" s="12"/>
      <c r="C755" s="11"/>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c r="A756" s="12"/>
      <c r="B756" s="12"/>
      <c r="C756" s="11"/>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c r="A757" s="12"/>
      <c r="B757" s="12"/>
      <c r="C757" s="11"/>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c r="A758" s="12"/>
      <c r="B758" s="12"/>
      <c r="C758" s="11"/>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c r="A759" s="12"/>
      <c r="B759" s="12"/>
      <c r="C759" s="11"/>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c r="A760" s="12"/>
      <c r="B760" s="12"/>
      <c r="C760" s="11"/>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c r="A761" s="12"/>
      <c r="B761" s="12"/>
      <c r="C761" s="11"/>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c r="A762" s="12"/>
      <c r="B762" s="12"/>
      <c r="C762" s="11"/>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c r="A763" s="12"/>
      <c r="B763" s="12"/>
      <c r="C763" s="11"/>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c r="A764" s="12"/>
      <c r="B764" s="12"/>
      <c r="C764" s="11"/>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c r="A765" s="12"/>
      <c r="B765" s="12"/>
      <c r="C765" s="11"/>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c r="A766" s="12"/>
      <c r="B766" s="12"/>
      <c r="C766" s="11"/>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c r="A767" s="12"/>
      <c r="B767" s="12"/>
      <c r="C767" s="11"/>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c r="A768" s="12"/>
      <c r="B768" s="12"/>
      <c r="C768" s="11"/>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c r="A769" s="12"/>
      <c r="B769" s="12"/>
      <c r="C769" s="11"/>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c r="A770" s="12"/>
      <c r="B770" s="12"/>
      <c r="C770" s="11"/>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c r="A771" s="12"/>
      <c r="B771" s="12"/>
      <c r="C771" s="11"/>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c r="A772" s="12"/>
      <c r="B772" s="12"/>
      <c r="C772" s="11"/>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c r="A773" s="12"/>
      <c r="B773" s="12"/>
      <c r="C773" s="11"/>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c r="A774" s="12"/>
      <c r="B774" s="12"/>
      <c r="C774" s="11"/>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c r="A775" s="12"/>
      <c r="B775" s="12"/>
      <c r="C775" s="11"/>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c r="A776" s="12"/>
      <c r="B776" s="12"/>
      <c r="C776" s="11"/>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c r="A777" s="12"/>
      <c r="B777" s="12"/>
      <c r="C777" s="11"/>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c r="A778" s="12"/>
      <c r="B778" s="12"/>
      <c r="C778" s="11"/>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c r="A779" s="12"/>
      <c r="B779" s="12"/>
      <c r="C779" s="11"/>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c r="A780" s="12"/>
      <c r="B780" s="12"/>
      <c r="C780" s="11"/>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c r="A781" s="12"/>
      <c r="B781" s="12"/>
      <c r="C781" s="11"/>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c r="A782" s="12"/>
      <c r="B782" s="12"/>
      <c r="C782" s="11"/>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c r="A783" s="12"/>
      <c r="B783" s="12"/>
      <c r="C783" s="11"/>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c r="A784" s="12"/>
      <c r="B784" s="12"/>
      <c r="C784" s="11"/>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c r="A785" s="12"/>
      <c r="B785" s="12"/>
      <c r="C785" s="11"/>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c r="A786" s="12"/>
      <c r="B786" s="12"/>
      <c r="C786" s="11"/>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c r="A787" s="12"/>
      <c r="B787" s="12"/>
      <c r="C787" s="11"/>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c r="A788" s="12"/>
      <c r="B788" s="12"/>
      <c r="C788" s="11"/>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c r="A789" s="12"/>
      <c r="B789" s="12"/>
      <c r="C789" s="11"/>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c r="A790" s="12"/>
      <c r="B790" s="12"/>
      <c r="C790" s="11"/>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c r="A791" s="12"/>
      <c r="B791" s="12"/>
      <c r="C791" s="11"/>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c r="A792" s="12"/>
      <c r="B792" s="12"/>
      <c r="C792" s="11"/>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c r="A793" s="12"/>
      <c r="B793" s="12"/>
      <c r="C793" s="11"/>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c r="A794" s="12"/>
      <c r="B794" s="12"/>
      <c r="C794" s="11"/>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c r="A795" s="12"/>
      <c r="B795" s="12"/>
      <c r="C795" s="11"/>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c r="A796" s="12"/>
      <c r="B796" s="12"/>
      <c r="C796" s="11"/>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c r="A797" s="12"/>
      <c r="B797" s="12"/>
      <c r="C797" s="11"/>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c r="A798" s="12"/>
      <c r="B798" s="12"/>
      <c r="C798" s="11"/>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c r="A799" s="12"/>
      <c r="B799" s="12"/>
      <c r="C799" s="11"/>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c r="A800" s="12"/>
      <c r="B800" s="12"/>
      <c r="C800" s="11"/>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c r="A801" s="12"/>
      <c r="B801" s="12"/>
      <c r="C801" s="11"/>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c r="A802" s="12"/>
      <c r="B802" s="12"/>
      <c r="C802" s="11"/>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c r="A803" s="12"/>
      <c r="B803" s="12"/>
      <c r="C803" s="11"/>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c r="A804" s="12"/>
      <c r="B804" s="12"/>
      <c r="C804" s="11"/>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c r="A805" s="12"/>
      <c r="B805" s="12"/>
      <c r="C805" s="11"/>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c r="A806" s="12"/>
      <c r="B806" s="12"/>
      <c r="C806" s="11"/>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c r="A807" s="12"/>
      <c r="B807" s="12"/>
      <c r="C807" s="11"/>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c r="A808" s="12"/>
      <c r="B808" s="12"/>
      <c r="C808" s="11"/>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c r="A809" s="12"/>
      <c r="B809" s="12"/>
      <c r="C809" s="11"/>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c r="A810" s="12"/>
      <c r="B810" s="12"/>
      <c r="C810" s="11"/>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c r="A811" s="12"/>
      <c r="B811" s="12"/>
      <c r="C811" s="11"/>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c r="A812" s="12"/>
      <c r="B812" s="12"/>
      <c r="C812" s="11"/>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c r="A813" s="12"/>
      <c r="B813" s="12"/>
      <c r="C813" s="11"/>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c r="A814" s="12"/>
      <c r="B814" s="12"/>
      <c r="C814" s="11"/>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c r="A815" s="12"/>
      <c r="B815" s="12"/>
      <c r="C815" s="11"/>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c r="A816" s="12"/>
      <c r="B816" s="12"/>
      <c r="C816" s="11"/>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c r="A817" s="12"/>
      <c r="B817" s="12"/>
      <c r="C817" s="11"/>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c r="A818" s="12"/>
      <c r="B818" s="12"/>
      <c r="C818" s="11"/>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c r="A819" s="12"/>
      <c r="B819" s="12"/>
      <c r="C819" s="11"/>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c r="A820" s="12"/>
      <c r="B820" s="12"/>
      <c r="C820" s="11"/>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c r="A821" s="12"/>
      <c r="B821" s="12"/>
      <c r="C821" s="11"/>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c r="A822" s="12"/>
      <c r="B822" s="12"/>
      <c r="C822" s="11"/>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c r="A823" s="12"/>
      <c r="B823" s="12"/>
      <c r="C823" s="11"/>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c r="A824" s="12"/>
      <c r="B824" s="12"/>
      <c r="C824" s="11"/>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c r="A825" s="12"/>
      <c r="B825" s="12"/>
      <c r="C825" s="11"/>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c r="A826" s="12"/>
      <c r="B826" s="12"/>
      <c r="C826" s="11"/>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c r="A827" s="12"/>
      <c r="B827" s="12"/>
      <c r="C827" s="11"/>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c r="A828" s="12"/>
      <c r="B828" s="12"/>
      <c r="C828" s="11"/>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c r="A829" s="12"/>
      <c r="B829" s="12"/>
      <c r="C829" s="11"/>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c r="A830" s="12"/>
      <c r="B830" s="12"/>
      <c r="C830" s="11"/>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c r="A831" s="12"/>
      <c r="B831" s="12"/>
      <c r="C831" s="11"/>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c r="A832" s="12"/>
      <c r="B832" s="12"/>
      <c r="C832" s="11"/>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c r="A833" s="12"/>
      <c r="B833" s="12"/>
      <c r="C833" s="11"/>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c r="A834" s="12"/>
      <c r="B834" s="12"/>
      <c r="C834" s="11"/>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c r="A835" s="12"/>
      <c r="B835" s="12"/>
      <c r="C835" s="11"/>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c r="A836" s="12"/>
      <c r="B836" s="12"/>
      <c r="C836" s="11"/>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c r="A837" s="12"/>
      <c r="B837" s="12"/>
      <c r="C837" s="11"/>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c r="A838" s="12"/>
      <c r="B838" s="12"/>
      <c r="C838" s="11"/>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c r="A839" s="12"/>
      <c r="B839" s="12"/>
      <c r="C839" s="11"/>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c r="A840" s="12"/>
      <c r="B840" s="12"/>
      <c r="C840" s="11"/>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c r="A841" s="12"/>
      <c r="B841" s="12"/>
      <c r="C841" s="11"/>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c r="A842" s="12"/>
      <c r="B842" s="12"/>
      <c r="C842" s="11"/>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c r="A843" s="12"/>
      <c r="B843" s="12"/>
      <c r="C843" s="11"/>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c r="A844" s="12"/>
      <c r="B844" s="12"/>
      <c r="C844" s="11"/>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c r="A845" s="12"/>
      <c r="B845" s="12"/>
      <c r="C845" s="11"/>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c r="A846" s="12"/>
      <c r="B846" s="12"/>
      <c r="C846" s="11"/>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c r="A847" s="12"/>
      <c r="B847" s="12"/>
      <c r="C847" s="11"/>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c r="A848" s="12"/>
      <c r="B848" s="12"/>
      <c r="C848" s="11"/>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c r="A849" s="12"/>
      <c r="B849" s="12"/>
      <c r="C849" s="11"/>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c r="A850" s="12"/>
      <c r="B850" s="12"/>
      <c r="C850" s="11"/>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c r="A851" s="12"/>
      <c r="B851" s="12"/>
      <c r="C851" s="11"/>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c r="A852" s="12"/>
      <c r="B852" s="12"/>
      <c r="C852" s="11"/>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c r="A853" s="12"/>
      <c r="B853" s="12"/>
      <c r="C853" s="11"/>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c r="A854" s="12"/>
      <c r="B854" s="12"/>
      <c r="C854" s="11"/>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c r="A855" s="12"/>
      <c r="B855" s="12"/>
      <c r="C855" s="11"/>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c r="A856" s="12"/>
      <c r="B856" s="12"/>
      <c r="C856" s="11"/>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c r="A857" s="12"/>
      <c r="B857" s="12"/>
      <c r="C857" s="11"/>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c r="A858" s="12"/>
      <c r="B858" s="12"/>
      <c r="C858" s="11"/>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c r="A859" s="12"/>
      <c r="B859" s="12"/>
      <c r="C859" s="11"/>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c r="A860" s="12"/>
      <c r="B860" s="12"/>
      <c r="C860" s="11"/>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c r="A861" s="12"/>
      <c r="B861" s="12"/>
      <c r="C861" s="11"/>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c r="A862" s="12"/>
      <c r="B862" s="12"/>
      <c r="C862" s="11"/>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c r="A863" s="12"/>
      <c r="B863" s="12"/>
      <c r="C863" s="11"/>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c r="A864" s="12"/>
      <c r="B864" s="12"/>
      <c r="C864" s="11"/>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c r="A865" s="12"/>
      <c r="B865" s="12"/>
      <c r="C865" s="11"/>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c r="A866" s="12"/>
      <c r="B866" s="12"/>
      <c r="C866" s="11"/>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c r="A867" s="12"/>
      <c r="B867" s="12"/>
      <c r="C867" s="11"/>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c r="A868" s="12"/>
      <c r="B868" s="12"/>
      <c r="C868" s="11"/>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c r="A869" s="12"/>
      <c r="B869" s="12"/>
      <c r="C869" s="11"/>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c r="A870" s="12"/>
      <c r="B870" s="12"/>
      <c r="C870" s="11"/>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c r="A871" s="12"/>
      <c r="B871" s="12"/>
      <c r="C871" s="11"/>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c r="A872" s="12"/>
      <c r="B872" s="12"/>
      <c r="C872" s="11"/>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c r="A873" s="12"/>
      <c r="B873" s="12"/>
      <c r="C873" s="11"/>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c r="A874" s="12"/>
      <c r="B874" s="12"/>
      <c r="C874" s="11"/>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c r="A875" s="12"/>
      <c r="B875" s="12"/>
      <c r="C875" s="11"/>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c r="A876" s="12"/>
      <c r="B876" s="12"/>
      <c r="C876" s="11"/>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c r="A877" s="12"/>
      <c r="B877" s="12"/>
      <c r="C877" s="11"/>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c r="A878" s="12"/>
      <c r="B878" s="12"/>
      <c r="C878" s="11"/>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c r="A879" s="12"/>
      <c r="B879" s="12"/>
      <c r="C879" s="11"/>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c r="A880" s="12"/>
      <c r="B880" s="12"/>
      <c r="C880" s="11"/>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c r="A881" s="12"/>
      <c r="B881" s="12"/>
      <c r="C881" s="11"/>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c r="A882" s="12"/>
      <c r="B882" s="12"/>
      <c r="C882" s="11"/>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c r="A883" s="12"/>
      <c r="B883" s="12"/>
      <c r="C883" s="11"/>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c r="A884" s="12"/>
      <c r="B884" s="12"/>
      <c r="C884" s="11"/>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c r="A885" s="12"/>
      <c r="B885" s="12"/>
      <c r="C885" s="11"/>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c r="A886" s="12"/>
      <c r="B886" s="12"/>
      <c r="C886" s="11"/>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c r="A887" s="12"/>
      <c r="B887" s="12"/>
      <c r="C887" s="11"/>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c r="A888" s="12"/>
      <c r="B888" s="12"/>
      <c r="C888" s="11"/>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c r="A889" s="12"/>
      <c r="B889" s="12"/>
      <c r="C889" s="11"/>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c r="A890" s="12"/>
      <c r="B890" s="12"/>
      <c r="C890" s="11"/>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c r="A891" s="12"/>
      <c r="B891" s="12"/>
      <c r="C891" s="11"/>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c r="A892" s="12"/>
      <c r="B892" s="12"/>
      <c r="C892" s="11"/>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c r="A893" s="12"/>
      <c r="B893" s="12"/>
      <c r="C893" s="11"/>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c r="A894" s="12"/>
      <c r="B894" s="12"/>
      <c r="C894" s="11"/>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c r="A895" s="12"/>
      <c r="B895" s="12"/>
      <c r="C895" s="11"/>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c r="A896" s="12"/>
      <c r="B896" s="12"/>
      <c r="C896" s="11"/>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c r="A897" s="12"/>
      <c r="B897" s="12"/>
      <c r="C897" s="11"/>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c r="A898" s="12"/>
      <c r="B898" s="12"/>
      <c r="C898" s="11"/>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c r="A899" s="12"/>
      <c r="B899" s="12"/>
      <c r="C899" s="11"/>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c r="A900" s="12"/>
      <c r="B900" s="12"/>
      <c r="C900" s="11"/>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c r="A901" s="12"/>
      <c r="B901" s="12"/>
      <c r="C901" s="11"/>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c r="A902" s="12"/>
      <c r="B902" s="12"/>
      <c r="C902" s="11"/>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c r="A903" s="12"/>
      <c r="B903" s="12"/>
      <c r="C903" s="11"/>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c r="A904" s="12"/>
      <c r="B904" s="12"/>
      <c r="C904" s="11"/>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c r="A905" s="12"/>
      <c r="B905" s="12"/>
      <c r="C905" s="11"/>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c r="A906" s="12"/>
      <c r="B906" s="12"/>
      <c r="C906" s="11"/>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c r="A907" s="12"/>
      <c r="B907" s="12"/>
      <c r="C907" s="11"/>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c r="A908" s="12"/>
      <c r="B908" s="12"/>
      <c r="C908" s="11"/>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c r="A909" s="12"/>
      <c r="B909" s="12"/>
      <c r="C909" s="11"/>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c r="A910" s="12"/>
      <c r="B910" s="12"/>
      <c r="C910" s="11"/>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c r="A911" s="12"/>
      <c r="B911" s="12"/>
      <c r="C911" s="11"/>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c r="A912" s="12"/>
      <c r="B912" s="12"/>
      <c r="C912" s="11"/>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c r="A913" s="12"/>
      <c r="B913" s="12"/>
      <c r="C913" s="11"/>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c r="A914" s="12"/>
      <c r="B914" s="12"/>
      <c r="C914" s="11"/>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c r="A915" s="12"/>
      <c r="B915" s="12"/>
      <c r="C915" s="11"/>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c r="A916" s="12"/>
      <c r="B916" s="12"/>
      <c r="C916" s="11"/>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c r="A917" s="12"/>
      <c r="B917" s="12"/>
      <c r="C917" s="11"/>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c r="A918" s="12"/>
      <c r="B918" s="12"/>
      <c r="C918" s="11"/>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c r="A919" s="12"/>
      <c r="B919" s="12"/>
      <c r="C919" s="11"/>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c r="A920" s="12"/>
      <c r="B920" s="12"/>
      <c r="C920" s="11"/>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c r="A921" s="12"/>
      <c r="B921" s="12"/>
      <c r="C921" s="11"/>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c r="A922" s="12"/>
      <c r="B922" s="12"/>
      <c r="C922" s="11"/>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c r="A923" s="12"/>
      <c r="B923" s="12"/>
      <c r="C923" s="11"/>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c r="A924" s="12"/>
      <c r="B924" s="12"/>
      <c r="C924" s="11"/>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c r="A925" s="12"/>
      <c r="B925" s="12"/>
      <c r="C925" s="11"/>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c r="A926" s="12"/>
      <c r="B926" s="12"/>
      <c r="C926" s="11"/>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c r="A927" s="12"/>
      <c r="B927" s="12"/>
      <c r="C927" s="11"/>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c r="A928" s="12"/>
      <c r="B928" s="12"/>
      <c r="C928" s="11"/>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c r="A929" s="12"/>
      <c r="B929" s="12"/>
      <c r="C929" s="11"/>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c r="A930" s="12"/>
      <c r="B930" s="12"/>
      <c r="C930" s="11"/>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c r="A931" s="12"/>
      <c r="B931" s="12"/>
      <c r="C931" s="11"/>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c r="A932" s="12"/>
      <c r="B932" s="12"/>
      <c r="C932" s="11"/>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c r="A933" s="12"/>
      <c r="B933" s="12"/>
      <c r="C933" s="11"/>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c r="A934" s="12"/>
      <c r="B934" s="12"/>
      <c r="C934" s="11"/>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c r="A935" s="12"/>
      <c r="B935" s="12"/>
      <c r="C935" s="11"/>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c r="A936" s="12"/>
      <c r="B936" s="12"/>
      <c r="C936" s="11"/>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c r="A937" s="12"/>
      <c r="B937" s="12"/>
      <c r="C937" s="11"/>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c r="A938" s="12"/>
      <c r="B938" s="12"/>
      <c r="C938" s="11"/>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c r="A939" s="12"/>
      <c r="B939" s="12"/>
      <c r="C939" s="11"/>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c r="A940" s="12"/>
      <c r="B940" s="12"/>
      <c r="C940" s="11"/>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c r="A941" s="12"/>
      <c r="B941" s="12"/>
      <c r="C941" s="11"/>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c r="A942" s="12"/>
      <c r="B942" s="12"/>
      <c r="C942" s="11"/>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c r="A943" s="12"/>
      <c r="B943" s="12"/>
      <c r="C943" s="11"/>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c r="A944" s="12"/>
      <c r="B944" s="12"/>
      <c r="C944" s="11"/>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c r="A945" s="12"/>
      <c r="B945" s="12"/>
      <c r="C945" s="11"/>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c r="A946" s="12"/>
      <c r="B946" s="12"/>
      <c r="C946" s="11"/>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c r="A947" s="12"/>
      <c r="B947" s="12"/>
      <c r="C947" s="11"/>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c r="A948" s="12"/>
      <c r="B948" s="12"/>
      <c r="C948" s="11"/>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c r="A949" s="12"/>
      <c r="B949" s="12"/>
      <c r="C949" s="11"/>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c r="A950" s="12"/>
      <c r="B950" s="12"/>
      <c r="C950" s="11"/>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c r="A951" s="12"/>
      <c r="B951" s="12"/>
      <c r="C951" s="11"/>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c r="A952" s="12"/>
      <c r="B952" s="12"/>
      <c r="C952" s="11"/>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c r="A953" s="12"/>
      <c r="B953" s="12"/>
      <c r="C953" s="11"/>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c r="A954" s="12"/>
      <c r="B954" s="12"/>
      <c r="C954" s="11"/>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c r="A955" s="12"/>
      <c r="B955" s="12"/>
      <c r="C955" s="11"/>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c r="A956" s="12"/>
      <c r="B956" s="12"/>
      <c r="C956" s="11"/>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c r="A957" s="12"/>
      <c r="B957" s="12"/>
      <c r="C957" s="11"/>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c r="A958" s="12"/>
      <c r="B958" s="12"/>
      <c r="C958" s="11"/>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c r="A959" s="12"/>
      <c r="B959" s="12"/>
      <c r="C959" s="11"/>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c r="A960" s="12"/>
      <c r="B960" s="12"/>
      <c r="C960" s="11"/>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c r="A961" s="12"/>
      <c r="B961" s="12"/>
      <c r="C961" s="11"/>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c r="A962" s="12"/>
      <c r="B962" s="12"/>
      <c r="C962" s="11"/>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c r="A963" s="12"/>
      <c r="B963" s="12"/>
      <c r="C963" s="11"/>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c r="A964" s="12"/>
      <c r="B964" s="12"/>
      <c r="C964" s="11"/>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c r="A965" s="12"/>
      <c r="B965" s="12"/>
      <c r="C965" s="11"/>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c r="A966" s="12"/>
      <c r="B966" s="12"/>
      <c r="C966" s="11"/>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c r="A967" s="12"/>
      <c r="B967" s="12"/>
      <c r="C967" s="11"/>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c r="A968" s="12"/>
      <c r="B968" s="12"/>
      <c r="C968" s="11"/>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c r="A969" s="12"/>
      <c r="B969" s="12"/>
      <c r="C969" s="11"/>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c r="A970" s="12"/>
      <c r="B970" s="12"/>
      <c r="C970" s="11"/>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c r="A971" s="12"/>
      <c r="B971" s="12"/>
      <c r="C971" s="11"/>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c r="A972" s="12"/>
      <c r="B972" s="12"/>
      <c r="C972" s="11"/>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c r="A973" s="12"/>
      <c r="B973" s="12"/>
      <c r="C973" s="11"/>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c r="A974" s="12"/>
      <c r="B974" s="12"/>
      <c r="C974" s="11"/>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c r="A975" s="12"/>
      <c r="B975" s="12"/>
      <c r="C975" s="11"/>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c r="A976" s="12"/>
      <c r="B976" s="12"/>
      <c r="C976" s="11"/>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c r="A977" s="12"/>
      <c r="B977" s="12"/>
      <c r="C977" s="11"/>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c r="A978" s="12"/>
      <c r="B978" s="12"/>
      <c r="C978" s="11"/>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c r="A979" s="12"/>
      <c r="B979" s="12"/>
      <c r="C979" s="11"/>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c r="A980" s="12"/>
      <c r="B980" s="12"/>
      <c r="C980" s="11"/>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c r="A981" s="12"/>
      <c r="B981" s="12"/>
      <c r="C981" s="11"/>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c r="A982" s="12"/>
      <c r="B982" s="12"/>
      <c r="C982" s="11"/>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c r="A983" s="12"/>
      <c r="B983" s="12"/>
      <c r="C983" s="11"/>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c r="A984" s="12"/>
      <c r="B984" s="12"/>
      <c r="C984" s="11"/>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c r="A985" s="12"/>
      <c r="B985" s="12"/>
      <c r="C985" s="11"/>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c r="A986" s="12"/>
      <c r="B986" s="12"/>
      <c r="C986" s="11"/>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c r="A987" s="12"/>
      <c r="B987" s="12"/>
      <c r="C987" s="11"/>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c r="A988" s="12"/>
      <c r="B988" s="12"/>
      <c r="C988" s="11"/>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c r="A989" s="12"/>
      <c r="B989" s="12"/>
      <c r="C989" s="11"/>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c r="A990" s="12"/>
      <c r="B990" s="12"/>
      <c r="C990" s="11"/>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c r="A991" s="12"/>
      <c r="B991" s="12"/>
      <c r="C991" s="11"/>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c r="A992" s="12"/>
      <c r="B992" s="12"/>
      <c r="C992" s="11"/>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c r="A993" s="12"/>
      <c r="B993" s="12"/>
      <c r="C993" s="11"/>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c r="A994" s="12"/>
      <c r="B994" s="12"/>
      <c r="C994" s="11"/>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c r="A995" s="12"/>
      <c r="B995" s="12"/>
      <c r="C995" s="11"/>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c r="A996" s="12"/>
      <c r="B996" s="12"/>
      <c r="C996" s="11"/>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sheetData>
  <mergeCells count="3">
    <mergeCell ref="A2:A8"/>
    <mergeCell ref="A9:A19"/>
    <mergeCell ref="A20:A21"/>
  </mergeCells>
  <hyperlinks>
    <hyperlink ref="D17" r:id="rId1"/>
  </hyperlinks>
  <pageMargins left="0.70866141732283472" right="0.70866141732283472" top="0.74803149606299213" bottom="0.74803149606299213" header="0" footer="0"/>
  <pageSetup orientation="portrait" r:id="rId2"/>
  <colBreaks count="1" manualBreakCount="1">
    <brk id="3"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439"/>
  <sheetViews>
    <sheetView workbookViewId="0"/>
  </sheetViews>
  <sheetFormatPr baseColWidth="10" defaultColWidth="12.625" defaultRowHeight="15" customHeight="1"/>
  <cols>
    <col min="1" max="1" width="48.875" customWidth="1"/>
    <col min="2" max="2" width="100" customWidth="1"/>
  </cols>
  <sheetData>
    <row r="1" spans="1:2" ht="15" customHeight="1">
      <c r="A1" s="30" t="str">
        <f ca="1">IFERROR(__xludf.DUMMYFUNCTION("QUERY('PA 2021'!A3:AB441,""SELECT A,I"")"),"Dependencia")</f>
        <v>Dependencia</v>
      </c>
      <c r="B1" s="30" t="str">
        <f ca="1">IFERROR(__xludf.DUMMYFUNCTION("""COMPUTED_VALUE"""),"Indicador de la Actividad")</f>
        <v>Indicador de la Actividad</v>
      </c>
    </row>
    <row r="2" spans="1:2">
      <c r="A2" s="31" t="str">
        <f ca="1">IFERROR(__xludf.DUMMYFUNCTION("""COMPUTED_VALUE"""),"Dirección General - Asesoras")</f>
        <v>Dirección General - Asesoras</v>
      </c>
      <c r="B2" s="31" t="str">
        <f ca="1">IFERROR(__xludf.DUMMYFUNCTION("""COMPUTED_VALUE"""),"% de solicitudes atendidas")</f>
        <v>% de solicitudes atendidas</v>
      </c>
    </row>
    <row r="3" spans="1:2">
      <c r="A3" s="31" t="str">
        <f ca="1">IFERROR(__xludf.DUMMYFUNCTION("""COMPUTED_VALUE"""),"Dirección General - Asesoras")</f>
        <v>Dirección General - Asesoras</v>
      </c>
      <c r="B3" s="31" t="str">
        <f ca="1">IFERROR(__xludf.DUMMYFUNCTION("""COMPUTED_VALUE"""),"% de solicitudes atendidas")</f>
        <v>% de solicitudes atendidas</v>
      </c>
    </row>
    <row r="4" spans="1:2">
      <c r="A4" s="31" t="str">
        <f ca="1">IFERROR(__xludf.DUMMYFUNCTION("""COMPUTED_VALUE"""),"Dirección General - Asesoras")</f>
        <v>Dirección General - Asesoras</v>
      </c>
      <c r="B4" s="31" t="str">
        <f ca="1">IFERROR(__xludf.DUMMYFUNCTION("""COMPUTED_VALUE"""),"% de solicitudes atendidas")</f>
        <v>% de solicitudes atendidas</v>
      </c>
    </row>
    <row r="5" spans="1:2">
      <c r="A5" s="31" t="str">
        <f ca="1">IFERROR(__xludf.DUMMYFUNCTION("""COMPUTED_VALUE"""),"Dirección General - Asesoras")</f>
        <v>Dirección General - Asesoras</v>
      </c>
      <c r="B5" s="31" t="str">
        <f ca="1">IFERROR(__xludf.DUMMYFUNCTION("""COMPUTED_VALUE"""),"% de solicitudes atendidas")</f>
        <v>% de solicitudes atendidas</v>
      </c>
    </row>
    <row r="6" spans="1:2">
      <c r="A6" s="31" t="str">
        <f ca="1">IFERROR(__xludf.DUMMYFUNCTION("""COMPUTED_VALUE"""),"Dirección General - Asesoras")</f>
        <v>Dirección General - Asesoras</v>
      </c>
      <c r="B6" s="31" t="str">
        <f ca="1">IFERROR(__xludf.DUMMYFUNCTION("""COMPUTED_VALUE"""),"% de solicitudes atendidas")</f>
        <v>% de solicitudes atendidas</v>
      </c>
    </row>
    <row r="7" spans="1:2">
      <c r="A7" s="31" t="str">
        <f ca="1">IFERROR(__xludf.DUMMYFUNCTION("""COMPUTED_VALUE"""),"Dirección General - Asesoras")</f>
        <v>Dirección General - Asesoras</v>
      </c>
      <c r="B7" s="31" t="str">
        <f ca="1">IFERROR(__xludf.DUMMYFUNCTION("""COMPUTED_VALUE"""),"% de solicitudes atendidas")</f>
        <v>% de solicitudes atendidas</v>
      </c>
    </row>
    <row r="8" spans="1:2">
      <c r="A8" s="31" t="str">
        <f ca="1">IFERROR(__xludf.DUMMYFUNCTION("""COMPUTED_VALUE"""),"Dirección General - Asesoras")</f>
        <v>Dirección General - Asesoras</v>
      </c>
      <c r="B8" s="31" t="str">
        <f ca="1">IFERROR(__xludf.DUMMYFUNCTION("""COMPUTED_VALUE"""),"% de solicitudes atendidas")</f>
        <v>% de solicitudes atendidas</v>
      </c>
    </row>
    <row r="9" spans="1:2">
      <c r="A9" s="31" t="str">
        <f ca="1">IFERROR(__xludf.DUMMYFUNCTION("""COMPUTED_VALUE"""),"Dirección General - Asesoras")</f>
        <v>Dirección General - Asesoras</v>
      </c>
      <c r="B9" s="31" t="str">
        <f ca="1">IFERROR(__xludf.DUMMYFUNCTION("""COMPUTED_VALUE"""),"% de solicitudes atendidas")</f>
        <v>% de solicitudes atendidas</v>
      </c>
    </row>
    <row r="10" spans="1:2">
      <c r="A10" s="31" t="str">
        <f ca="1">IFERROR(__xludf.DUMMYFUNCTION("""COMPUTED_VALUE"""),"Dirección General - Asesoras")</f>
        <v>Dirección General - Asesoras</v>
      </c>
      <c r="B10" s="31" t="str">
        <f ca="1">IFERROR(__xludf.DUMMYFUNCTION("""COMPUTED_VALUE"""),"% de solicitudes atendidas")</f>
        <v>% de solicitudes atendidas</v>
      </c>
    </row>
    <row r="11" spans="1:2">
      <c r="A11" s="31" t="str">
        <f ca="1">IFERROR(__xludf.DUMMYFUNCTION("""COMPUTED_VALUE"""),"Dirección General - Asesoras")</f>
        <v>Dirección General - Asesoras</v>
      </c>
      <c r="B11" s="31" t="str">
        <f ca="1">IFERROR(__xludf.DUMMYFUNCTION("""COMPUTED_VALUE"""),"% de solicitudes atendidas")</f>
        <v>% de solicitudes atendidas</v>
      </c>
    </row>
    <row r="12" spans="1:2">
      <c r="A12" s="31" t="str">
        <f ca="1">IFERROR(__xludf.DUMMYFUNCTION("""COMPUTED_VALUE"""),"Dirección General - Asesoras")</f>
        <v>Dirección General - Asesoras</v>
      </c>
      <c r="B12" s="31" t="str">
        <f ca="1">IFERROR(__xludf.DUMMYFUNCTION("""COMPUTED_VALUE"""),"% de solicitudes atendidas")</f>
        <v>% de solicitudes atendidas</v>
      </c>
    </row>
    <row r="13" spans="1:2">
      <c r="A13" s="31" t="str">
        <f ca="1">IFERROR(__xludf.DUMMYFUNCTION("""COMPUTED_VALUE"""),"Dirección General - Asesoras")</f>
        <v>Dirección General - Asesoras</v>
      </c>
      <c r="B13" s="31" t="str">
        <f ca="1">IFERROR(__xludf.DUMMYFUNCTION("""COMPUTED_VALUE"""),"% de solicitudes atendidas")</f>
        <v>% de solicitudes atendidas</v>
      </c>
    </row>
    <row r="14" spans="1:2">
      <c r="A14" s="31" t="str">
        <f ca="1">IFERROR(__xludf.DUMMYFUNCTION("""COMPUTED_VALUE"""),"Dirección General - Asesoras")</f>
        <v>Dirección General - Asesoras</v>
      </c>
      <c r="B14" s="31" t="str">
        <f ca="1">IFERROR(__xludf.DUMMYFUNCTION("""COMPUTED_VALUE"""),"% de solicitudes atendidas")</f>
        <v>% de solicitudes atendidas</v>
      </c>
    </row>
    <row r="15" spans="1:2">
      <c r="A15" s="31" t="str">
        <f ca="1">IFERROR(__xludf.DUMMYFUNCTION("""COMPUTED_VALUE"""),"Dirección General - Asesoras")</f>
        <v>Dirección General - Asesoras</v>
      </c>
      <c r="B15" s="31" t="str">
        <f ca="1">IFERROR(__xludf.DUMMYFUNCTION("""COMPUTED_VALUE"""),"% de solicitudes atendidas")</f>
        <v>% de solicitudes atendidas</v>
      </c>
    </row>
    <row r="16" spans="1:2">
      <c r="A16" s="31" t="str">
        <f ca="1">IFERROR(__xludf.DUMMYFUNCTION("""COMPUTED_VALUE"""),"Dirección General - Control Interno")</f>
        <v>Dirección General - Control Interno</v>
      </c>
      <c r="B16" s="31" t="str">
        <f ca="1">IFERROR(__xludf.DUMMYFUNCTION("""COMPUTED_VALUE"""),"Cantidad de Documentos")</f>
        <v>Cantidad de Documentos</v>
      </c>
    </row>
    <row r="17" spans="1:2">
      <c r="A17" s="31" t="str">
        <f ca="1">IFERROR(__xludf.DUMMYFUNCTION("""COMPUTED_VALUE"""),"Dirección General - Control Interno")</f>
        <v>Dirección General - Control Interno</v>
      </c>
      <c r="B17" s="31" t="str">
        <f ca="1">IFERROR(__xludf.DUMMYFUNCTION("""COMPUTED_VALUE"""),"Cantidad de Documentos")</f>
        <v>Cantidad de Documentos</v>
      </c>
    </row>
    <row r="18" spans="1:2">
      <c r="A18" s="31" t="str">
        <f ca="1">IFERROR(__xludf.DUMMYFUNCTION("""COMPUTED_VALUE"""),"Dirección General - Control Interno")</f>
        <v>Dirección General - Control Interno</v>
      </c>
      <c r="B18" s="31" t="str">
        <f ca="1">IFERROR(__xludf.DUMMYFUNCTION("""COMPUTED_VALUE"""),"Indice de ejecución del PAAI 2021")</f>
        <v>Indice de ejecución del PAAI 2021</v>
      </c>
    </row>
    <row r="19" spans="1:2">
      <c r="A19" s="31" t="str">
        <f ca="1">IFERROR(__xludf.DUMMYFUNCTION("""COMPUTED_VALUE"""),"Dirección General - Control Interno")</f>
        <v>Dirección General - Control Interno</v>
      </c>
      <c r="B19" s="31" t="str">
        <f ca="1">IFERROR(__xludf.DUMMYFUNCTION("""COMPUTED_VALUE"""),"Indice de ejecución del PAAI 2021")</f>
        <v>Indice de ejecución del PAAI 2021</v>
      </c>
    </row>
    <row r="20" spans="1:2">
      <c r="A20" s="31" t="str">
        <f ca="1">IFERROR(__xludf.DUMMYFUNCTION("""COMPUTED_VALUE"""),"Dirección General - Control Interno")</f>
        <v>Dirección General - Control Interno</v>
      </c>
      <c r="B20" s="31" t="str">
        <f ca="1">IFERROR(__xludf.DUMMYFUNCTION("""COMPUTED_VALUE"""),"Indice de ejecución del PAAI 2021")</f>
        <v>Indice de ejecución del PAAI 2021</v>
      </c>
    </row>
    <row r="21" spans="1:2">
      <c r="A21" s="31" t="str">
        <f ca="1">IFERROR(__xludf.DUMMYFUNCTION("""COMPUTED_VALUE"""),"Dirección General - Control Interno")</f>
        <v>Dirección General - Control Interno</v>
      </c>
      <c r="B21" s="31" t="str">
        <f ca="1">IFERROR(__xludf.DUMMYFUNCTION("""COMPUTED_VALUE"""),"Indice de ejecución del PAAI 2021")</f>
        <v>Indice de ejecución del PAAI 2021</v>
      </c>
    </row>
    <row r="22" spans="1:2">
      <c r="A22" s="31" t="str">
        <f ca="1">IFERROR(__xludf.DUMMYFUNCTION("""COMPUTED_VALUE"""),"Dirección General - Control Interno")</f>
        <v>Dirección General - Control Interno</v>
      </c>
      <c r="B22" s="31" t="str">
        <f ca="1">IFERROR(__xludf.DUMMYFUNCTION("""COMPUTED_VALUE"""),"Indice de ejecución del PAAI 2021")</f>
        <v>Indice de ejecución del PAAI 2021</v>
      </c>
    </row>
    <row r="23" spans="1:2">
      <c r="A23" s="31" t="str">
        <f ca="1">IFERROR(__xludf.DUMMYFUNCTION("""COMPUTED_VALUE"""),"Dirección General - Control Interno")</f>
        <v>Dirección General - Control Interno</v>
      </c>
      <c r="B23" s="31" t="str">
        <f ca="1">IFERROR(__xludf.DUMMYFUNCTION("""COMPUTED_VALUE"""),"Indice de ejecución del PAAI 2021")</f>
        <v>Indice de ejecución del PAAI 2021</v>
      </c>
    </row>
    <row r="24" spans="1:2">
      <c r="A24" s="31" t="str">
        <f ca="1">IFERROR(__xludf.DUMMYFUNCTION("""COMPUTED_VALUE"""),"Dirección General - Control Interno")</f>
        <v>Dirección General - Control Interno</v>
      </c>
      <c r="B24" s="31" t="str">
        <f ca="1">IFERROR(__xludf.DUMMYFUNCTION("""COMPUTED_VALUE"""),"Indice de ejecución del PAAI 2021")</f>
        <v>Indice de ejecución del PAAI 2021</v>
      </c>
    </row>
    <row r="25" spans="1:2">
      <c r="A25" s="31" t="str">
        <f ca="1">IFERROR(__xludf.DUMMYFUNCTION("""COMPUTED_VALUE"""),"Dirección General - Control Interno")</f>
        <v>Dirección General - Control Interno</v>
      </c>
      <c r="B25" s="31" t="str">
        <f ca="1">IFERROR(__xludf.DUMMYFUNCTION("""COMPUTED_VALUE"""),"Indice de ejecución del PAAI 2021")</f>
        <v>Indice de ejecución del PAAI 2021</v>
      </c>
    </row>
    <row r="26" spans="1:2">
      <c r="A26" s="31" t="str">
        <f ca="1">IFERROR(__xludf.DUMMYFUNCTION("""COMPUTED_VALUE"""),"Dirección General - Control Interno")</f>
        <v>Dirección General - Control Interno</v>
      </c>
      <c r="B26" s="31" t="str">
        <f ca="1">IFERROR(__xludf.DUMMYFUNCTION("""COMPUTED_VALUE"""),"Indice de ejecución del PAAI 2021")</f>
        <v>Indice de ejecución del PAAI 2021</v>
      </c>
    </row>
    <row r="27" spans="1:2">
      <c r="A27" s="31" t="str">
        <f ca="1">IFERROR(__xludf.DUMMYFUNCTION("""COMPUTED_VALUE"""),"Dirección General - Control Interno")</f>
        <v>Dirección General - Control Interno</v>
      </c>
      <c r="B27" s="31" t="str">
        <f ca="1">IFERROR(__xludf.DUMMYFUNCTION("""COMPUTED_VALUE"""),"Indice de ejecución del PAAI 2021")</f>
        <v>Indice de ejecución del PAAI 2021</v>
      </c>
    </row>
    <row r="28" spans="1:2">
      <c r="A28" s="31" t="str">
        <f ca="1">IFERROR(__xludf.DUMMYFUNCTION("""COMPUTED_VALUE"""),"Dirección General - Control Interno")</f>
        <v>Dirección General - Control Interno</v>
      </c>
      <c r="B28" s="31" t="str">
        <f ca="1">IFERROR(__xludf.DUMMYFUNCTION("""COMPUTED_VALUE"""),"Indice de ejecución del PAAI 2021")</f>
        <v>Indice de ejecución del PAAI 2021</v>
      </c>
    </row>
    <row r="29" spans="1:2">
      <c r="A29" s="31" t="str">
        <f ca="1">IFERROR(__xludf.DUMMYFUNCTION("""COMPUTED_VALUE"""),"Dirección General - Control Interno")</f>
        <v>Dirección General - Control Interno</v>
      </c>
      <c r="B29" s="31" t="str">
        <f ca="1">IFERROR(__xludf.DUMMYFUNCTION("""COMPUTED_VALUE"""),"Indice de ejecución del PAAI 2021")</f>
        <v>Indice de ejecución del PAAI 2021</v>
      </c>
    </row>
    <row r="30" spans="1:2">
      <c r="A30" s="31" t="str">
        <f ca="1">IFERROR(__xludf.DUMMYFUNCTION("""COMPUTED_VALUE"""),"Dirección General - Control Interno")</f>
        <v>Dirección General - Control Interno</v>
      </c>
      <c r="B30" s="31" t="str">
        <f ca="1">IFERROR(__xludf.DUMMYFUNCTION("""COMPUTED_VALUE"""),"Indice de ejecución del PAAI 2021")</f>
        <v>Indice de ejecución del PAAI 2021</v>
      </c>
    </row>
    <row r="31" spans="1:2">
      <c r="A31" s="31" t="str">
        <f ca="1">IFERROR(__xludf.DUMMYFUNCTION("""COMPUTED_VALUE"""),"Dirección General - Control Interno")</f>
        <v>Dirección General - Control Interno</v>
      </c>
      <c r="B31" s="31" t="str">
        <f ca="1">IFERROR(__xludf.DUMMYFUNCTION("""COMPUTED_VALUE"""),"Indice de ejecución del PAAI 2021")</f>
        <v>Indice de ejecución del PAAI 2021</v>
      </c>
    </row>
    <row r="32" spans="1:2">
      <c r="A32" s="31" t="str">
        <f ca="1">IFERROR(__xludf.DUMMYFUNCTION("""COMPUTED_VALUE"""),"Dirección General - Control Interno")</f>
        <v>Dirección General - Control Interno</v>
      </c>
      <c r="B32" s="31" t="str">
        <f ca="1">IFERROR(__xludf.DUMMYFUNCTION("""COMPUTED_VALUE"""),"Indice de ejecución del PAAI 2021")</f>
        <v>Indice de ejecución del PAAI 2021</v>
      </c>
    </row>
    <row r="33" spans="1:2">
      <c r="A33" s="31" t="str">
        <f ca="1">IFERROR(__xludf.DUMMYFUNCTION("""COMPUTED_VALUE"""),"Dirección General - Control Interno")</f>
        <v>Dirección General - Control Interno</v>
      </c>
      <c r="B33" s="31" t="str">
        <f ca="1">IFERROR(__xludf.DUMMYFUNCTION("""COMPUTED_VALUE"""),"Indice de ejecución del PAAI 2021")</f>
        <v>Indice de ejecución del PAAI 2021</v>
      </c>
    </row>
    <row r="34" spans="1:2">
      <c r="A34" s="31" t="str">
        <f ca="1">IFERROR(__xludf.DUMMYFUNCTION("""COMPUTED_VALUE"""),"Dirección General - Control Interno")</f>
        <v>Dirección General - Control Interno</v>
      </c>
      <c r="B34" s="31" t="str">
        <f ca="1">IFERROR(__xludf.DUMMYFUNCTION("""COMPUTED_VALUE"""),"Indice de ejecución del PAAI 2021")</f>
        <v>Indice de ejecución del PAAI 2021</v>
      </c>
    </row>
    <row r="35" spans="1:2">
      <c r="A35" s="31" t="str">
        <f ca="1">IFERROR(__xludf.DUMMYFUNCTION("""COMPUTED_VALUE"""),"Dirección General - Control Interno")</f>
        <v>Dirección General - Control Interno</v>
      </c>
      <c r="B35" s="31" t="str">
        <f ca="1">IFERROR(__xludf.DUMMYFUNCTION("""COMPUTED_VALUE"""),"Indice de ejecución del PAAI 2021")</f>
        <v>Indice de ejecución del PAAI 2021</v>
      </c>
    </row>
    <row r="36" spans="1:2">
      <c r="A36" s="31" t="str">
        <f ca="1">IFERROR(__xludf.DUMMYFUNCTION("""COMPUTED_VALUE"""),"Dirección General - Control Interno")</f>
        <v>Dirección General - Control Interno</v>
      </c>
      <c r="B36" s="31" t="str">
        <f ca="1">IFERROR(__xludf.DUMMYFUNCTION("""COMPUTED_VALUE"""),"Indice de ejecución del PAAI 2021")</f>
        <v>Indice de ejecución del PAAI 2021</v>
      </c>
    </row>
    <row r="37" spans="1:2">
      <c r="A37" s="31" t="str">
        <f ca="1">IFERROR(__xludf.DUMMYFUNCTION("""COMPUTED_VALUE"""),"Dirección General - Control Interno")</f>
        <v>Dirección General - Control Interno</v>
      </c>
      <c r="B37" s="31" t="str">
        <f ca="1">IFERROR(__xludf.DUMMYFUNCTION("""COMPUTED_VALUE"""),"Indice de ejecución del PAAI 2021")</f>
        <v>Indice de ejecución del PAAI 2021</v>
      </c>
    </row>
    <row r="38" spans="1:2">
      <c r="A38" s="31" t="str">
        <f ca="1">IFERROR(__xludf.DUMMYFUNCTION("""COMPUTED_VALUE"""),"Dirección General - Control Interno")</f>
        <v>Dirección General - Control Interno</v>
      </c>
      <c r="B38" s="31" t="str">
        <f ca="1">IFERROR(__xludf.DUMMYFUNCTION("""COMPUTED_VALUE"""),"Indice de ejecución del PAAI 2021")</f>
        <v>Indice de ejecución del PAAI 2021</v>
      </c>
    </row>
    <row r="39" spans="1:2">
      <c r="A39" s="31" t="str">
        <f ca="1">IFERROR(__xludf.DUMMYFUNCTION("""COMPUTED_VALUE"""),"Dirección General - Control Interno")</f>
        <v>Dirección General - Control Interno</v>
      </c>
      <c r="B39" s="31" t="str">
        <f ca="1">IFERROR(__xludf.DUMMYFUNCTION("""COMPUTED_VALUE"""),"Indice de ejecución del PAAI 2021")</f>
        <v>Indice de ejecución del PAAI 2021</v>
      </c>
    </row>
    <row r="40" spans="1:2">
      <c r="A40" s="31" t="str">
        <f ca="1">IFERROR(__xludf.DUMMYFUNCTION("""COMPUTED_VALUE"""),"Dirección General - Control Interno")</f>
        <v>Dirección General - Control Interno</v>
      </c>
      <c r="B40" s="31" t="str">
        <f ca="1">IFERROR(__xludf.DUMMYFUNCTION("""COMPUTED_VALUE"""),"Indice de ejecución del PAAI 2021")</f>
        <v>Indice de ejecución del PAAI 2021</v>
      </c>
    </row>
    <row r="41" spans="1:2">
      <c r="A41" s="31" t="str">
        <f ca="1">IFERROR(__xludf.DUMMYFUNCTION("""COMPUTED_VALUE"""),"Dirección General - Control Interno")</f>
        <v>Dirección General - Control Interno</v>
      </c>
      <c r="B41" s="31" t="str">
        <f ca="1">IFERROR(__xludf.DUMMYFUNCTION("""COMPUTED_VALUE"""),"Indice de ejecución del PAAI 2021")</f>
        <v>Indice de ejecución del PAAI 2021</v>
      </c>
    </row>
    <row r="42" spans="1:2">
      <c r="A42" s="31" t="str">
        <f ca="1">IFERROR(__xludf.DUMMYFUNCTION("""COMPUTED_VALUE"""),"Dirección General - Control Interno")</f>
        <v>Dirección General - Control Interno</v>
      </c>
      <c r="B42" s="31" t="str">
        <f ca="1">IFERROR(__xludf.DUMMYFUNCTION("""COMPUTED_VALUE"""),"Indice de ejecución del PAAI 2021")</f>
        <v>Indice de ejecución del PAAI 2021</v>
      </c>
    </row>
    <row r="43" spans="1:2">
      <c r="A43" s="31" t="str">
        <f ca="1">IFERROR(__xludf.DUMMYFUNCTION("""COMPUTED_VALUE"""),"Dirección General - Control Interno")</f>
        <v>Dirección General - Control Interno</v>
      </c>
      <c r="B43" s="31" t="str">
        <f ca="1">IFERROR(__xludf.DUMMYFUNCTION("""COMPUTED_VALUE"""),"Indice de ejecución del PAAI 2021")</f>
        <v>Indice de ejecución del PAAI 2021</v>
      </c>
    </row>
    <row r="44" spans="1:2">
      <c r="A44" s="31" t="str">
        <f ca="1">IFERROR(__xludf.DUMMYFUNCTION("""COMPUTED_VALUE"""),"Dirección General - Control Interno")</f>
        <v>Dirección General - Control Interno</v>
      </c>
      <c r="B44" s="31" t="str">
        <f ca="1">IFERROR(__xludf.DUMMYFUNCTION("""COMPUTED_VALUE"""),"Indice de ejecución del PAAI 2021")</f>
        <v>Indice de ejecución del PAAI 2021</v>
      </c>
    </row>
    <row r="45" spans="1:2">
      <c r="A45" s="31" t="str">
        <f ca="1">IFERROR(__xludf.DUMMYFUNCTION("""COMPUTED_VALUE"""),"Dirección General - Control Interno")</f>
        <v>Dirección General - Control Interno</v>
      </c>
      <c r="B45" s="31" t="str">
        <f ca="1">IFERROR(__xludf.DUMMYFUNCTION("""COMPUTED_VALUE"""),"Indice de ejecución del PAAI 2021")</f>
        <v>Indice de ejecución del PAAI 2021</v>
      </c>
    </row>
    <row r="46" spans="1:2">
      <c r="A46" s="31" t="str">
        <f ca="1">IFERROR(__xludf.DUMMYFUNCTION("""COMPUTED_VALUE"""),"Dirección General - Control Interno")</f>
        <v>Dirección General - Control Interno</v>
      </c>
      <c r="B46" s="31" t="str">
        <f ca="1">IFERROR(__xludf.DUMMYFUNCTION("""COMPUTED_VALUE"""),"Indice de ejecución del PAAI 2021")</f>
        <v>Indice de ejecución del PAAI 2021</v>
      </c>
    </row>
    <row r="47" spans="1:2">
      <c r="A47" s="31" t="str">
        <f ca="1">IFERROR(__xludf.DUMMYFUNCTION("""COMPUTED_VALUE"""),"Dirección General - Control Interno")</f>
        <v>Dirección General - Control Interno</v>
      </c>
      <c r="B47" s="31" t="str">
        <f ca="1">IFERROR(__xludf.DUMMYFUNCTION("""COMPUTED_VALUE"""),"Indice de ejecución del PAAI 2021")</f>
        <v>Indice de ejecución del PAAI 2021</v>
      </c>
    </row>
    <row r="48" spans="1:2">
      <c r="A48" s="31" t="str">
        <f ca="1">IFERROR(__xludf.DUMMYFUNCTION("""COMPUTED_VALUE"""),"Dirección General - Control Interno")</f>
        <v>Dirección General - Control Interno</v>
      </c>
      <c r="B48" s="31" t="str">
        <f ca="1">IFERROR(__xludf.DUMMYFUNCTION("""COMPUTED_VALUE"""),"Indice de ejecución del PAAI 2021")</f>
        <v>Indice de ejecución del PAAI 2021</v>
      </c>
    </row>
    <row r="49" spans="1:2">
      <c r="A49" s="31" t="str">
        <f ca="1">IFERROR(__xludf.DUMMYFUNCTION("""COMPUTED_VALUE"""),"Dirección General - Control Interno")</f>
        <v>Dirección General - Control Interno</v>
      </c>
      <c r="B49" s="31" t="str">
        <f ca="1">IFERROR(__xludf.DUMMYFUNCTION("""COMPUTED_VALUE"""),"Indice de documentos revisados y actualizados")</f>
        <v>Indice de documentos revisados y actualizados</v>
      </c>
    </row>
    <row r="50" spans="1:2">
      <c r="A50" s="31" t="str">
        <f ca="1">IFERROR(__xludf.DUMMYFUNCTION("""COMPUTED_VALUE"""),"Dirección General - Control Interno")</f>
        <v>Dirección General - Control Interno</v>
      </c>
      <c r="B50" s="31" t="str">
        <f ca="1">IFERROR(__xludf.DUMMYFUNCTION("""COMPUTED_VALUE"""),"Indice de respuestas a requerimientos de entes de control")</f>
        <v>Indice de respuestas a requerimientos de entes de control</v>
      </c>
    </row>
    <row r="51" spans="1:2">
      <c r="A51" s="31" t="str">
        <f ca="1">IFERROR(__xludf.DUMMYFUNCTION("""COMPUTED_VALUE"""),"Dirección General - Control Interno")</f>
        <v>Dirección General - Control Interno</v>
      </c>
      <c r="B51" s="31" t="str">
        <f ca="1">IFERROR(__xludf.DUMMYFUNCTION("""COMPUTED_VALUE"""),"Indice de respuestas a requerimientos de entes de control")</f>
        <v>Indice de respuestas a requerimientos de entes de control</v>
      </c>
    </row>
    <row r="52" spans="1:2">
      <c r="A52" s="31" t="str">
        <f ca="1">IFERROR(__xludf.DUMMYFUNCTION("""COMPUTED_VALUE"""),"Dirección General - Control Interno")</f>
        <v>Dirección General - Control Interno</v>
      </c>
      <c r="B52" s="31" t="str">
        <f ca="1">IFERROR(__xludf.DUMMYFUNCTION("""COMPUTED_VALUE"""),"Indice de respuestas a requerimientos de entes de control")</f>
        <v>Indice de respuestas a requerimientos de entes de control</v>
      </c>
    </row>
    <row r="53" spans="1:2">
      <c r="A53" s="31" t="str">
        <f ca="1">IFERROR(__xludf.DUMMYFUNCTION("""COMPUTED_VALUE"""),"Dirección General - Control Interno")</f>
        <v>Dirección General - Control Interno</v>
      </c>
      <c r="B53" s="31" t="str">
        <f ca="1">IFERROR(__xludf.DUMMYFUNCTION("""COMPUTED_VALUE"""),"Indice de respuestas a requerimientos de entes de control")</f>
        <v>Indice de respuestas a requerimientos de entes de control</v>
      </c>
    </row>
    <row r="54" spans="1:2">
      <c r="A54" s="31" t="str">
        <f ca="1">IFERROR(__xludf.DUMMYFUNCTION("""COMPUTED_VALUE"""),"Dirección General - GIT Planeación")</f>
        <v>Dirección General - GIT Planeación</v>
      </c>
      <c r="B54" s="31" t="str">
        <f ca="1">IFERROR(__xludf.DUMMYFUNCTION("""COMPUTED_VALUE"""),"Aumento en el porcentaje de avance del PAAC : 
Actividades realizadas / Actividades planeadas ")</f>
        <v xml:space="preserve">Aumento en el porcentaje de avance del PAAC : 
Actividades realizadas / Actividades planeadas </v>
      </c>
    </row>
    <row r="55" spans="1:2">
      <c r="A55" s="31" t="str">
        <f ca="1">IFERROR(__xludf.DUMMYFUNCTION("""COMPUTED_VALUE"""),"Dirección General - GIT Planeación")</f>
        <v>Dirección General - GIT Planeación</v>
      </c>
      <c r="B55" s="31" t="str">
        <f ca="1">IFERROR(__xludf.DUMMYFUNCTION("""COMPUTED_VALUE"""),"Aumento en el porcentaje de avance del PAAC : 
Actividades realizadas / Actividades planeadas ")</f>
        <v xml:space="preserve">Aumento en el porcentaje de avance del PAAC : 
Actividades realizadas / Actividades planeadas </v>
      </c>
    </row>
    <row r="56" spans="1:2">
      <c r="A56" s="31" t="str">
        <f ca="1">IFERROR(__xludf.DUMMYFUNCTION("""COMPUTED_VALUE"""),"Dirección General - GIT Planeación")</f>
        <v>Dirección General - GIT Planeación</v>
      </c>
      <c r="B56" s="31" t="str">
        <f ca="1">IFERROR(__xludf.DUMMYFUNCTION("""COMPUTED_VALUE"""),"Aumento en el porcentaje de avance del PAAC : 
Actividades realizadas / Actividades planeadas ")</f>
        <v xml:space="preserve">Aumento en el porcentaje de avance del PAAC : 
Actividades realizadas / Actividades planeadas </v>
      </c>
    </row>
    <row r="57" spans="1:2">
      <c r="A57" s="31" t="str">
        <f ca="1">IFERROR(__xludf.DUMMYFUNCTION("""COMPUTED_VALUE"""),"Dirección General - GIT Planeación")</f>
        <v>Dirección General - GIT Planeación</v>
      </c>
      <c r="B57" s="31" t="str">
        <f ca="1">IFERROR(__xludf.DUMMYFUNCTION("""COMPUTED_VALUE"""),"% de avance del aplicativo:
Modulos diligenciados satisfactoriamente/ Modulos totales del aplicativo")</f>
        <v>% de avance del aplicativo:
Modulos diligenciados satisfactoriamente/ Modulos totales del aplicativo</v>
      </c>
    </row>
    <row r="58" spans="1:2">
      <c r="A58" s="31" t="str">
        <f ca="1">IFERROR(__xludf.DUMMYFUNCTION("""COMPUTED_VALUE"""),"Dirección General - GIT Planeación")</f>
        <v>Dirección General - GIT Planeación</v>
      </c>
      <c r="B58" s="31" t="str">
        <f ca="1">IFERROR(__xludf.DUMMYFUNCTION("""COMPUTED_VALUE"""),"% de actualizaciones de modulo SISCOMPES ")</f>
        <v xml:space="preserve">% de actualizaciones de modulo SISCOMPES </v>
      </c>
    </row>
    <row r="59" spans="1:2">
      <c r="A59" s="31" t="str">
        <f ca="1">IFERROR(__xludf.DUMMYFUNCTION("""COMPUTED_VALUE"""),"Dirección General - GIT Planeación")</f>
        <v>Dirección General - GIT Planeación</v>
      </c>
      <c r="B59" s="31" t="str">
        <f ca="1">IFERROR(__xludf.DUMMYFUNCTION("""COMPUTED_VALUE"""),"Aumento en el porcentaje de avance del SPI : 
Actividades realizadas / Actividades planeadas ")</f>
        <v xml:space="preserve">Aumento en el porcentaje de avance del SPI : 
Actividades realizadas / Actividades planeadas </v>
      </c>
    </row>
    <row r="60" spans="1:2">
      <c r="A60" s="31" t="str">
        <f ca="1">IFERROR(__xludf.DUMMYFUNCTION("""COMPUTED_VALUE"""),"Dirección General - GIT Planeación")</f>
        <v>Dirección General - GIT Planeación</v>
      </c>
      <c r="B60" s="31" t="str">
        <f ca="1">IFERROR(__xludf.DUMMYFUNCTION("""COMPUTED_VALUE"""),"# de indicadores presupuestales calculados/ # de indcadores presupuestales planteados")</f>
        <v># de indicadores presupuestales calculados/ # de indcadores presupuestales planteados</v>
      </c>
    </row>
    <row r="61" spans="1:2">
      <c r="A61" s="31" t="str">
        <f ca="1">IFERROR(__xludf.DUMMYFUNCTION("""COMPUTED_VALUE"""),"Dirección General - GIT Planeación")</f>
        <v>Dirección General - GIT Planeación</v>
      </c>
      <c r="B61" s="31" t="str">
        <f ca="1">IFERROR(__xludf.DUMMYFUNCTION("""COMPUTED_VALUE"""),"# de indicadores presupuestales calculados/ # de indcadores presupuestales planteados")</f>
        <v># de indicadores presupuestales calculados/ # de indcadores presupuestales planteados</v>
      </c>
    </row>
    <row r="62" spans="1:2">
      <c r="A62" s="31" t="str">
        <f ca="1">IFERROR(__xludf.DUMMYFUNCTION("""COMPUTED_VALUE"""),"Dirección General - GIT Planeación")</f>
        <v>Dirección General - GIT Planeación</v>
      </c>
      <c r="B62" s="31" t="str">
        <f ca="1">IFERROR(__xludf.DUMMYFUNCTION("""COMPUTED_VALUE"""),"# de indicadores presupuestales calculados/ # de indcadores presupuestales planteados")</f>
        <v># de indicadores presupuestales calculados/ # de indcadores presupuestales planteados</v>
      </c>
    </row>
    <row r="63" spans="1:2">
      <c r="A63" s="31" t="str">
        <f ca="1">IFERROR(__xludf.DUMMYFUNCTION("""COMPUTED_VALUE"""),"Dirección General - GIT Planeación")</f>
        <v>Dirección General - GIT Planeación</v>
      </c>
      <c r="B63" s="31" t="str">
        <f ca="1">IFERROR(__xludf.DUMMYFUNCTION("""COMPUTED_VALUE"""),"# de indicadores presupuestales calculados/ # de indcadores presupuestales planteados")</f>
        <v># de indicadores presupuestales calculados/ # de indcadores presupuestales planteados</v>
      </c>
    </row>
    <row r="64" spans="1:2">
      <c r="A64" s="31" t="str">
        <f ca="1">IFERROR(__xludf.DUMMYFUNCTION("""COMPUTED_VALUE"""),"Dirección General - GIT Planeación")</f>
        <v>Dirección General - GIT Planeación</v>
      </c>
      <c r="B64" s="31" t="str">
        <f ca="1">IFERROR(__xludf.DUMMYFUNCTION("""COMPUTED_VALUE"""),"#de actualizaciónes realizadas / #de actualizaciones programadas ")</f>
        <v xml:space="preserve">#de actualizaciónes realizadas / #de actualizaciones programadas </v>
      </c>
    </row>
    <row r="65" spans="1:2">
      <c r="A65" s="31" t="str">
        <f ca="1">IFERROR(__xludf.DUMMYFUNCTION("""COMPUTED_VALUE"""),"Dirección General - GIT Planeación")</f>
        <v>Dirección General - GIT Planeación</v>
      </c>
      <c r="B65" s="31" t="str">
        <f ca="1">IFERROR(__xludf.DUMMYFUNCTION("""COMPUTED_VALUE"""),"#de actualizaciónes realizadas / #de actualizaciones programadas ")</f>
        <v xml:space="preserve">#de actualizaciónes realizadas / #de actualizaciones programadas </v>
      </c>
    </row>
    <row r="66" spans="1:2">
      <c r="A66" s="31" t="str">
        <f ca="1">IFERROR(__xludf.DUMMYFUNCTION("""COMPUTED_VALUE"""),"Dirección General - GIT Planeación")</f>
        <v>Dirección General - GIT Planeación</v>
      </c>
      <c r="B66" s="31" t="str">
        <f ca="1">IFERROR(__xludf.DUMMYFUNCTION("""COMPUTED_VALUE"""),"#de actualizaciónes realizadas / #de actualizaciones programadas ")</f>
        <v xml:space="preserve">#de actualizaciónes realizadas / #de actualizaciones programadas </v>
      </c>
    </row>
    <row r="67" spans="1:2">
      <c r="A67" s="31" t="str">
        <f ca="1">IFERROR(__xludf.DUMMYFUNCTION("""COMPUTED_VALUE"""),"Dirección General - GIT Planeación")</f>
        <v>Dirección General - GIT Planeación</v>
      </c>
      <c r="B67" s="31" t="str">
        <f ca="1">IFERROR(__xludf.DUMMYFUNCTION("""COMPUTED_VALUE"""),"#de actualizaciónes realizadas / #de actualizaciones programadas ")</f>
        <v xml:space="preserve">#de actualizaciónes realizadas / #de actualizaciones programadas </v>
      </c>
    </row>
    <row r="68" spans="1:2">
      <c r="A68" s="31" t="str">
        <f ca="1">IFERROR(__xludf.DUMMYFUNCTION("""COMPUTED_VALUE"""),"Dirección General - GIT Planeación")</f>
        <v>Dirección General - GIT Planeación</v>
      </c>
      <c r="B68" s="31" t="str">
        <f ca="1">IFERROR(__xludf.DUMMYFUNCTION("""COMPUTED_VALUE"""),"Aumento en el porcentaje de avance del PAA en el SECOPII : 
actualizaciones realizadas / actualizaciones planeadas ")</f>
        <v xml:space="preserve">Aumento en el porcentaje de avance del PAA en el SECOPII : 
actualizaciones realizadas / actualizaciones planeadas </v>
      </c>
    </row>
    <row r="69" spans="1:2">
      <c r="A69" s="31" t="str">
        <f ca="1">IFERROR(__xludf.DUMMYFUNCTION("""COMPUTED_VALUE"""),"Dirección General - GIT Planeación")</f>
        <v>Dirección General - GIT Planeación</v>
      </c>
      <c r="B69" s="31" t="str">
        <f ca="1">IFERROR(__xludf.DUMMYFUNCTION("""COMPUTED_VALUE"""),"Aumento en el porcentaje de avance del PEI : 
Actividades realizadas / Actividades planeadas ")</f>
        <v xml:space="preserve">Aumento en el porcentaje de avance del PEI : 
Actividades realizadas / Actividades planeadas </v>
      </c>
    </row>
    <row r="70" spans="1:2">
      <c r="A70" s="31" t="str">
        <f ca="1">IFERROR(__xludf.DUMMYFUNCTION("""COMPUTED_VALUE"""),"Dirección General - GIT Planeación")</f>
        <v>Dirección General - GIT Planeación</v>
      </c>
      <c r="B70" s="31" t="str">
        <f ca="1">IFERROR(__xludf.DUMMYFUNCTION("""COMPUTED_VALUE"""),"Aumento en el porcentaje de avance del PEI : 
Actividades realizadas / Actividades planeadas ")</f>
        <v xml:space="preserve">Aumento en el porcentaje de avance del PEI : 
Actividades realizadas / Actividades planeadas </v>
      </c>
    </row>
    <row r="71" spans="1:2">
      <c r="A71" s="31" t="str">
        <f ca="1">IFERROR(__xludf.DUMMYFUNCTION("""COMPUTED_VALUE"""),"Dirección General - GIT Planeación")</f>
        <v>Dirección General - GIT Planeación</v>
      </c>
      <c r="B71" s="31" t="str">
        <f ca="1">IFERROR(__xludf.DUMMYFUNCTION("""COMPUTED_VALUE"""),"Aumento en el porcentaje de avance del informe de gestión:  
logros y retos informados/ logros y retos planteados")</f>
        <v>Aumento en el porcentaje de avance del informe de gestión:  
logros y retos informados/ logros y retos planteados</v>
      </c>
    </row>
    <row r="72" spans="1:2">
      <c r="A72" s="31" t="str">
        <f ca="1">IFERROR(__xludf.DUMMYFUNCTION("""COMPUTED_VALUE"""),"Dirección General - GIT Planeación")</f>
        <v>Dirección General - GIT Planeación</v>
      </c>
      <c r="B72" s="31" t="str">
        <f ca="1">IFERROR(__xludf.DUMMYFUNCTION("""COMPUTED_VALUE"""),"Aumento en el porcentaje de avance del informe de rendición de cuentas:  
logros y retos informados/ logros y retos planteados")</f>
        <v>Aumento en el porcentaje de avance del informe de rendición de cuentas:  
logros y retos informados/ logros y retos planteados</v>
      </c>
    </row>
    <row r="73" spans="1:2">
      <c r="A73" s="31" t="str">
        <f ca="1">IFERROR(__xludf.DUMMYFUNCTION("""COMPUTED_VALUE"""),"Dirección General - GIT Planeación")</f>
        <v>Dirección General - GIT Planeación</v>
      </c>
      <c r="B73" s="31" t="str">
        <f ca="1">IFERROR(__xludf.DUMMYFUNCTION("""COMPUTED_VALUE"""),"Aumento en el porcentaje de avance de las memorias al congreso:   
logros y retos informados/ logros y retos planteados")</f>
        <v>Aumento en el porcentaje de avance de las memorias al congreso:   
logros y retos informados/ logros y retos planteados</v>
      </c>
    </row>
    <row r="74" spans="1:2">
      <c r="A74" s="31" t="str">
        <f ca="1">IFERROR(__xludf.DUMMYFUNCTION("""COMPUTED_VALUE"""),"Dirección General - GIT Planeación")</f>
        <v>Dirección General - GIT Planeación</v>
      </c>
      <c r="B74" s="31" t="str">
        <f ca="1">IFERROR(__xludf.DUMMYFUNCTION("""COMPUTED_VALUE"""),"Tiempo de respuesta frente a las iniciativas hasta su resultado
 (# dias)")</f>
        <v>Tiempo de respuesta frente a las iniciativas hasta su resultado
 (# dias)</v>
      </c>
    </row>
    <row r="75" spans="1:2">
      <c r="A75" s="31" t="str">
        <f ca="1">IFERROR(__xludf.DUMMYFUNCTION("""COMPUTED_VALUE"""),"Dirección General - GIT Planeación")</f>
        <v>Dirección General - GIT Planeación</v>
      </c>
      <c r="B75" s="31" t="str">
        <f ca="1">IFERROR(__xludf.DUMMYFUNCTION("""COMPUTED_VALUE"""),"Conformidad del presupuesto con lo planteado por la Dirección ")</f>
        <v xml:space="preserve">Conformidad del presupuesto con lo planteado por la Dirección </v>
      </c>
    </row>
    <row r="76" spans="1:2">
      <c r="A76" s="31" t="str">
        <f ca="1">IFERROR(__xludf.DUMMYFUNCTION("""COMPUTED_VALUE"""),"Dirección General - GIT Planeación")</f>
        <v>Dirección General - GIT Planeación</v>
      </c>
      <c r="B76" s="31" t="str">
        <f ca="1">IFERROR(__xludf.DUMMYFUNCTION("""COMPUTED_VALUE"""),"% implementacion en al Norma ISO 9001:2015")</f>
        <v>% implementacion en al Norma ISO 9001:2015</v>
      </c>
    </row>
    <row r="77" spans="1:2">
      <c r="A77" s="31" t="str">
        <f ca="1">IFERROR(__xludf.DUMMYFUNCTION("""COMPUTED_VALUE"""),"Dirección General - GIT Planeación")</f>
        <v>Dirección General - GIT Planeación</v>
      </c>
      <c r="B77" s="31" t="str">
        <f ca="1">IFERROR(__xludf.DUMMYFUNCTION("""COMPUTED_VALUE"""),"% implementacion en al Norma ISO 9001:2015")</f>
        <v>% implementacion en al Norma ISO 9001:2015</v>
      </c>
    </row>
    <row r="78" spans="1:2">
      <c r="A78" s="31" t="str">
        <f ca="1">IFERROR(__xludf.DUMMYFUNCTION("""COMPUTED_VALUE"""),"Dirección General - GIT Planeación")</f>
        <v>Dirección General - GIT Planeación</v>
      </c>
      <c r="B78" s="31" t="str">
        <f ca="1">IFERROR(__xludf.DUMMYFUNCTION("""COMPUTED_VALUE"""),"% implementacion en al Norma ISO 9001:2015")</f>
        <v>% implementacion en al Norma ISO 9001:2015</v>
      </c>
    </row>
    <row r="79" spans="1:2">
      <c r="A79" s="31" t="str">
        <f ca="1">IFERROR(__xludf.DUMMYFUNCTION("""COMPUTED_VALUE"""),"Dirección General - GIT Planeación")</f>
        <v>Dirección General - GIT Planeación</v>
      </c>
      <c r="B79" s="31" t="str">
        <f ca="1">IFERROR(__xludf.DUMMYFUNCTION("""COMPUTED_VALUE"""),"% implementacion en al Norma ISO 9001:2015")</f>
        <v>% implementacion en al Norma ISO 9001:2015</v>
      </c>
    </row>
    <row r="80" spans="1:2">
      <c r="A80" s="31" t="str">
        <f ca="1">IFERROR(__xludf.DUMMYFUNCTION("""COMPUTED_VALUE"""),"Dirección General - GIT Planeación")</f>
        <v>Dirección General - GIT Planeación</v>
      </c>
      <c r="B80" s="31" t="str">
        <f ca="1">IFERROR(__xludf.DUMMYFUNCTION("""COMPUTED_VALUE"""),"% implementacion en al Norma ISO 9001:2015")</f>
        <v>% implementacion en al Norma ISO 9001:2015</v>
      </c>
    </row>
    <row r="81" spans="1:2">
      <c r="A81" s="31" t="str">
        <f ca="1">IFERROR(__xludf.DUMMYFUNCTION("""COMPUTED_VALUE"""),"Dirección General - GIT Planeación")</f>
        <v>Dirección General - GIT Planeación</v>
      </c>
      <c r="B81" s="31" t="str">
        <f ca="1">IFERROR(__xludf.DUMMYFUNCTION("""COMPUTED_VALUE"""),"% implementacion en al Norma ISO 9001:2015")</f>
        <v>% implementacion en al Norma ISO 9001:2015</v>
      </c>
    </row>
    <row r="82" spans="1:2">
      <c r="A82" s="31" t="str">
        <f ca="1">IFERROR(__xludf.DUMMYFUNCTION("""COMPUTED_VALUE"""),"Dirección General - GIT Planeación")</f>
        <v>Dirección General - GIT Planeación</v>
      </c>
      <c r="B82" s="31" t="str">
        <f ca="1">IFERROR(__xludf.DUMMYFUNCTION("""COMPUTED_VALUE"""),"% implementacion en al Norma ISO 9001:2015")</f>
        <v>% implementacion en al Norma ISO 9001:2015</v>
      </c>
    </row>
    <row r="83" spans="1:2">
      <c r="A83" s="31" t="str">
        <f ca="1">IFERROR(__xludf.DUMMYFUNCTION("""COMPUTED_VALUE"""),"Dirección General - GIT Planeación")</f>
        <v>Dirección General - GIT Planeación</v>
      </c>
      <c r="B83" s="31" t="str">
        <f ca="1">IFERROR(__xludf.DUMMYFUNCTION("""COMPUTED_VALUE"""),"% de avance en la implementación del MIPG (2.5% anual)")</f>
        <v>% de avance en la implementación del MIPG (2.5% anual)</v>
      </c>
    </row>
    <row r="84" spans="1:2">
      <c r="A84" s="31" t="str">
        <f ca="1">IFERROR(__xludf.DUMMYFUNCTION("""COMPUTED_VALUE"""),"Dirección General - GIT Planeación")</f>
        <v>Dirección General - GIT Planeación</v>
      </c>
      <c r="B84" s="31" t="str">
        <f ca="1">IFERROR(__xludf.DUMMYFUNCTION("""COMPUTED_VALUE"""),"% de avance en la implementación del MIPG (2.5% anual)")</f>
        <v>% de avance en la implementación del MIPG (2.5% anual)</v>
      </c>
    </row>
    <row r="85" spans="1:2">
      <c r="A85" s="31" t="str">
        <f ca="1">IFERROR(__xludf.DUMMYFUNCTION("""COMPUTED_VALUE"""),"Dirección General - GIT Planeación")</f>
        <v>Dirección General - GIT Planeación</v>
      </c>
      <c r="B85" s="31" t="str">
        <f ca="1">IFERROR(__xludf.DUMMYFUNCTION("""COMPUTED_VALUE"""),"% de avance en la implementación del MIPG (2.5% anual)")</f>
        <v>% de avance en la implementación del MIPG (2.5% anual)</v>
      </c>
    </row>
    <row r="86" spans="1:2">
      <c r="A86" s="31" t="str">
        <f ca="1">IFERROR(__xludf.DUMMYFUNCTION("""COMPUTED_VALUE"""),"Dirección General - GIT Planeación")</f>
        <v>Dirección General - GIT Planeación</v>
      </c>
      <c r="B86" s="31" t="str">
        <f ca="1">IFERROR(__xludf.DUMMYFUNCTION("""COMPUTED_VALUE"""),"% de avance en la implementación del MIPG (2.5% anual)")</f>
        <v>% de avance en la implementación del MIPG (2.5% anual)</v>
      </c>
    </row>
    <row r="87" spans="1:2">
      <c r="A87" s="31" t="str">
        <f ca="1">IFERROR(__xludf.DUMMYFUNCTION("""COMPUTED_VALUE"""),"Dirección General - GIT Planeación")</f>
        <v>Dirección General - GIT Planeación</v>
      </c>
      <c r="B87" s="31" t="str">
        <f ca="1">IFERROR(__xludf.DUMMYFUNCTION("""COMPUTED_VALUE"""),"% de avance en la implementación del MIPG (2.5% anual)")</f>
        <v>% de avance en la implementación del MIPG (2.5% anual)</v>
      </c>
    </row>
    <row r="88" spans="1:2">
      <c r="A88" s="31" t="str">
        <f ca="1">IFERROR(__xludf.DUMMYFUNCTION("""COMPUTED_VALUE"""),"Dirección General - GIT Planeación")</f>
        <v>Dirección General - GIT Planeación</v>
      </c>
      <c r="B88" s="31" t="str">
        <f ca="1">IFERROR(__xludf.DUMMYFUNCTION("""COMPUTED_VALUE"""),"% de avance en la implementación del MIPG (2.5% anual)")</f>
        <v>% de avance en la implementación del MIPG (2.5% anual)</v>
      </c>
    </row>
    <row r="89" spans="1:2">
      <c r="A89" s="31" t="str">
        <f ca="1">IFERROR(__xludf.DUMMYFUNCTION("""COMPUTED_VALUE"""),"Dirección General - GIT Planeación")</f>
        <v>Dirección General - GIT Planeación</v>
      </c>
      <c r="B89" s="31" t="str">
        <f ca="1">IFERROR(__xludf.DUMMYFUNCTION("""COMPUTED_VALUE"""),"% de avance en la implementación del MIPG (2.5% anual)")</f>
        <v>% de avance en la implementación del MIPG (2.5% anual)</v>
      </c>
    </row>
    <row r="90" spans="1:2">
      <c r="A90" s="31" t="str">
        <f ca="1">IFERROR(__xludf.DUMMYFUNCTION("""COMPUTED_VALUE"""),"Dirección General - GIT Planeación")</f>
        <v>Dirección General - GIT Planeación</v>
      </c>
      <c r="B90" s="31" t="str">
        <f ca="1">IFERROR(__xludf.DUMMYFUNCTION("""COMPUTED_VALUE"""),"% de avance en la implementación del MIPG (2.5% anual)")</f>
        <v>% de avance en la implementación del MIPG (2.5% anual)</v>
      </c>
    </row>
    <row r="91" spans="1:2">
      <c r="A91" s="31" t="str">
        <f ca="1">IFERROR(__xludf.DUMMYFUNCTION("""COMPUTED_VALUE"""),"Dirección General - GIT Planeación")</f>
        <v>Dirección General - GIT Planeación</v>
      </c>
      <c r="B91" s="31" t="str">
        <f ca="1">IFERROR(__xludf.DUMMYFUNCTION("""COMPUTED_VALUE"""),"% de avance en la implementación del MIPG (2.5% anual)")</f>
        <v>% de avance en la implementación del MIPG (2.5% anual)</v>
      </c>
    </row>
    <row r="92" spans="1:2">
      <c r="A92" s="31" t="str">
        <f ca="1">IFERROR(__xludf.DUMMYFUNCTION("""COMPUTED_VALUE"""),"Dirección General - GIT Planeación")</f>
        <v>Dirección General - GIT Planeación</v>
      </c>
      <c r="B92" s="31" t="str">
        <f ca="1">IFERROR(__xludf.DUMMYFUNCTION("""COMPUTED_VALUE"""),"% de avance en la implementación del MIPG (2.5% anual)")</f>
        <v>% de avance en la implementación del MIPG (2.5% anual)</v>
      </c>
    </row>
    <row r="93" spans="1:2">
      <c r="A93" s="31" t="str">
        <f ca="1">IFERROR(__xludf.DUMMYFUNCTION("""COMPUTED_VALUE"""),"Dirección General - GIT Planeación")</f>
        <v>Dirección General - GIT Planeación</v>
      </c>
      <c r="B93" s="31" t="str">
        <f ca="1">IFERROR(__xludf.DUMMYFUNCTION("""COMPUTED_VALUE"""),"Avance en el registro de proyectos de inversión: 
# de proyectos registrados / # proyectos totales")</f>
        <v>Avance en el registro de proyectos de inversión: 
# de proyectos registrados / # proyectos totales</v>
      </c>
    </row>
    <row r="94" spans="1:2">
      <c r="A94" s="31" t="str">
        <f ca="1">IFERROR(__xludf.DUMMYFUNCTION("""COMPUTED_VALUE"""),"Dirección General - GIT Planeación")</f>
        <v>Dirección General - GIT Planeación</v>
      </c>
      <c r="B94" s="31" t="str">
        <f ca="1">IFERROR(__xludf.DUMMYFUNCTION("""COMPUTED_VALUE"""),"Avance en el registro de proyecto MGA: 
# de proyectos registrados / # proyectos totales")</f>
        <v>Avance en el registro de proyecto MGA: 
# de proyectos registrados / # proyectos totales</v>
      </c>
    </row>
    <row r="95" spans="1:2">
      <c r="A95" s="31" t="str">
        <f ca="1">IFERROR(__xludf.DUMMYFUNCTION("""COMPUTED_VALUE"""),"Dirección General - GIT Planeación")</f>
        <v>Dirección General - GIT Planeación</v>
      </c>
      <c r="B95" s="31" t="str">
        <f ca="1">IFERROR(__xludf.DUMMYFUNCTION("""COMPUTED_VALUE"""),"#de actualizaciónes realizadas / #de actualizaciones programadas ")</f>
        <v xml:space="preserve">#de actualizaciónes realizadas / #de actualizaciones programadas </v>
      </c>
    </row>
    <row r="96" spans="1:2">
      <c r="A96" s="31" t="str">
        <f ca="1">IFERROR(__xludf.DUMMYFUNCTION("""COMPUTED_VALUE"""),"Dirección General - GIT Planeación")</f>
        <v>Dirección General - GIT Planeación</v>
      </c>
      <c r="B96" s="31" t="str">
        <f ca="1">IFERROR(__xludf.DUMMYFUNCTION("""COMPUTED_VALUE"""),"#de actualizaciónes realizadas / #de actualizaciones programadas ")</f>
        <v xml:space="preserve">#de actualizaciónes realizadas / #de actualizaciones programadas </v>
      </c>
    </row>
    <row r="97" spans="1:2">
      <c r="A97" s="31" t="str">
        <f ca="1">IFERROR(__xludf.DUMMYFUNCTION("""COMPUTED_VALUE"""),"Dirección General - GIT Planeación")</f>
        <v>Dirección General - GIT Planeación</v>
      </c>
      <c r="B97" s="31" t="str">
        <f ca="1">IFERROR(__xludf.DUMMYFUNCTION("""COMPUTED_VALUE"""),"#de actualizaciónes realizadas / #de actualizaciones programadas ")</f>
        <v xml:space="preserve">#de actualizaciónes realizadas / #de actualizaciones programadas </v>
      </c>
    </row>
    <row r="98" spans="1:2">
      <c r="A98" s="31" t="str">
        <f ca="1">IFERROR(__xludf.DUMMYFUNCTION("""COMPUTED_VALUE"""),"Dirección General - GIT Planeación")</f>
        <v>Dirección General - GIT Planeación</v>
      </c>
      <c r="B98" s="31" t="str">
        <f ca="1">IFERROR(__xludf.DUMMYFUNCTION("""COMPUTED_VALUE"""),"Grado de satisfacción frene a la capacitación ")</f>
        <v xml:space="preserve">Grado de satisfacción frene a la capacitación </v>
      </c>
    </row>
    <row r="99" spans="1:2">
      <c r="A99" s="31" t="str">
        <f ca="1">IFERROR(__xludf.DUMMYFUNCTION("""COMPUTED_VALUE"""),"Secretaría General - GIT Gestión Financiera")</f>
        <v>Secretaría General - GIT Gestión Financiera</v>
      </c>
      <c r="B99" s="31" t="str">
        <f ca="1">IFERROR(__xludf.DUMMYFUNCTION("""COMPUTED_VALUE"""),"Componente financiero revisado")</f>
        <v>Componente financiero revisado</v>
      </c>
    </row>
    <row r="100" spans="1:2">
      <c r="A100" s="31" t="str">
        <f ca="1">IFERROR(__xludf.DUMMYFUNCTION("""COMPUTED_VALUE"""),"Secretaría General - GIT Gestión Financiera")</f>
        <v>Secretaría General - GIT Gestión Financiera</v>
      </c>
      <c r="B100" s="31" t="str">
        <f ca="1">IFERROR(__xludf.DUMMYFUNCTION("""COMPUTED_VALUE"""),"Actividades de Gestión Financiera en Planes Cumplidas")</f>
        <v>Actividades de Gestión Financiera en Planes Cumplidas</v>
      </c>
    </row>
    <row r="101" spans="1:2">
      <c r="A101" s="31" t="str">
        <f ca="1">IFERROR(__xludf.DUMMYFUNCTION("""COMPUTED_VALUE"""),"Secretaría General - GIT Gestión Financiera")</f>
        <v>Secretaría General - GIT Gestión Financiera</v>
      </c>
      <c r="B101" s="31" t="str">
        <f ca="1">IFERROR(__xludf.DUMMYFUNCTION("""COMPUTED_VALUE"""),"Anteproyecto de Presupuesto
  Validado y Recibido en MinHacienda")</f>
        <v>Anteproyecto de Presupuesto
  Validado y Recibido en MinHacienda</v>
      </c>
    </row>
    <row r="102" spans="1:2">
      <c r="A102" s="31" t="str">
        <f ca="1">IFERROR(__xludf.DUMMYFUNCTION("""COMPUTED_VALUE"""),"Secretaría General - GIT Gestión Financiera")</f>
        <v>Secretaría General - GIT Gestión Financiera</v>
      </c>
      <c r="B102" s="31" t="str">
        <f ca="1">IFERROR(__xludf.DUMMYFUNCTION("""COMPUTED_VALUE"""),"#de reportes y seguimientos realizados / #de reportes y seguimientos programados")</f>
        <v>#de reportes y seguimientos realizados / #de reportes y seguimientos programados</v>
      </c>
    </row>
    <row r="103" spans="1:2">
      <c r="A103" s="31" t="str">
        <f ca="1">IFERROR(__xludf.DUMMYFUNCTION("""COMPUTED_VALUE"""),"Secretaría General - GIT Gestión Financiera")</f>
        <v>Secretaría General - GIT Gestión Financiera</v>
      </c>
      <c r="B103" s="31" t="str">
        <f ca="1">IFERROR(__xludf.DUMMYFUNCTION("""COMPUTED_VALUE"""),"Manual de Políticas Contables Actualizado y publicado")</f>
        <v>Manual de Políticas Contables Actualizado y publicado</v>
      </c>
    </row>
    <row r="104" spans="1:2">
      <c r="A104" s="31" t="str">
        <f ca="1">IFERROR(__xludf.DUMMYFUNCTION("""COMPUTED_VALUE"""),"Secretaría General - GIT Gestión Financiera")</f>
        <v>Secretaría General - GIT Gestión Financiera</v>
      </c>
      <c r="B104" s="31" t="str">
        <f ca="1">IFERROR(__xludf.DUMMYFUNCTION("""COMPUTED_VALUE"""),"Total de procedimientos elaborados y actualizados / Procedimientos a implementar del GITGF")</f>
        <v>Total de procedimientos elaborados y actualizados / Procedimientos a implementar del GITGF</v>
      </c>
    </row>
    <row r="105" spans="1:2">
      <c r="A105" s="31" t="str">
        <f ca="1">IFERROR(__xludf.DUMMYFUNCTION("""COMPUTED_VALUE"""),"Secretaría General - GIT Gestión Financiera")</f>
        <v>Secretaría General - GIT Gestión Financiera</v>
      </c>
      <c r="B105" s="31" t="str">
        <f ca="1">IFERROR(__xludf.DUMMYFUNCTION("""COMPUTED_VALUE"""),"Total de riesgos valorados / Riesgos del Proceso")</f>
        <v>Total de riesgos valorados / Riesgos del Proceso</v>
      </c>
    </row>
    <row r="106" spans="1:2">
      <c r="A106" s="31" t="str">
        <f ca="1">IFERROR(__xludf.DUMMYFUNCTION("""COMPUTED_VALUE"""),"Secretaría General - GIT Gestión Financiera")</f>
        <v>Secretaría General - GIT Gestión Financiera</v>
      </c>
      <c r="B106" s="31" t="str">
        <f ca="1">IFERROR(__xludf.DUMMYFUNCTION("""COMPUTED_VALUE"""),"Indicadores evaluados / Indicadores del Proceso")</f>
        <v>Indicadores evaluados / Indicadores del Proceso</v>
      </c>
    </row>
    <row r="107" spans="1:2">
      <c r="A107" s="31" t="str">
        <f ca="1">IFERROR(__xludf.DUMMYFUNCTION("""COMPUTED_VALUE"""),"Secretaría General - GIT Gestión Financiera")</f>
        <v>Secretaría General - GIT Gestión Financiera</v>
      </c>
      <c r="B107" s="31" t="str">
        <f ca="1">IFERROR(__xludf.DUMMYFUNCTION("""COMPUTED_VALUE"""),"Acciones Cumplidas / Acciones del Plan de Mejoramiento")</f>
        <v>Acciones Cumplidas / Acciones del Plan de Mejoramiento</v>
      </c>
    </row>
    <row r="108" spans="1:2">
      <c r="A108" s="31" t="str">
        <f ca="1">IFERROR(__xludf.DUMMYFUNCTION("""COMPUTED_VALUE"""),"Secretaría General - GIT Gestión Financiera")</f>
        <v>Secretaría General - GIT Gestión Financiera</v>
      </c>
      <c r="B108" s="31" t="str">
        <f ca="1">IFERROR(__xludf.DUMMYFUNCTION("""COMPUTED_VALUE"""),"Metas Cumplidas / Metas del Plan de Trabajo")</f>
        <v>Metas Cumplidas / Metas del Plan de Trabajo</v>
      </c>
    </row>
    <row r="109" spans="1:2">
      <c r="A109" s="31" t="str">
        <f ca="1">IFERROR(__xludf.DUMMYFUNCTION("""COMPUTED_VALUE"""),"Secretaría General - GIT Gestión Financiera")</f>
        <v>Secretaría General - GIT Gestión Financiera</v>
      </c>
      <c r="B109" s="31" t="str">
        <f ca="1">IFERROR(__xludf.DUMMYFUNCTION("""COMPUTED_VALUE"""),"Compromisos cumplidos / Compromisos programados")</f>
        <v>Compromisos cumplidos / Compromisos programados</v>
      </c>
    </row>
    <row r="110" spans="1:2">
      <c r="A110" s="31" t="str">
        <f ca="1">IFERROR(__xludf.DUMMYFUNCTION("""COMPUTED_VALUE"""),"Secretaría General - GIT Gestión Jurídica y Contractual")</f>
        <v>Secretaría General - GIT Gestión Jurídica y Contractual</v>
      </c>
      <c r="B110" s="31" t="str">
        <f ca="1">IFERROR(__xludf.DUMMYFUNCTION("""COMPUTED_VALUE"""),"Documentos solicitados/documentos revisados")</f>
        <v>Documentos solicitados/documentos revisados</v>
      </c>
    </row>
    <row r="111" spans="1:2">
      <c r="A111" s="31" t="str">
        <f ca="1">IFERROR(__xludf.DUMMYFUNCTION("""COMPUTED_VALUE"""),"Secretaría General - GIT Gestión Jurídica y Contractual")</f>
        <v>Secretaría General - GIT Gestión Jurídica y Contractual</v>
      </c>
      <c r="B111" s="31" t="str">
        <f ca="1">IFERROR(__xludf.DUMMYFUNCTION("""COMPUTED_VALUE"""),"Indicadores evaluados / Indicadores del Proceso")</f>
        <v>Indicadores evaluados / Indicadores del Proceso</v>
      </c>
    </row>
    <row r="112" spans="1:2">
      <c r="A112" s="31" t="str">
        <f ca="1">IFERROR(__xludf.DUMMYFUNCTION("""COMPUTED_VALUE"""),"Secretaría General - GIT Gestión Jurídica y Contractual")</f>
        <v>Secretaría General - GIT Gestión Jurídica y Contractual</v>
      </c>
      <c r="B112" s="31" t="str">
        <f ca="1">IFERROR(__xludf.DUMMYFUNCTION("""COMPUTED_VALUE"""),"actividades propuestas / actividades cumplidas")</f>
        <v>actividades propuestas / actividades cumplidas</v>
      </c>
    </row>
    <row r="113" spans="1:2">
      <c r="A113" s="31" t="str">
        <f ca="1">IFERROR(__xludf.DUMMYFUNCTION("""COMPUTED_VALUE"""),"Secretaría General - GIT Gestión Jurídica y Contractual")</f>
        <v>Secretaría General - GIT Gestión Jurídica y Contractual</v>
      </c>
      <c r="B113" s="31" t="str">
        <f ca="1">IFERROR(__xludf.DUMMYFUNCTION("""COMPUTED_VALUE"""),"#de sesiones del comité de asuntos jurídicios realizados / 4")</f>
        <v>#de sesiones del comité de asuntos jurídicios realizados / 4</v>
      </c>
    </row>
    <row r="114" spans="1:2">
      <c r="A114" s="31" t="str">
        <f ca="1">IFERROR(__xludf.DUMMYFUNCTION("""COMPUTED_VALUE"""),"Secretaría General - GIT Gestión Jurídica y Contractual")</f>
        <v>Secretaría General - GIT Gestión Jurídica y Contractual</v>
      </c>
      <c r="B114" s="31" t="str">
        <f ca="1">IFERROR(__xludf.DUMMYFUNCTION("""COMPUTED_VALUE"""),"#de sesiones del comité de asuntos jurídicios realizados / 6")</f>
        <v>#de sesiones del comité de asuntos jurídicios realizados / 6</v>
      </c>
    </row>
    <row r="115" spans="1:2">
      <c r="A115" s="31" t="str">
        <f ca="1">IFERROR(__xludf.DUMMYFUNCTION("""COMPUTED_VALUE"""),"Secretaría General - GIT Gestión Jurídica y Contractual")</f>
        <v>Secretaría General - GIT Gestión Jurídica y Contractual</v>
      </c>
      <c r="B115" s="31" t="str">
        <f ca="1">IFERROR(__xludf.DUMMYFUNCTION("""COMPUTED_VALUE"""),"#de sesiones del comité de asuntos jurídicios realizados / 6")</f>
        <v>#de sesiones del comité de asuntos jurídicios realizados / 6</v>
      </c>
    </row>
    <row r="116" spans="1:2">
      <c r="A116" s="31" t="str">
        <f ca="1">IFERROR(__xludf.DUMMYFUNCTION("""COMPUTED_VALUE"""),"Secretaría General - GIT Gestión Jurídica y Contractual")</f>
        <v>Secretaría General - GIT Gestión Jurídica y Contractual</v>
      </c>
      <c r="B116" s="31" t="str">
        <f ca="1">IFERROR(__xludf.DUMMYFUNCTION("""COMPUTED_VALUE"""),"#de sesiones del comité de asuntos jurídicios realizados / 6")</f>
        <v>#de sesiones del comité de asuntos jurídicios realizados / 6</v>
      </c>
    </row>
    <row r="117" spans="1:2">
      <c r="A117" s="31" t="str">
        <f ca="1">IFERROR(__xludf.DUMMYFUNCTION("""COMPUTED_VALUE"""),"Secretaría General - GIT Gestión Jurídica y Contractual")</f>
        <v>Secretaría General - GIT Gestión Jurídica y Contractual</v>
      </c>
      <c r="B117" s="31" t="str">
        <f ca="1">IFERROR(__xludf.DUMMYFUNCTION("""COMPUTED_VALUE"""),"#de mesas de articulación / 11")</f>
        <v>#de mesas de articulación / 11</v>
      </c>
    </row>
    <row r="118" spans="1:2">
      <c r="A118" s="31" t="str">
        <f ca="1">IFERROR(__xludf.DUMMYFUNCTION("""COMPUTED_VALUE"""),"Secretaría General - GIT Gestión Jurídica y Contractual")</f>
        <v>Secretaría General - GIT Gestión Jurídica y Contractual</v>
      </c>
      <c r="B118" s="31" t="str">
        <f ca="1">IFERROR(__xludf.DUMMYFUNCTION("""COMPUTED_VALUE"""),"# de contratos a firmar / # de contratos firmados")</f>
        <v># de contratos a firmar / # de contratos firmados</v>
      </c>
    </row>
    <row r="119" spans="1:2">
      <c r="A119" s="31" t="str">
        <f ca="1">IFERROR(__xludf.DUMMYFUNCTION("""COMPUTED_VALUE"""),"Secretaría General - GIT Gestión Jurídica y Contractual")</f>
        <v>Secretaría General - GIT Gestión Jurídica y Contractual</v>
      </c>
      <c r="B119" s="31" t="str">
        <f ca="1">IFERROR(__xludf.DUMMYFUNCTION("""COMPUTED_VALUE"""),"1")</f>
        <v>1</v>
      </c>
    </row>
    <row r="120" spans="1:2">
      <c r="A120" s="31" t="str">
        <f ca="1">IFERROR(__xludf.DUMMYFUNCTION("""COMPUTED_VALUE"""),"Secretaría General - GIT Gestión Jurídica y Contractual")</f>
        <v>Secretaría General - GIT Gestión Jurídica y Contractual</v>
      </c>
      <c r="B120" s="31" t="str">
        <f ca="1">IFERROR(__xludf.DUMMYFUNCTION("""COMPUTED_VALUE"""),"#de comités de conciliación / 11")</f>
        <v>#de comités de conciliación / 11</v>
      </c>
    </row>
    <row r="121" spans="1:2">
      <c r="A121" s="31" t="str">
        <f ca="1">IFERROR(__xludf.DUMMYFUNCTION("""COMPUTED_VALUE"""),"Subdirección de Demanda")</f>
        <v>Subdirección de Demanda</v>
      </c>
      <c r="B121" s="31" t="str">
        <f ca="1">IFERROR(__xludf.DUMMYFUNCTION("""COMPUTED_VALUE"""),"Cumplimiento en la fecha programada")</f>
        <v>Cumplimiento en la fecha programada</v>
      </c>
    </row>
    <row r="122" spans="1:2">
      <c r="A122" s="31" t="str">
        <f ca="1">IFERROR(__xludf.DUMMYFUNCTION("""COMPUTED_VALUE"""),"Subdirección de Demanda")</f>
        <v>Subdirección de Demanda</v>
      </c>
      <c r="B122" s="31" t="str">
        <f ca="1">IFERROR(__xludf.DUMMYFUNCTION("""COMPUTED_VALUE"""),"Cumplimiento en la fecha programada")</f>
        <v>Cumplimiento en la fecha programada</v>
      </c>
    </row>
    <row r="123" spans="1:2">
      <c r="A123" s="31" t="str">
        <f ca="1">IFERROR(__xludf.DUMMYFUNCTION("""COMPUTED_VALUE"""),"Subdirección de Demanda")</f>
        <v>Subdirección de Demanda</v>
      </c>
      <c r="B123" s="31" t="str">
        <f ca="1">IFERROR(__xludf.DUMMYFUNCTION("""COMPUTED_VALUE"""),"Cumplimiento en la fecha programada")</f>
        <v>Cumplimiento en la fecha programada</v>
      </c>
    </row>
    <row r="124" spans="1:2">
      <c r="A124" s="31" t="str">
        <f ca="1">IFERROR(__xludf.DUMMYFUNCTION("""COMPUTED_VALUE"""),"Subdirección de Demanda")</f>
        <v>Subdirección de Demanda</v>
      </c>
      <c r="B124" s="31" t="str">
        <f ca="1">IFERROR(__xludf.DUMMYFUNCTION("""COMPUTED_VALUE"""),"Cumplimiento en la fecha programada")</f>
        <v>Cumplimiento en la fecha programada</v>
      </c>
    </row>
    <row r="125" spans="1:2">
      <c r="A125" s="31" t="str">
        <f ca="1">IFERROR(__xludf.DUMMYFUNCTION("""COMPUTED_VALUE"""),"Subdirección de Demanda")</f>
        <v>Subdirección de Demanda</v>
      </c>
      <c r="B125" s="31" t="str">
        <f ca="1">IFERROR(__xludf.DUMMYFUNCTION("""COMPUTED_VALUE"""),"Cumplimiento en la fecha programada")</f>
        <v>Cumplimiento en la fecha programada</v>
      </c>
    </row>
    <row r="126" spans="1:2">
      <c r="A126" s="31" t="str">
        <f ca="1">IFERROR(__xludf.DUMMYFUNCTION("""COMPUTED_VALUE"""),"Subdirección de Demanda")</f>
        <v>Subdirección de Demanda</v>
      </c>
      <c r="B126" s="31" t="str">
        <f ca="1">IFERROR(__xludf.DUMMYFUNCTION("""COMPUTED_VALUE"""),"Cumplimiento en la fecha programada")</f>
        <v>Cumplimiento en la fecha programada</v>
      </c>
    </row>
    <row r="127" spans="1:2">
      <c r="A127" s="31" t="str">
        <f ca="1">IFERROR(__xludf.DUMMYFUNCTION("""COMPUTED_VALUE"""),"Subdirección de Demanda")</f>
        <v>Subdirección de Demanda</v>
      </c>
      <c r="B127" s="31" t="str">
        <f ca="1">IFERROR(__xludf.DUMMYFUNCTION("""COMPUTED_VALUE"""),"Cumplimiento en la fecha programada")</f>
        <v>Cumplimiento en la fecha programada</v>
      </c>
    </row>
    <row r="128" spans="1:2">
      <c r="A128" s="31" t="str">
        <f ca="1">IFERROR(__xludf.DUMMYFUNCTION("""COMPUTED_VALUE"""),"Subdirección de Demanda")</f>
        <v>Subdirección de Demanda</v>
      </c>
      <c r="B128" s="31" t="str">
        <f ca="1">IFERROR(__xludf.DUMMYFUNCTION("""COMPUTED_VALUE"""),"% de avance en la puesta a punto")</f>
        <v>% de avance en la puesta a punto</v>
      </c>
    </row>
    <row r="129" spans="1:2">
      <c r="A129" s="31" t="str">
        <f ca="1">IFERROR(__xludf.DUMMYFUNCTION("""COMPUTED_VALUE"""),"Subdirección de Demanda")</f>
        <v>Subdirección de Demanda</v>
      </c>
      <c r="B129" s="31" t="str">
        <f ca="1">IFERROR(__xludf.DUMMYFUNCTION("""COMPUTED_VALUE"""),"# de publicaciones realizadas/# publicaciones programadas")</f>
        <v># de publicaciones realizadas/# publicaciones programadas</v>
      </c>
    </row>
    <row r="130" spans="1:2">
      <c r="A130" s="31" t="str">
        <f ca="1">IFERROR(__xludf.DUMMYFUNCTION("""COMPUTED_VALUE"""),"Subdirección de Demanda")</f>
        <v>Subdirección de Demanda</v>
      </c>
      <c r="B130" s="31" t="str">
        <f ca="1">IFERROR(__xludf.DUMMYFUNCTION("""COMPUTED_VALUE"""),"# de publicaciones realizadas/# publicaciones programadas")</f>
        <v># de publicaciones realizadas/# publicaciones programadas</v>
      </c>
    </row>
    <row r="131" spans="1:2">
      <c r="A131" s="31" t="str">
        <f ca="1">IFERROR(__xludf.DUMMYFUNCTION("""COMPUTED_VALUE"""),"Subdirección de Demanda")</f>
        <v>Subdirección de Demanda</v>
      </c>
      <c r="B131" s="31" t="str">
        <f ca="1">IFERROR(__xludf.DUMMYFUNCTION("""COMPUTED_VALUE"""),"# de publicaciones realizadas/# publicaciones programadas")</f>
        <v># de publicaciones realizadas/# publicaciones programadas</v>
      </c>
    </row>
    <row r="132" spans="1:2">
      <c r="A132" s="31" t="str">
        <f ca="1">IFERROR(__xludf.DUMMYFUNCTION("""COMPUTED_VALUE"""),"Subdirección de Demanda")</f>
        <v>Subdirección de Demanda</v>
      </c>
      <c r="B132" s="31" t="str">
        <f ca="1">IFERROR(__xludf.DUMMYFUNCTION("""COMPUTED_VALUE"""),"# de talleres realizados/# talleres programados")</f>
        <v># de talleres realizados/# talleres programados</v>
      </c>
    </row>
    <row r="133" spans="1:2">
      <c r="A133" s="31" t="str">
        <f ca="1">IFERROR(__xludf.DUMMYFUNCTION("""COMPUTED_VALUE"""),"Subdirección de Demanda")</f>
        <v>Subdirección de Demanda</v>
      </c>
      <c r="B133" s="31" t="str">
        <f ca="1">IFERROR(__xludf.DUMMYFUNCTION("""COMPUTED_VALUE"""),"% de avance del tablero")</f>
        <v>% de avance del tablero</v>
      </c>
    </row>
    <row r="134" spans="1:2">
      <c r="A134" s="31" t="str">
        <f ca="1">IFERROR(__xludf.DUMMYFUNCTION("""COMPUTED_VALUE"""),"Subdirección de Demanda")</f>
        <v>Subdirección de Demanda</v>
      </c>
      <c r="B134" s="31" t="str">
        <f ca="1">IFERROR(__xludf.DUMMYFUNCTION("""COMPUTED_VALUE"""),"% de avance en la capacitación")</f>
        <v>% de avance en la capacitación</v>
      </c>
    </row>
    <row r="135" spans="1:2">
      <c r="A135" s="31" t="str">
        <f ca="1">IFERROR(__xludf.DUMMYFUNCTION("""COMPUTED_VALUE"""),"Subdirección de Minería")</f>
        <v>Subdirección de Minería</v>
      </c>
      <c r="B135" s="31" t="str">
        <f ca="1">IFERROR(__xludf.DUMMYFUNCTION("""COMPUTED_VALUE"""),"Documentos realizados")</f>
        <v>Documentos realizados</v>
      </c>
    </row>
    <row r="136" spans="1:2">
      <c r="A136" s="31" t="str">
        <f ca="1">IFERROR(__xludf.DUMMYFUNCTION("""COMPUTED_VALUE"""),"Subdirección de Minería")</f>
        <v>Subdirección de Minería</v>
      </c>
      <c r="B136" s="31" t="str">
        <f ca="1">IFERROR(__xludf.DUMMYFUNCTION("""COMPUTED_VALUE"""),"Documentos realizados")</f>
        <v>Documentos realizados</v>
      </c>
    </row>
    <row r="137" spans="1:2">
      <c r="A137" s="31" t="str">
        <f ca="1">IFERROR(__xludf.DUMMYFUNCTION("""COMPUTED_VALUE"""),"Subdirección de Minería")</f>
        <v>Subdirección de Minería</v>
      </c>
      <c r="B137" s="31" t="str">
        <f ca="1">IFERROR(__xludf.DUMMYFUNCTION("""COMPUTED_VALUE"""),"Documentos realizados")</f>
        <v>Documentos realizados</v>
      </c>
    </row>
    <row r="138" spans="1:2">
      <c r="A138" s="31" t="str">
        <f ca="1">IFERROR(__xludf.DUMMYFUNCTION("""COMPUTED_VALUE"""),"Subdirección de Minería")</f>
        <v>Subdirección de Minería</v>
      </c>
      <c r="B138" s="31" t="str">
        <f ca="1">IFERROR(__xludf.DUMMYFUNCTION("""COMPUTED_VALUE"""),"Documentos realizados")</f>
        <v>Documentos realizados</v>
      </c>
    </row>
    <row r="139" spans="1:2">
      <c r="A139" s="31" t="str">
        <f ca="1">IFERROR(__xludf.DUMMYFUNCTION("""COMPUTED_VALUE"""),"Subdirección de Minería")</f>
        <v>Subdirección de Minería</v>
      </c>
      <c r="B139" s="31" t="str">
        <f ca="1">IFERROR(__xludf.DUMMYFUNCTION("""COMPUTED_VALUE"""),"Oportunidad en la fijación de precios para liquidación de regalías de los minerales")</f>
        <v>Oportunidad en la fijación de precios para liquidación de regalías de los minerales</v>
      </c>
    </row>
    <row r="140" spans="1:2">
      <c r="A140" s="31" t="str">
        <f ca="1">IFERROR(__xludf.DUMMYFUNCTION("""COMPUTED_VALUE"""),"Subdirección de Minería")</f>
        <v>Subdirección de Minería</v>
      </c>
      <c r="B140" s="31" t="str">
        <f ca="1">IFERROR(__xludf.DUMMYFUNCTION("""COMPUTED_VALUE"""),"Oportunidad en la fijación de precios para liquidación de regalías de los minerales")</f>
        <v>Oportunidad en la fijación de precios para liquidación de regalías de los minerales</v>
      </c>
    </row>
    <row r="141" spans="1:2">
      <c r="A141" s="31" t="str">
        <f ca="1">IFERROR(__xludf.DUMMYFUNCTION("""COMPUTED_VALUE"""),"Subdirección de Minería")</f>
        <v>Subdirección de Minería</v>
      </c>
      <c r="B141" s="31" t="str">
        <f ca="1">IFERROR(__xludf.DUMMYFUNCTION("""COMPUTED_VALUE"""),"Oportunidad en la fijación de precios para liquidación de regalías de los minerales")</f>
        <v>Oportunidad en la fijación de precios para liquidación de regalías de los minerales</v>
      </c>
    </row>
    <row r="142" spans="1:2">
      <c r="A142" s="31" t="str">
        <f ca="1">IFERROR(__xludf.DUMMYFUNCTION("""COMPUTED_VALUE"""),"Subdirección de Minería")</f>
        <v>Subdirección de Minería</v>
      </c>
      <c r="B142" s="31" t="str">
        <f ca="1">IFERROR(__xludf.DUMMYFUNCTION("""COMPUTED_VALUE"""),"Oportunidad en la fijación de precios para liquidación de regalías de los minerales")</f>
        <v>Oportunidad en la fijación de precios para liquidación de regalías de los minerales</v>
      </c>
    </row>
    <row r="143" spans="1:2">
      <c r="A143" s="31" t="str">
        <f ca="1">IFERROR(__xludf.DUMMYFUNCTION("""COMPUTED_VALUE"""),"Subdirección de Minería")</f>
        <v>Subdirección de Minería</v>
      </c>
      <c r="B143" s="31" t="str">
        <f ca="1">IFERROR(__xludf.DUMMYFUNCTION("""COMPUTED_VALUE"""),"Documentos realizados")</f>
        <v>Documentos realizados</v>
      </c>
    </row>
    <row r="144" spans="1:2">
      <c r="A144" s="31" t="str">
        <f ca="1">IFERROR(__xludf.DUMMYFUNCTION("""COMPUTED_VALUE"""),"Subdirección de Minería")</f>
        <v>Subdirección de Minería</v>
      </c>
      <c r="B144" s="31" t="str">
        <f ca="1">IFERROR(__xludf.DUMMYFUNCTION("""COMPUTED_VALUE"""),"Documentos realizados")</f>
        <v>Documentos realizados</v>
      </c>
    </row>
    <row r="145" spans="1:2">
      <c r="A145" s="31" t="str">
        <f ca="1">IFERROR(__xludf.DUMMYFUNCTION("""COMPUTED_VALUE"""),"Subdirección de Minería")</f>
        <v>Subdirección de Minería</v>
      </c>
      <c r="B145" s="31" t="str">
        <f ca="1">IFERROR(__xludf.DUMMYFUNCTION("""COMPUTED_VALUE"""),"Pronosticos de mercado nacional actualizados en el SIMCO")</f>
        <v>Pronosticos de mercado nacional actualizados en el SIMCO</v>
      </c>
    </row>
    <row r="146" spans="1:2">
      <c r="A146" s="31" t="str">
        <f ca="1">IFERROR(__xludf.DUMMYFUNCTION("""COMPUTED_VALUE"""),"Subdirección de Minería")</f>
        <v>Subdirección de Minería</v>
      </c>
      <c r="B146" s="31" t="str">
        <f ca="1">IFERROR(__xludf.DUMMYFUNCTION("""COMPUTED_VALUE"""),"Documentos realizados")</f>
        <v>Documentos realizados</v>
      </c>
    </row>
    <row r="147" spans="1:2">
      <c r="A147" s="31" t="str">
        <f ca="1">IFERROR(__xludf.DUMMYFUNCTION("""COMPUTED_VALUE"""),"Subdirección de Minería")</f>
        <v>Subdirección de Minería</v>
      </c>
      <c r="B147" s="31" t="str">
        <f ca="1">IFERROR(__xludf.DUMMYFUNCTION("""COMPUTED_VALUE"""),"Documentos realizados")</f>
        <v>Documentos realizados</v>
      </c>
    </row>
    <row r="148" spans="1:2">
      <c r="A148" s="31" t="str">
        <f ca="1">IFERROR(__xludf.DUMMYFUNCTION("""COMPUTED_VALUE"""),"Subdirección de Minería")</f>
        <v>Subdirección de Minería</v>
      </c>
      <c r="B148" s="31" t="str">
        <f ca="1">IFERROR(__xludf.DUMMYFUNCTION("""COMPUTED_VALUE"""),"Documentos realizados")</f>
        <v>Documentos realizados</v>
      </c>
    </row>
    <row r="149" spans="1:2">
      <c r="A149" s="31" t="str">
        <f ca="1">IFERROR(__xludf.DUMMYFUNCTION("""COMPUTED_VALUE"""),"Subdirección de Minería")</f>
        <v>Subdirección de Minería</v>
      </c>
      <c r="B149" s="31" t="str">
        <f ca="1">IFERROR(__xludf.DUMMYFUNCTION("""COMPUTED_VALUE"""),"Documentos realizados")</f>
        <v>Documentos realizados</v>
      </c>
    </row>
    <row r="150" spans="1:2">
      <c r="A150" s="31" t="str">
        <f ca="1">IFERROR(__xludf.DUMMYFUNCTION("""COMPUTED_VALUE"""),"Subdirección de Minería")</f>
        <v>Subdirección de Minería</v>
      </c>
      <c r="B150" s="31" t="str">
        <f ca="1">IFERROR(__xludf.DUMMYFUNCTION("""COMPUTED_VALUE"""),"Renovación de la suscripción ")</f>
        <v xml:space="preserve">Renovación de la suscripción </v>
      </c>
    </row>
    <row r="151" spans="1:2">
      <c r="A151" s="31" t="str">
        <f ca="1">IFERROR(__xludf.DUMMYFUNCTION("""COMPUTED_VALUE"""),"Subdirección de Minería")</f>
        <v>Subdirección de Minería</v>
      </c>
      <c r="B151" s="31" t="str">
        <f ca="1">IFERROR(__xludf.DUMMYFUNCTION("""COMPUTED_VALUE"""),"Renovación de la suscripción ")</f>
        <v xml:space="preserve">Renovación de la suscripción </v>
      </c>
    </row>
    <row r="152" spans="1:2">
      <c r="A152" s="31" t="str">
        <f ca="1">IFERROR(__xludf.DUMMYFUNCTION("""COMPUTED_VALUE"""),"Subdirección de Minería")</f>
        <v>Subdirección de Minería</v>
      </c>
      <c r="B152" s="31" t="str">
        <f ca="1">IFERROR(__xludf.DUMMYFUNCTION("""COMPUTED_VALUE"""),"Renovación de la suscripción ")</f>
        <v xml:space="preserve">Renovación de la suscripción </v>
      </c>
    </row>
    <row r="153" spans="1:2">
      <c r="A153" s="31" t="str">
        <f ca="1">IFERROR(__xludf.DUMMYFUNCTION("""COMPUTED_VALUE"""),"Subdirección de Minería")</f>
        <v>Subdirección de Minería</v>
      </c>
      <c r="B153" s="31" t="str">
        <f ca="1">IFERROR(__xludf.DUMMYFUNCTION("""COMPUTED_VALUE"""),"Renovación de la suscripción ")</f>
        <v xml:space="preserve">Renovación de la suscripción </v>
      </c>
    </row>
    <row r="154" spans="1:2">
      <c r="A154" s="31" t="str">
        <f ca="1">IFERROR(__xludf.DUMMYFUNCTION("""COMPUTED_VALUE"""),"Subdirección de Minería")</f>
        <v>Subdirección de Minería</v>
      </c>
      <c r="B154" s="31" t="str">
        <f ca="1">IFERROR(__xludf.DUMMYFUNCTION("""COMPUTED_VALUE"""),"Reportes Tableau disponibles en el SIMCO")</f>
        <v>Reportes Tableau disponibles en el SIMCO</v>
      </c>
    </row>
    <row r="155" spans="1:2">
      <c r="A155" s="31" t="str">
        <f ca="1">IFERROR(__xludf.DUMMYFUNCTION("""COMPUTED_VALUE"""),"Subdirección de Minería")</f>
        <v>Subdirección de Minería</v>
      </c>
      <c r="B155" s="31" t="str">
        <f ca="1">IFERROR(__xludf.DUMMYFUNCTION("""COMPUTED_VALUE"""),"Reportes Tableau disponibles en el SIMCO")</f>
        <v>Reportes Tableau disponibles en el SIMCO</v>
      </c>
    </row>
    <row r="156" spans="1:2">
      <c r="A156" s="31" t="str">
        <f ca="1">IFERROR(__xludf.DUMMYFUNCTION("""COMPUTED_VALUE"""),"Subdirección de Minería")</f>
        <v>Subdirección de Minería</v>
      </c>
      <c r="B156" s="31" t="str">
        <f ca="1">IFERROR(__xludf.DUMMYFUNCTION("""COMPUTED_VALUE"""),"Reportes Tableau disponibles en el SIMCO")</f>
        <v>Reportes Tableau disponibles en el SIMCO</v>
      </c>
    </row>
    <row r="157" spans="1:2">
      <c r="A157" s="31" t="str">
        <f ca="1">IFERROR(__xludf.DUMMYFUNCTION("""COMPUTED_VALUE"""),"Secretaría General - GIT Talento Humano y Servicio al Ciudadano")</f>
        <v>Secretaría General - GIT Talento Humano y Servicio al Ciudadano</v>
      </c>
      <c r="B157" s="31" t="str">
        <f ca="1">IFERROR(__xludf.DUMMYFUNCTION("""COMPUTED_VALUE"""),"(N° de actividades ejecutadas / N° de actividades planificadas) *100")</f>
        <v>(N° de actividades ejecutadas / N° de actividades planificadas) *100</v>
      </c>
    </row>
    <row r="158" spans="1:2">
      <c r="A158" s="31" t="str">
        <f ca="1">IFERROR(__xludf.DUMMYFUNCTION("""COMPUTED_VALUE"""),"Secretaría General - GIT Talento Humano y Servicio al Ciudadano")</f>
        <v>Secretaría General - GIT Talento Humano y Servicio al Ciudadano</v>
      </c>
      <c r="B158" s="31" t="str">
        <f ca="1">IFERROR(__xludf.DUMMYFUNCTION("""COMPUTED_VALUE"""),"(N° de actividades ejecutadas / N° de actividades planificadas) *100")</f>
        <v>(N° de actividades ejecutadas / N° de actividades planificadas) *100</v>
      </c>
    </row>
    <row r="159" spans="1:2">
      <c r="A159" s="31" t="str">
        <f ca="1">IFERROR(__xludf.DUMMYFUNCTION("""COMPUTED_VALUE"""),"Secretaría General - GIT Talento Humano y Servicio al Ciudadano")</f>
        <v>Secretaría General - GIT Talento Humano y Servicio al Ciudadano</v>
      </c>
      <c r="B159" s="31" t="str">
        <f ca="1">IFERROR(__xludf.DUMMYFUNCTION("""COMPUTED_VALUE"""),"(N° de actividades ejecutadas / N° de actividades planificadas) *100")</f>
        <v>(N° de actividades ejecutadas / N° de actividades planificadas) *100</v>
      </c>
    </row>
    <row r="160" spans="1:2">
      <c r="A160" s="31" t="str">
        <f ca="1">IFERROR(__xludf.DUMMYFUNCTION("""COMPUTED_VALUE"""),"Secretaría General - GIT Talento Humano y Servicio al Ciudadano")</f>
        <v>Secretaría General - GIT Talento Humano y Servicio al Ciudadano</v>
      </c>
      <c r="B160" s="31" t="str">
        <f ca="1">IFERROR(__xludf.DUMMYFUNCTION("""COMPUTED_VALUE"""),"(N° de actividades ejecutadas / N° de actividades planificadas) *100")</f>
        <v>(N° de actividades ejecutadas / N° de actividades planificadas) *100</v>
      </c>
    </row>
    <row r="161" spans="1:2">
      <c r="A161" s="31" t="str">
        <f ca="1">IFERROR(__xludf.DUMMYFUNCTION("""COMPUTED_VALUE"""),"Secretaría General - GIT Talento Humano y Servicio al Ciudadano")</f>
        <v>Secretaría General - GIT Talento Humano y Servicio al Ciudadano</v>
      </c>
      <c r="B161" s="31" t="str">
        <f ca="1">IFERROR(__xludf.DUMMYFUNCTION("""COMPUTED_VALUE"""),"(N° de actividades ejecutadas / N° de actividades planificadas) *100")</f>
        <v>(N° de actividades ejecutadas / N° de actividades planificadas) *100</v>
      </c>
    </row>
    <row r="162" spans="1:2">
      <c r="A162" s="31" t="str">
        <f ca="1">IFERROR(__xludf.DUMMYFUNCTION("""COMPUTED_VALUE"""),"Secretaría General - GIT Talento Humano y Servicio al Ciudadano")</f>
        <v>Secretaría General - GIT Talento Humano y Servicio al Ciudadano</v>
      </c>
      <c r="B162" s="31" t="str">
        <f ca="1">IFERROR(__xludf.DUMMYFUNCTION("""COMPUTED_VALUE"""),"(N° de actividades ejecutadas / N° de actividades planificadas) *100")</f>
        <v>(N° de actividades ejecutadas / N° de actividades planificadas) *100</v>
      </c>
    </row>
    <row r="163" spans="1:2">
      <c r="A163" s="31" t="str">
        <f ca="1">IFERROR(__xludf.DUMMYFUNCTION("""COMPUTED_VALUE"""),"Secretaría General - GIT Talento Humano y Servicio al Ciudadano")</f>
        <v>Secretaría General - GIT Talento Humano y Servicio al Ciudadano</v>
      </c>
      <c r="B163" s="31" t="str">
        <f ca="1">IFERROR(__xludf.DUMMYFUNCTION("""COMPUTED_VALUE"""),"(N° de actividades ejecutadas / N° de actividades planificadas) *100")</f>
        <v>(N° de actividades ejecutadas / N° de actividades planificadas) *100</v>
      </c>
    </row>
    <row r="164" spans="1:2">
      <c r="A164" s="31" t="str">
        <f ca="1">IFERROR(__xludf.DUMMYFUNCTION("""COMPUTED_VALUE"""),"Secretaría General - GIT Talento Humano y Servicio al Ciudadano")</f>
        <v>Secretaría General - GIT Talento Humano y Servicio al Ciudadano</v>
      </c>
      <c r="B164" s="31" t="str">
        <f ca="1">IFERROR(__xludf.DUMMYFUNCTION("""COMPUTED_VALUE"""),"(N° de actividades ejecutadas / N° de actividades planificadas) *100")</f>
        <v>(N° de actividades ejecutadas / N° de actividades planificadas) *100</v>
      </c>
    </row>
    <row r="165" spans="1:2">
      <c r="A165" s="31" t="str">
        <f ca="1">IFERROR(__xludf.DUMMYFUNCTION("""COMPUTED_VALUE"""),"Secretaría General - GIT Talento Humano y Servicio al Ciudadano")</f>
        <v>Secretaría General - GIT Talento Humano y Servicio al Ciudadano</v>
      </c>
      <c r="B165" s="31" t="str">
        <f ca="1">IFERROR(__xludf.DUMMYFUNCTION("""COMPUTED_VALUE"""),"(N° de actividades ejecutadas / N° de actividades planificadas) *100")</f>
        <v>(N° de actividades ejecutadas / N° de actividades planificadas) *100</v>
      </c>
    </row>
    <row r="166" spans="1:2">
      <c r="A166" s="31" t="str">
        <f ca="1">IFERROR(__xludf.DUMMYFUNCTION("""COMPUTED_VALUE"""),"Secretaría General - GIT Talento Humano y Servicio al Ciudadano")</f>
        <v>Secretaría General - GIT Talento Humano y Servicio al Ciudadano</v>
      </c>
      <c r="B166" s="31" t="str">
        <f ca="1">IFERROR(__xludf.DUMMYFUNCTION("""COMPUTED_VALUE"""),"(N° de actividades ejecutadas / N° de actividades planificadas) *100")</f>
        <v>(N° de actividades ejecutadas / N° de actividades planificadas) *100</v>
      </c>
    </row>
    <row r="167" spans="1:2">
      <c r="A167" s="31" t="str">
        <f ca="1">IFERROR(__xludf.DUMMYFUNCTION("""COMPUTED_VALUE"""),"Secretaría General - GIT Talento Humano y Servicio al Ciudadano")</f>
        <v>Secretaría General - GIT Talento Humano y Servicio al Ciudadano</v>
      </c>
      <c r="B167" s="31" t="str">
        <f ca="1">IFERROR(__xludf.DUMMYFUNCTION("""COMPUTED_VALUE"""),"(N° de actividades ejecutadas / N° de actividades planificadas) *100")</f>
        <v>(N° de actividades ejecutadas / N° de actividades planificadas) *100</v>
      </c>
    </row>
    <row r="168" spans="1:2">
      <c r="A168" s="31" t="str">
        <f ca="1">IFERROR(__xludf.DUMMYFUNCTION("""COMPUTED_VALUE"""),"Secretaría General - GIT Talento Humano y Servicio al Ciudadano")</f>
        <v>Secretaría General - GIT Talento Humano y Servicio al Ciudadano</v>
      </c>
      <c r="B168" s="31" t="str">
        <f ca="1">IFERROR(__xludf.DUMMYFUNCTION("""COMPUTED_VALUE"""),"(N° de actividades ejecutadas / N° de actividades planificadas) *100")</f>
        <v>(N° de actividades ejecutadas / N° de actividades planificadas) *100</v>
      </c>
    </row>
    <row r="169" spans="1:2">
      <c r="A169" s="31" t="str">
        <f ca="1">IFERROR(__xludf.DUMMYFUNCTION("""COMPUTED_VALUE"""),"Secretaría General - GIT Talento Humano y Servicio al Ciudadano")</f>
        <v>Secretaría General - GIT Talento Humano y Servicio al Ciudadano</v>
      </c>
      <c r="B169" s="31" t="str">
        <f ca="1">IFERROR(__xludf.DUMMYFUNCTION("""COMPUTED_VALUE"""),"(N° de actividades ejecutadas / N° de actividades planificadas) *100")</f>
        <v>(N° de actividades ejecutadas / N° de actividades planificadas) *100</v>
      </c>
    </row>
    <row r="170" spans="1:2">
      <c r="A170" s="31" t="str">
        <f ca="1">IFERROR(__xludf.DUMMYFUNCTION("""COMPUTED_VALUE"""),"Secretaría General - GIT Talento Humano y Servicio al Ciudadano")</f>
        <v>Secretaría General - GIT Talento Humano y Servicio al Ciudadano</v>
      </c>
      <c r="B170" s="31" t="str">
        <f ca="1">IFERROR(__xludf.DUMMYFUNCTION("""COMPUTED_VALUE"""),"(N° de actividades ejecutadas / N° de actividades planificadas) *100")</f>
        <v>(N° de actividades ejecutadas / N° de actividades planificadas) *100</v>
      </c>
    </row>
    <row r="171" spans="1:2">
      <c r="A171" s="31" t="str">
        <f ca="1">IFERROR(__xludf.DUMMYFUNCTION("""COMPUTED_VALUE"""),"Secretaría General - GIT Talento Humano y Servicio al Ciudadano")</f>
        <v>Secretaría General - GIT Talento Humano y Servicio al Ciudadano</v>
      </c>
      <c r="B171" s="31" t="str">
        <f ca="1">IFERROR(__xludf.DUMMYFUNCTION("""COMPUTED_VALUE"""),"(N° de actividades ejecutadas / N° de actividades planificadas) *100")</f>
        <v>(N° de actividades ejecutadas / N° de actividades planificadas) *100</v>
      </c>
    </row>
    <row r="172" spans="1:2">
      <c r="A172" s="31" t="str">
        <f ca="1">IFERROR(__xludf.DUMMYFUNCTION("""COMPUTED_VALUE"""),"Secretaría General - GIT Talento Humano y Servicio al Ciudadano")</f>
        <v>Secretaría General - GIT Talento Humano y Servicio al Ciudadano</v>
      </c>
      <c r="B172" s="31" t="str">
        <f ca="1">IFERROR(__xludf.DUMMYFUNCTION("""COMPUTED_VALUE"""),"(N° de actividades ejecutadas / N° de actividades planificadas) *100")</f>
        <v>(N° de actividades ejecutadas / N° de actividades planificadas) *100</v>
      </c>
    </row>
    <row r="173" spans="1:2">
      <c r="A173" s="31" t="str">
        <f ca="1">IFERROR(__xludf.DUMMYFUNCTION("""COMPUTED_VALUE"""),"Secretaría General - GIT Talento Humano y Servicio al Ciudadano")</f>
        <v>Secretaría General - GIT Talento Humano y Servicio al Ciudadano</v>
      </c>
      <c r="B173" s="31" t="str">
        <f ca="1">IFERROR(__xludf.DUMMYFUNCTION("""COMPUTED_VALUE"""),"(N° de actividades ejecutadas / N° de actividades planificadas) *100")</f>
        <v>(N° de actividades ejecutadas / N° de actividades planificadas) *100</v>
      </c>
    </row>
    <row r="174" spans="1:2">
      <c r="A174" s="31" t="str">
        <f ca="1">IFERROR(__xludf.DUMMYFUNCTION("""COMPUTED_VALUE"""),"Secretaría General - GIT Talento Humano y Servicio al Ciudadano")</f>
        <v>Secretaría General - GIT Talento Humano y Servicio al Ciudadano</v>
      </c>
      <c r="B174" s="31" t="str">
        <f ca="1">IFERROR(__xludf.DUMMYFUNCTION("""COMPUTED_VALUE"""),"(N° de actividades ejecutadas / N° de actividades planificadas) *100")</f>
        <v>(N° de actividades ejecutadas / N° de actividades planificadas) *100</v>
      </c>
    </row>
    <row r="175" spans="1:2">
      <c r="A175" s="31" t="str">
        <f ca="1">IFERROR(__xludf.DUMMYFUNCTION("""COMPUTED_VALUE"""),"Secretaría General - GIT Talento Humano y Servicio al Ciudadano")</f>
        <v>Secretaría General - GIT Talento Humano y Servicio al Ciudadano</v>
      </c>
      <c r="B175" s="31" t="str">
        <f ca="1">IFERROR(__xludf.DUMMYFUNCTION("""COMPUTED_VALUE"""),"(N° de actividades ejecutadas / N° de actividades planificadas) *100")</f>
        <v>(N° de actividades ejecutadas / N° de actividades planificadas) *100</v>
      </c>
    </row>
    <row r="176" spans="1:2">
      <c r="A176" s="31" t="str">
        <f ca="1">IFERROR(__xludf.DUMMYFUNCTION("""COMPUTED_VALUE"""),"Secretaría General - GIT Talento Humano y Servicio al Ciudadano")</f>
        <v>Secretaría General - GIT Talento Humano y Servicio al Ciudadano</v>
      </c>
      <c r="B176" s="31" t="str">
        <f ca="1">IFERROR(__xludf.DUMMYFUNCTION("""COMPUTED_VALUE"""),"(N° de actividades ejecutadas / N° de actividades planificadas) *100")</f>
        <v>(N° de actividades ejecutadas / N° de actividades planificadas) *100</v>
      </c>
    </row>
    <row r="177" spans="1:2">
      <c r="A177" s="31" t="str">
        <f ca="1">IFERROR(__xludf.DUMMYFUNCTION("""COMPUTED_VALUE"""),"Secretaría General - GIT Talento Humano y Servicio al Ciudadano")</f>
        <v>Secretaría General - GIT Talento Humano y Servicio al Ciudadano</v>
      </c>
      <c r="B177" s="31" t="str">
        <f ca="1">IFERROR(__xludf.DUMMYFUNCTION("""COMPUTED_VALUE"""),"(N° de actividades ejecutadas / N° de actividades planificadas) *100")</f>
        <v>(N° de actividades ejecutadas / N° de actividades planificadas) *100</v>
      </c>
    </row>
    <row r="178" spans="1:2">
      <c r="A178" s="31" t="str">
        <f ca="1">IFERROR(__xludf.DUMMYFUNCTION("""COMPUTED_VALUE"""),"Secretaría General - GIT Talento Humano y Servicio al Ciudadano")</f>
        <v>Secretaría General - GIT Talento Humano y Servicio al Ciudadano</v>
      </c>
      <c r="B178" s="31" t="str">
        <f ca="1">IFERROR(__xludf.DUMMYFUNCTION("""COMPUTED_VALUE"""),"(N° de documentos elaborados y aprobados / N° de documentos requeridos) *100")</f>
        <v>(N° de documentos elaborados y aprobados / N° de documentos requeridos) *100</v>
      </c>
    </row>
    <row r="179" spans="1:2">
      <c r="A179" s="31" t="str">
        <f ca="1">IFERROR(__xludf.DUMMYFUNCTION("""COMPUTED_VALUE"""),"Secretaría General - GIT Talento Humano y Servicio al Ciudadano")</f>
        <v>Secretaría General - GIT Talento Humano y Servicio al Ciudadano</v>
      </c>
      <c r="B179" s="31" t="str">
        <f ca="1">IFERROR(__xludf.DUMMYFUNCTION("""COMPUTED_VALUE"""),"(N° de documentos elaborados y aprobados / N° de documentos requeridos) *100")</f>
        <v>(N° de documentos elaborados y aprobados / N° de documentos requeridos) *100</v>
      </c>
    </row>
    <row r="180" spans="1:2">
      <c r="A180" s="31" t="str">
        <f ca="1">IFERROR(__xludf.DUMMYFUNCTION("""COMPUTED_VALUE"""),"Secretaría General - GIT Talento Humano y Servicio al Ciudadano")</f>
        <v>Secretaría General - GIT Talento Humano y Servicio al Ciudadano</v>
      </c>
      <c r="B180" s="31" t="str">
        <f ca="1">IFERROR(__xludf.DUMMYFUNCTION("""COMPUTED_VALUE"""),"(N° de pagos ejecutados / N° de pagos pendientes) *100")</f>
        <v>(N° de pagos ejecutados / N° de pagos pendientes) *100</v>
      </c>
    </row>
    <row r="181" spans="1:2">
      <c r="A181" s="31" t="str">
        <f ca="1">IFERROR(__xludf.DUMMYFUNCTION("""COMPUTED_VALUE"""),"Secretaría General - GIT Talento Humano y Servicio al Ciudadano")</f>
        <v>Secretaría General - GIT Talento Humano y Servicio al Ciudadano</v>
      </c>
      <c r="B181" s="31" t="str">
        <f ca="1">IFERROR(__xludf.DUMMYFUNCTION("""COMPUTED_VALUE"""),"(N° de nóminas pagadas / N° de nóminas planificadas) *100")</f>
        <v>(N° de nóminas pagadas / N° de nóminas planificadas) *100</v>
      </c>
    </row>
    <row r="182" spans="1:2">
      <c r="A182" s="31" t="str">
        <f ca="1">IFERROR(__xludf.DUMMYFUNCTION("""COMPUTED_VALUE"""),"Secretaría General - GIT Talento Humano y Servicio al Ciudadano")</f>
        <v>Secretaría General - GIT Talento Humano y Servicio al Ciudadano</v>
      </c>
      <c r="B182" s="31" t="str">
        <f ca="1">IFERROR(__xludf.DUMMYFUNCTION("""COMPUTED_VALUE"""),"(N° de nóminas pagadas / N° de nóminas planificadas) *100")</f>
        <v>(N° de nóminas pagadas / N° de nóminas planificadas) *100</v>
      </c>
    </row>
    <row r="183" spans="1:2">
      <c r="A183" s="31" t="str">
        <f ca="1">IFERROR(__xludf.DUMMYFUNCTION("""COMPUTED_VALUE"""),"Secretaría General - GIT Talento Humano y Servicio al Ciudadano")</f>
        <v>Secretaría General - GIT Talento Humano y Servicio al Ciudadano</v>
      </c>
      <c r="B183" s="31" t="str">
        <f ca="1">IFERROR(__xludf.DUMMYFUNCTION("""COMPUTED_VALUE"""),"(N° de nóminas pagadas / N° de nóminas planificadas) *100")</f>
        <v>(N° de nóminas pagadas / N° de nóminas planificadas) *100</v>
      </c>
    </row>
    <row r="184" spans="1:2">
      <c r="A184" s="31" t="str">
        <f ca="1">IFERROR(__xludf.DUMMYFUNCTION("""COMPUTED_VALUE"""),"Secretaría General - GIT Talento Humano y Servicio al Ciudadano")</f>
        <v>Secretaría General - GIT Talento Humano y Servicio al Ciudadano</v>
      </c>
      <c r="B184" s="31" t="str">
        <f ca="1">IFERROR(__xludf.DUMMYFUNCTION("""COMPUTED_VALUE"""),"(N° de nóminas pagadas / N° de nóminas planificadas) *100")</f>
        <v>(N° de nóminas pagadas / N° de nóminas planificadas) *100</v>
      </c>
    </row>
    <row r="185" spans="1:2">
      <c r="A185" s="31" t="str">
        <f ca="1">IFERROR(__xludf.DUMMYFUNCTION("""COMPUTED_VALUE"""),"Secretaría General - GIT Talento Humano y Servicio al Ciudadano")</f>
        <v>Secretaría General - GIT Talento Humano y Servicio al Ciudadano</v>
      </c>
      <c r="B185" s="31" t="str">
        <f ca="1">IFERROR(__xludf.DUMMYFUNCTION("""COMPUTED_VALUE"""),"(N° de comunicaciones difundidas / N° de comunicaciones requeridas) *100")</f>
        <v>(N° de comunicaciones difundidas / N° de comunicaciones requeridas) *100</v>
      </c>
    </row>
    <row r="186" spans="1:2">
      <c r="A186" s="31" t="str">
        <f ca="1">IFERROR(__xludf.DUMMYFUNCTION("""COMPUTED_VALUE"""),"Secretaría General - GIT Talento Humano y Servicio al Ciudadano")</f>
        <v>Secretaría General - GIT Talento Humano y Servicio al Ciudadano</v>
      </c>
      <c r="B186" s="31" t="str">
        <f ca="1">IFERROR(__xludf.DUMMYFUNCTION("""COMPUTED_VALUE"""),"(N° de procedimientos actualizados / N° de procedimientos requeridos) *100")</f>
        <v>(N° de procedimientos actualizados / N° de procedimientos requeridos) *100</v>
      </c>
    </row>
    <row r="187" spans="1:2">
      <c r="A187" s="31" t="str">
        <f ca="1">IFERROR(__xludf.DUMMYFUNCTION("""COMPUTED_VALUE"""),"Secretaría General - GIT Talento Humano y Servicio al Ciudadano")</f>
        <v>Secretaría General - GIT Talento Humano y Servicio al Ciudadano</v>
      </c>
      <c r="B187" s="31" t="str">
        <f ca="1">IFERROR(__xludf.DUMMYFUNCTION("""COMPUTED_VALUE"""),"(N° de documentos elaborados y aprobados / N° de documentos requeridos) *100")</f>
        <v>(N° de documentos elaborados y aprobados / N° de documentos requeridos) *100</v>
      </c>
    </row>
    <row r="188" spans="1:2">
      <c r="A188" s="31" t="str">
        <f ca="1">IFERROR(__xludf.DUMMYFUNCTION("""COMPUTED_VALUE"""),"Secretaría General - GIT Talento Humano y Servicio al Ciudadano")</f>
        <v>Secretaría General - GIT Talento Humano y Servicio al Ciudadano</v>
      </c>
      <c r="B188" s="31" t="str">
        <f ca="1">IFERROR(__xludf.DUMMYFUNCTION("""COMPUTED_VALUE"""),"(N° de vacates cubiertas / N° de vacantes disponibles) *100")</f>
        <v>(N° de vacates cubiertas / N° de vacantes disponibles) *100</v>
      </c>
    </row>
    <row r="189" spans="1:2">
      <c r="A189" s="31" t="str">
        <f ca="1">IFERROR(__xludf.DUMMYFUNCTION("""COMPUTED_VALUE"""),"Secretaría General - GIT Talento Humano y Servicio al Ciudadano")</f>
        <v>Secretaría General - GIT Talento Humano y Servicio al Ciudadano</v>
      </c>
      <c r="B189" s="31" t="str">
        <f ca="1">IFERROR(__xludf.DUMMYFUNCTION("""COMPUTED_VALUE"""),"(N° de vacates cubiertas / N° de vacantes disponibles) *100")</f>
        <v>(N° de vacates cubiertas / N° de vacantes disponibles) *100</v>
      </c>
    </row>
    <row r="190" spans="1:2">
      <c r="A190" s="31" t="str">
        <f ca="1">IFERROR(__xludf.DUMMYFUNCTION("""COMPUTED_VALUE"""),"Secretaría General - GIT Talento Humano y Servicio al Ciudadano")</f>
        <v>Secretaría General - GIT Talento Humano y Servicio al Ciudadano</v>
      </c>
      <c r="B190" s="31" t="str">
        <f ca="1">IFERROR(__xludf.DUMMYFUNCTION("""COMPUTED_VALUE"""),"(N° de documentos elaborados y aprobados / N° de documentos requeridos) *100")</f>
        <v>(N° de documentos elaborados y aprobados / N° de documentos requeridos) *100</v>
      </c>
    </row>
    <row r="191" spans="1:2">
      <c r="A191" s="31" t="str">
        <f ca="1">IFERROR(__xludf.DUMMYFUNCTION("""COMPUTED_VALUE"""),"Secretaría General - GIT Talento Humano y Servicio al Ciudadano")</f>
        <v>Secretaría General - GIT Talento Humano y Servicio al Ciudadano</v>
      </c>
      <c r="B191" s="31" t="str">
        <f ca="1">IFERROR(__xludf.DUMMYFUNCTION("""COMPUTED_VALUE"""),"(N° de documentos elaborados y aprobados / N° de documentos requeridos) *100")</f>
        <v>(N° de documentos elaborados y aprobados / N° de documentos requeridos) *100</v>
      </c>
    </row>
    <row r="192" spans="1:2">
      <c r="A192" s="31" t="str">
        <f ca="1">IFERROR(__xludf.DUMMYFUNCTION("""COMPUTED_VALUE"""),"Secretaría General - GIT Talento Humano y Servicio al Ciudadano")</f>
        <v>Secretaría General - GIT Talento Humano y Servicio al Ciudadano</v>
      </c>
      <c r="B192" s="31" t="str">
        <f ca="1">IFERROR(__xludf.DUMMYFUNCTION("""COMPUTED_VALUE"""),"(N° de documentos elaborados y aprobados / N° de documentos requeridos) *100")</f>
        <v>(N° de documentos elaborados y aprobados / N° de documentos requeridos) *100</v>
      </c>
    </row>
    <row r="193" spans="1:2">
      <c r="A193" s="31" t="str">
        <f ca="1">IFERROR(__xludf.DUMMYFUNCTION("""COMPUTED_VALUE"""),"Secretaría General - GIT Talento Humano y Servicio al Ciudadano")</f>
        <v>Secretaría General - GIT Talento Humano y Servicio al Ciudadano</v>
      </c>
      <c r="B193" s="31" t="str">
        <f ca="1">IFERROR(__xludf.DUMMYFUNCTION("""COMPUTED_VALUE"""),"(N° de actos administrativos elaborados y aprobados / N° de actos administrativos requeridos) *100")</f>
        <v>(N° de actos administrativos elaborados y aprobados / N° de actos administrativos requeridos) *100</v>
      </c>
    </row>
    <row r="194" spans="1:2">
      <c r="A194" s="31" t="str">
        <f ca="1">IFERROR(__xludf.DUMMYFUNCTION("""COMPUTED_VALUE"""),"Secretaría General - GIT Talento Humano y Servicio al Ciudadano")</f>
        <v>Secretaría General - GIT Talento Humano y Servicio al Ciudadano</v>
      </c>
      <c r="B194" s="31" t="str">
        <f ca="1">IFERROR(__xludf.DUMMYFUNCTION("""COMPUTED_VALUE"""),"(N° de documentos elaborados y aprobados / N° de documentos requeridos) *100")</f>
        <v>(N° de documentos elaborados y aprobados / N° de documentos requeridos) *100</v>
      </c>
    </row>
    <row r="195" spans="1:2">
      <c r="A195" s="31" t="str">
        <f ca="1">IFERROR(__xludf.DUMMYFUNCTION("""COMPUTED_VALUE"""),"Secretaría General - GIT Talento Humano y Servicio al Ciudadano")</f>
        <v>Secretaría General - GIT Talento Humano y Servicio al Ciudadano</v>
      </c>
      <c r="B195" s="31" t="str">
        <f ca="1">IFERROR(__xludf.DUMMYFUNCTION("""COMPUTED_VALUE"""),"(N° de documentos elaborados y aprobados / N° de documentos requeridos) *100")</f>
        <v>(N° de documentos elaborados y aprobados / N° de documentos requeridos) *100</v>
      </c>
    </row>
    <row r="196" spans="1:2">
      <c r="A196" s="31" t="str">
        <f ca="1">IFERROR(__xludf.DUMMYFUNCTION("""COMPUTED_VALUE"""),"Secretaría General - GIT Talento Humano y Servicio al Ciudadano")</f>
        <v>Secretaría General - GIT Talento Humano y Servicio al Ciudadano</v>
      </c>
      <c r="B196" s="31" t="str">
        <f ca="1">IFERROR(__xludf.DUMMYFUNCTION("""COMPUTED_VALUE"""),"(N° de documentos elaborados y aprobados / N° de documentos requeridos) *100")</f>
        <v>(N° de documentos elaborados y aprobados / N° de documentos requeridos) *100</v>
      </c>
    </row>
    <row r="197" spans="1:2">
      <c r="A197" s="31" t="str">
        <f ca="1">IFERROR(__xludf.DUMMYFUNCTION("""COMPUTED_VALUE"""),"Secretaría General - GIT Talento Humano y Servicio al Ciudadano")</f>
        <v>Secretaría General - GIT Talento Humano y Servicio al Ciudadano</v>
      </c>
      <c r="B197" s="31" t="str">
        <f ca="1">IFERROR(__xludf.DUMMYFUNCTION("""COMPUTED_VALUE"""),"(N° de documentos elaborados y aprobados / N° de documentos requeridos) *100")</f>
        <v>(N° de documentos elaborados y aprobados / N° de documentos requeridos) *100</v>
      </c>
    </row>
    <row r="198" spans="1:2">
      <c r="A198" s="31" t="str">
        <f ca="1">IFERROR(__xludf.DUMMYFUNCTION("""COMPUTED_VALUE"""),"Secretaría General - GIT Talento Humano y Servicio al Ciudadano")</f>
        <v>Secretaría General - GIT Talento Humano y Servicio al Ciudadano</v>
      </c>
      <c r="B198" s="31" t="str">
        <f ca="1">IFERROR(__xludf.DUMMYFUNCTION("""COMPUTED_VALUE"""),"(N° de actividades ejecutadas / N° de actividades planificadas) *100")</f>
        <v>(N° de actividades ejecutadas / N° de actividades planificadas) *100</v>
      </c>
    </row>
    <row r="199" spans="1:2">
      <c r="A199" s="31" t="str">
        <f ca="1">IFERROR(__xludf.DUMMYFUNCTION("""COMPUTED_VALUE"""),"Secretaría General - GIT Talento Humano y Servicio al Ciudadano")</f>
        <v>Secretaría General - GIT Talento Humano y Servicio al Ciudadano</v>
      </c>
      <c r="B199" s="31" t="str">
        <f ca="1">IFERROR(__xludf.DUMMYFUNCTION("""COMPUTED_VALUE"""),"(N° de actividades ejecutadas / N° de actividades planificadas) *100")</f>
        <v>(N° de actividades ejecutadas / N° de actividades planificadas) *100</v>
      </c>
    </row>
    <row r="200" spans="1:2">
      <c r="A200" s="31" t="str">
        <f ca="1">IFERROR(__xludf.DUMMYFUNCTION("""COMPUTED_VALUE"""),"Secretaría General - GIT Talento Humano y Servicio al Ciudadano")</f>
        <v>Secretaría General - GIT Talento Humano y Servicio al Ciudadano</v>
      </c>
      <c r="B200" s="31" t="str">
        <f ca="1">IFERROR(__xludf.DUMMYFUNCTION("""COMPUTED_VALUE"""),"(N° de actividades ejecutadas / N° de actividades planificadas) *100")</f>
        <v>(N° de actividades ejecutadas / N° de actividades planificadas) *100</v>
      </c>
    </row>
    <row r="201" spans="1:2">
      <c r="A201" s="31" t="str">
        <f ca="1">IFERROR(__xludf.DUMMYFUNCTION("""COMPUTED_VALUE"""),"Secretaría General - GIT Talento Humano y Servicio al Ciudadano")</f>
        <v>Secretaría General - GIT Talento Humano y Servicio al Ciudadano</v>
      </c>
      <c r="B201" s="31" t="str">
        <f ca="1">IFERROR(__xludf.DUMMYFUNCTION("""COMPUTED_VALUE"""),"(N° de actividades ejecutadas / N° de actividades planificadas) *100")</f>
        <v>(N° de actividades ejecutadas / N° de actividades planificadas) *100</v>
      </c>
    </row>
    <row r="202" spans="1:2">
      <c r="A202" s="31" t="str">
        <f ca="1">IFERROR(__xludf.DUMMYFUNCTION("""COMPUTED_VALUE"""),"Secretaría General - GIT Talento Humano y Servicio al Ciudadano")</f>
        <v>Secretaría General - GIT Talento Humano y Servicio al Ciudadano</v>
      </c>
      <c r="B202" s="31" t="str">
        <f ca="1">IFERROR(__xludf.DUMMYFUNCTION("""COMPUTED_VALUE"""),"(N° de actividades ejecutadas / N° de actividades planificadas) *100")</f>
        <v>(N° de actividades ejecutadas / N° de actividades planificadas) *100</v>
      </c>
    </row>
    <row r="203" spans="1:2">
      <c r="A203" s="31" t="str">
        <f ca="1">IFERROR(__xludf.DUMMYFUNCTION("""COMPUTED_VALUE"""),"Secretaría General - GIT Talento Humano y Servicio al Ciudadano")</f>
        <v>Secretaría General - GIT Talento Humano y Servicio al Ciudadano</v>
      </c>
      <c r="B203" s="31" t="str">
        <f ca="1">IFERROR(__xludf.DUMMYFUNCTION("""COMPUTED_VALUE"""),"(N° de acuerdos firmados / N° de gerentes públicos) *100")</f>
        <v>(N° de acuerdos firmados / N° de gerentes públicos) *100</v>
      </c>
    </row>
    <row r="204" spans="1:2">
      <c r="A204" s="31" t="str">
        <f ca="1">IFERROR(__xludf.DUMMYFUNCTION("""COMPUTED_VALUE"""),"Secretaría General - GIT Talento Humano y Servicio al Ciudadano")</f>
        <v>Secretaría General - GIT Talento Humano y Servicio al Ciudadano</v>
      </c>
      <c r="B204" s="31" t="str">
        <f ca="1">IFERROR(__xludf.DUMMYFUNCTION("""COMPUTED_VALUE"""),"(N° de acuerdos firmados / N° de gerentes públicos) *100")</f>
        <v>(N° de acuerdos firmados / N° de gerentes públicos) *100</v>
      </c>
    </row>
    <row r="205" spans="1:2">
      <c r="A205" s="31" t="str">
        <f ca="1">IFERROR(__xludf.DUMMYFUNCTION("""COMPUTED_VALUE"""),"Secretaría General - GIT Talento Humano y Servicio al Ciudadano")</f>
        <v>Secretaría General - GIT Talento Humano y Servicio al Ciudadano</v>
      </c>
      <c r="B205" s="31" t="str">
        <f ca="1">IFERROR(__xludf.DUMMYFUNCTION("""COMPUTED_VALUE"""),"(N° de evaluaciones y concertación de compromisos cargados / N° de servidores públicos de carrera administrativa) *100")</f>
        <v>(N° de evaluaciones y concertación de compromisos cargados / N° de servidores públicos de carrera administrativa) *100</v>
      </c>
    </row>
    <row r="206" spans="1:2">
      <c r="A206" s="31" t="str">
        <f ca="1">IFERROR(__xludf.DUMMYFUNCTION("""COMPUTED_VALUE"""),"Secretaría General - GIT Talento Humano y Servicio al Ciudadano")</f>
        <v>Secretaría General - GIT Talento Humano y Servicio al Ciudadano</v>
      </c>
      <c r="B206" s="31" t="str">
        <f ca="1">IFERROR(__xludf.DUMMYFUNCTION("""COMPUTED_VALUE"""),"(N° de evaluaciones y concertación de compromisos cargados / N° de servidores públicos de carrera administrativa) *100")</f>
        <v>(N° de evaluaciones y concertación de compromisos cargados / N° de servidores públicos de carrera administrativa) *100</v>
      </c>
    </row>
    <row r="207" spans="1:2">
      <c r="A207" s="31" t="str">
        <f ca="1">IFERROR(__xludf.DUMMYFUNCTION("""COMPUTED_VALUE"""),"Secretaría General - GIT Talento Humano y Servicio al Ciudadano")</f>
        <v>Secretaría General - GIT Talento Humano y Servicio al Ciudadano</v>
      </c>
      <c r="B207" s="31" t="str">
        <f ca="1">IFERROR(__xludf.DUMMYFUNCTION("""COMPUTED_VALUE"""),"(N° de evaluaciones cargadas / N° de servidores públicos de provisionalidad o LNR que no ostenten cargos de gerentes públicos) *100")</f>
        <v>(N° de evaluaciones cargadas / N° de servidores públicos de provisionalidad o LNR que no ostenten cargos de gerentes públicos) *100</v>
      </c>
    </row>
    <row r="208" spans="1:2">
      <c r="A208" s="31" t="str">
        <f ca="1">IFERROR(__xludf.DUMMYFUNCTION("""COMPUTED_VALUE"""),"Secretaría General - GIT Talento Humano y Servicio al Ciudadano")</f>
        <v>Secretaría General - GIT Talento Humano y Servicio al Ciudadano</v>
      </c>
      <c r="B208" s="31" t="str">
        <f ca="1">IFERROR(__xludf.DUMMYFUNCTION("""COMPUTED_VALUE"""),"(N° de evaluaciones cargadas / N° de servidores públicos de provisionalidad o LNR que no ostenten cargos de gerentes públicos) *100")</f>
        <v>(N° de evaluaciones cargadas / N° de servidores públicos de provisionalidad o LNR que no ostenten cargos de gerentes públicos) *100</v>
      </c>
    </row>
    <row r="209" spans="1:2">
      <c r="A209" s="31" t="str">
        <f ca="1">IFERROR(__xludf.DUMMYFUNCTION("""COMPUTED_VALUE"""),"Oficina de Gestión de la Información")</f>
        <v>Oficina de Gestión de la Información</v>
      </c>
      <c r="B209" s="31" t="str">
        <f ca="1">IFERROR(__xludf.DUMMYFUNCTION("""COMPUTED_VALUE"""),"# campañas realizadas / # campañas planeadas")</f>
        <v># campañas realizadas / # campañas planeadas</v>
      </c>
    </row>
    <row r="210" spans="1:2">
      <c r="A210" s="31" t="str">
        <f ca="1">IFERROR(__xludf.DUMMYFUNCTION("""COMPUTED_VALUE"""),"Oficina de Gestión de la Información")</f>
        <v>Oficina de Gestión de la Información</v>
      </c>
      <c r="B210" s="31" t="str">
        <f ca="1">IFERROR(__xludf.DUMMYFUNCTION("""COMPUTED_VALUE"""),"# eventos realizados / # eventos planeados")</f>
        <v># eventos realizados / # eventos planeados</v>
      </c>
    </row>
    <row r="211" spans="1:2">
      <c r="A211" s="31" t="str">
        <f ca="1">IFERROR(__xludf.DUMMYFUNCTION("""COMPUTED_VALUE"""),"Oficina de Gestión de la Información")</f>
        <v>Oficina de Gestión de la Información</v>
      </c>
      <c r="B211" s="31" t="str">
        <f ca="1">IFERROR(__xludf.DUMMYFUNCTION("""COMPUTED_VALUE"""),"1 documento")</f>
        <v>1 documento</v>
      </c>
    </row>
    <row r="212" spans="1:2">
      <c r="A212" s="31" t="str">
        <f ca="1">IFERROR(__xludf.DUMMYFUNCTION("""COMPUTED_VALUE"""),"Oficina de Gestión de la Información")</f>
        <v>Oficina de Gestión de la Información</v>
      </c>
      <c r="B212" s="31" t="str">
        <f ca="1">IFERROR(__xludf.DUMMYFUNCTION("""COMPUTED_VALUE"""),"1 documento")</f>
        <v>1 documento</v>
      </c>
    </row>
    <row r="213" spans="1:2">
      <c r="A213" s="31" t="str">
        <f ca="1">IFERROR(__xludf.DUMMYFUNCTION("""COMPUTED_VALUE"""),"Oficina de Gestión de la Información")</f>
        <v>Oficina de Gestión de la Información</v>
      </c>
      <c r="B213" s="31" t="str">
        <f ca="1">IFERROR(__xludf.DUMMYFUNCTION("""COMPUTED_VALUE"""),"Web site actualizado")</f>
        <v>Web site actualizado</v>
      </c>
    </row>
    <row r="214" spans="1:2">
      <c r="A214" s="31" t="str">
        <f ca="1">IFERROR(__xludf.DUMMYFUNCTION("""COMPUTED_VALUE"""),"Oficina de Gestión de la Información")</f>
        <v>Oficina de Gestión de la Información</v>
      </c>
      <c r="B214" s="31" t="str">
        <f ca="1">IFERROR(__xludf.DUMMYFUNCTION("""COMPUTED_VALUE"""),"Lineamientos cumplidos / lineamientos definidos")</f>
        <v>Lineamientos cumplidos / lineamientos definidos</v>
      </c>
    </row>
    <row r="215" spans="1:2">
      <c r="A215" s="31" t="str">
        <f ca="1">IFERROR(__xludf.DUMMYFUNCTION("""COMPUTED_VALUE"""),"Oficina de Gestión de la Información")</f>
        <v>Oficina de Gestión de la Información</v>
      </c>
      <c r="B215" s="31" t="str">
        <f ca="1">IFERROR(__xludf.DUMMYFUNCTION("""COMPUTED_VALUE"""),"# portales integrados / # portales programados")</f>
        <v># portales integrados / # portales programados</v>
      </c>
    </row>
    <row r="216" spans="1:2">
      <c r="A216" s="31" t="str">
        <f ca="1">IFERROR(__xludf.DUMMYFUNCTION("""COMPUTED_VALUE"""),"Oficina de Gestión de la Información")</f>
        <v>Oficina de Gestión de la Información</v>
      </c>
      <c r="B216" s="31" t="str">
        <f ca="1">IFERROR(__xludf.DUMMYFUNCTION("""COMPUTED_VALUE"""),"Dominios actualizados / dominios definidos en el marco de referencia")</f>
        <v>Dominios actualizados / dominios definidos en el marco de referencia</v>
      </c>
    </row>
    <row r="217" spans="1:2">
      <c r="A217" s="31" t="str">
        <f ca="1">IFERROR(__xludf.DUMMYFUNCTION("""COMPUTED_VALUE"""),"Oficina de Gestión de la Información")</f>
        <v>Oficina de Gestión de la Información</v>
      </c>
      <c r="B217" s="31" t="str">
        <f ca="1">IFERROR(__xludf.DUMMYFUNCTION("""COMPUTED_VALUE"""),"# reportes generados / # reportes planeados")</f>
        <v># reportes generados / # reportes planeados</v>
      </c>
    </row>
    <row r="218" spans="1:2">
      <c r="A218" s="31" t="str">
        <f ca="1">IFERROR(__xludf.DUMMYFUNCTION("""COMPUTED_VALUE"""),"Oficina de Gestión de la Información")</f>
        <v>Oficina de Gestión de la Información</v>
      </c>
      <c r="B218" s="31" t="str">
        <f ca="1">IFERROR(__xludf.DUMMYFUNCTION("""COMPUTED_VALUE"""),"# capas de información georeferenciadas / # capas planeadas")</f>
        <v># capas de información georeferenciadas / # capas planeadas</v>
      </c>
    </row>
    <row r="219" spans="1:2">
      <c r="A219" s="31" t="str">
        <f ca="1">IFERROR(__xludf.DUMMYFUNCTION("""COMPUTED_VALUE"""),"Oficina de Gestión de la Información")</f>
        <v>Oficina de Gestión de la Información</v>
      </c>
      <c r="B219" s="31" t="str">
        <f ca="1">IFERROR(__xludf.DUMMYFUNCTION("""COMPUTED_VALUE"""),"1 Documento de diseño")</f>
        <v>1 Documento de diseño</v>
      </c>
    </row>
    <row r="220" spans="1:2">
      <c r="A220" s="31" t="str">
        <f ca="1">IFERROR(__xludf.DUMMYFUNCTION("""COMPUTED_VALUE"""),"Oficina de Gestión de la Información")</f>
        <v>Oficina de Gestión de la Información</v>
      </c>
      <c r="B220" s="31" t="str">
        <f ca="1">IFERROR(__xludf.DUMMYFUNCTION("""COMPUTED_VALUE""")," %Avance de desarrollo cuadro de mando")</f>
        <v xml:space="preserve"> %Avance de desarrollo cuadro de mando</v>
      </c>
    </row>
    <row r="221" spans="1:2">
      <c r="A221" s="31" t="str">
        <f ca="1">IFERROR(__xludf.DUMMYFUNCTION("""COMPUTED_VALUE"""),"Oficina de Gestión de la Información")</f>
        <v>Oficina de Gestión de la Información</v>
      </c>
      <c r="B221" s="31" t="str">
        <f ca="1">IFERROR(__xludf.DUMMYFUNCTION("""COMPUTED_VALUE"""),"Indicadores implementados / Indicadores diseñados")</f>
        <v>Indicadores implementados / Indicadores diseñados</v>
      </c>
    </row>
    <row r="222" spans="1:2">
      <c r="A222" s="31" t="str">
        <f ca="1">IFERROR(__xludf.DUMMYFUNCTION("""COMPUTED_VALUE"""),"Oficina de Gestión de la Información")</f>
        <v>Oficina de Gestión de la Información</v>
      </c>
      <c r="B222" s="31" t="str">
        <f ca="1">IFERROR(__xludf.DUMMYFUNCTION("""COMPUTED_VALUE"""),"1 Documento")</f>
        <v>1 Documento</v>
      </c>
    </row>
    <row r="223" spans="1:2">
      <c r="A223" s="31" t="str">
        <f ca="1">IFERROR(__xludf.DUMMYFUNCTION("""COMPUTED_VALUE"""),"Oficina de Gestión de la Información")</f>
        <v>Oficina de Gestión de la Información</v>
      </c>
      <c r="B223" s="31" t="str">
        <f ca="1">IFERROR(__xludf.DUMMYFUNCTION("""COMPUTED_VALUE"""),"1 Documento")</f>
        <v>1 Documento</v>
      </c>
    </row>
    <row r="224" spans="1:2">
      <c r="A224" s="31" t="str">
        <f ca="1">IFERROR(__xludf.DUMMYFUNCTION("""COMPUTED_VALUE"""),"Oficina de Gestión de la Información")</f>
        <v>Oficina de Gestión de la Información</v>
      </c>
      <c r="B224" s="31" t="str">
        <f ca="1">IFERROR(__xludf.DUMMYFUNCTION("""COMPUTED_VALUE"""),"1 Documento")</f>
        <v>1 Documento</v>
      </c>
    </row>
    <row r="225" spans="1:2">
      <c r="A225" s="31" t="str">
        <f ca="1">IFERROR(__xludf.DUMMYFUNCTION("""COMPUTED_VALUE"""),"Oficina de Gestión de la Información")</f>
        <v>Oficina de Gestión de la Información</v>
      </c>
      <c r="B225" s="31" t="str">
        <f ca="1">IFERROR(__xludf.DUMMYFUNCTION("""COMPUTED_VALUE"""),"Requerimiento procesos levantados / Requerimiento procesos identificados")</f>
        <v>Requerimiento procesos levantados / Requerimiento procesos identificados</v>
      </c>
    </row>
    <row r="226" spans="1:2">
      <c r="A226" s="31" t="str">
        <f ca="1">IFERROR(__xludf.DUMMYFUNCTION("""COMPUTED_VALUE"""),"Oficina de Gestión de la Información")</f>
        <v>Oficina de Gestión de la Información</v>
      </c>
      <c r="B226" s="31" t="str">
        <f ca="1">IFERROR(__xludf.DUMMYFUNCTION("""COMPUTED_VALUE"""),"Procesos automatizados / Procesos identificados")</f>
        <v>Procesos automatizados / Procesos identificados</v>
      </c>
    </row>
    <row r="227" spans="1:2">
      <c r="A227" s="31" t="str">
        <f ca="1">IFERROR(__xludf.DUMMYFUNCTION("""COMPUTED_VALUE"""),"Oficina de Gestión de la Información")</f>
        <v>Oficina de Gestión de la Información</v>
      </c>
      <c r="B227" s="31" t="str">
        <f ca="1">IFERROR(__xludf.DUMMYFUNCTION("""COMPUTED_VALUE"""),"1 Documento")</f>
        <v>1 Documento</v>
      </c>
    </row>
    <row r="228" spans="1:2">
      <c r="A228" s="31" t="str">
        <f ca="1">IFERROR(__xludf.DUMMYFUNCTION("""COMPUTED_VALUE"""),"Oficina de Gestión de la Información")</f>
        <v>Oficina de Gestión de la Información</v>
      </c>
      <c r="B228" s="31" t="str">
        <f ca="1">IFERROR(__xludf.DUMMYFUNCTION("""COMPUTED_VALUE"""),"1 Documento")</f>
        <v>1 Documento</v>
      </c>
    </row>
    <row r="229" spans="1:2">
      <c r="A229" s="31" t="str">
        <f ca="1">IFERROR(__xludf.DUMMYFUNCTION("""COMPUTED_VALUE"""),"Oficina de Gestión de la Información")</f>
        <v>Oficina de Gestión de la Información</v>
      </c>
      <c r="B229" s="31" t="str">
        <f ca="1">IFERROR(__xludf.DUMMYFUNCTION("""COMPUTED_VALUE"""),"% Actividades ejecutadas")</f>
        <v>% Actividades ejecutadas</v>
      </c>
    </row>
    <row r="230" spans="1:2">
      <c r="A230" s="31" t="str">
        <f ca="1">IFERROR(__xludf.DUMMYFUNCTION("""COMPUTED_VALUE"""),"Oficina de Gestión de la Información")</f>
        <v>Oficina de Gestión de la Información</v>
      </c>
      <c r="B230" s="31" t="str">
        <f ca="1">IFERROR(__xludf.DUMMYFUNCTION("""COMPUTED_VALUE"""),"% Actividades ejecutadas")</f>
        <v>% Actividades ejecutadas</v>
      </c>
    </row>
    <row r="231" spans="1:2">
      <c r="A231" s="31" t="str">
        <f ca="1">IFERROR(__xludf.DUMMYFUNCTION("""COMPUTED_VALUE"""),"Oficina de Gestión de la Información")</f>
        <v>Oficina de Gestión de la Información</v>
      </c>
      <c r="B231" s="31" t="str">
        <f ca="1">IFERROR(__xludf.DUMMYFUNCTION("""COMPUTED_VALUE"""),"#de procedimientos caracterizados / #de procedimientos identificados ")</f>
        <v xml:space="preserve">#de procedimientos caracterizados / #de procedimientos identificados </v>
      </c>
    </row>
    <row r="232" spans="1:2">
      <c r="A232" s="31" t="str">
        <f ca="1">IFERROR(__xludf.DUMMYFUNCTION("""COMPUTED_VALUE"""),"Oficina de Gestión de la Información")</f>
        <v>Oficina de Gestión de la Información</v>
      </c>
      <c r="B232" s="31" t="str">
        <f ca="1">IFERROR(__xludf.DUMMYFUNCTION("""COMPUTED_VALUE"""),"% implementación de la herramienta")</f>
        <v>% implementación de la herramienta</v>
      </c>
    </row>
    <row r="233" spans="1:2">
      <c r="A233" s="31" t="str">
        <f ca="1">IFERROR(__xludf.DUMMYFUNCTION("""COMPUTED_VALUE"""),"Oficina de Gestión de la Información")</f>
        <v>Oficina de Gestión de la Información</v>
      </c>
      <c r="B233" s="31" t="str">
        <f ca="1">IFERROR(__xludf.DUMMYFUNCTION("""COMPUTED_VALUE"""),"% Avance de la campaña")</f>
        <v>% Avance de la campaña</v>
      </c>
    </row>
    <row r="234" spans="1:2">
      <c r="A234" s="31" t="str">
        <f ca="1">IFERROR(__xludf.DUMMYFUNCTION("""COMPUTED_VALUE"""),"Oficina de Gestión de la Información")</f>
        <v>Oficina de Gestión de la Información</v>
      </c>
      <c r="B234" s="31" t="str">
        <f ca="1">IFERROR(__xludf.DUMMYFUNCTION("""COMPUTED_VALUE"""),"1 Documento")</f>
        <v>1 Documento</v>
      </c>
    </row>
    <row r="235" spans="1:2">
      <c r="A235" s="31" t="str">
        <f ca="1">IFERROR(__xludf.DUMMYFUNCTION("""COMPUTED_VALUE"""),"Oficina de Gestión de la Información")</f>
        <v>Oficina de Gestión de la Información</v>
      </c>
      <c r="B235" s="31" t="str">
        <f ca="1">IFERROR(__xludf.DUMMYFUNCTION("""COMPUTED_VALUE"""),"% Avance de implementación")</f>
        <v>% Avance de implementación</v>
      </c>
    </row>
    <row r="236" spans="1:2">
      <c r="A236" s="31" t="str">
        <f ca="1">IFERROR(__xludf.DUMMYFUNCTION("""COMPUTED_VALUE"""),"Oficina de Gestión de la Información")</f>
        <v>Oficina de Gestión de la Información</v>
      </c>
      <c r="B236" s="31" t="str">
        <f ca="1">IFERROR(__xludf.DUMMYFUNCTION("""COMPUTED_VALUE"""),"Informes generados / Informes planeados")</f>
        <v>Informes generados / Informes planeados</v>
      </c>
    </row>
    <row r="237" spans="1:2">
      <c r="A237" s="31" t="str">
        <f ca="1">IFERROR(__xludf.DUMMYFUNCTION("""COMPUTED_VALUE"""),"Oficina de Gestión de la Información")</f>
        <v>Oficina de Gestión de la Información</v>
      </c>
      <c r="B237" s="31" t="str">
        <f ca="1">IFERROR(__xludf.DUMMYFUNCTION("""COMPUTED_VALUE"""),"1 Documento")</f>
        <v>1 Documento</v>
      </c>
    </row>
    <row r="238" spans="1:2">
      <c r="A238" s="31" t="str">
        <f ca="1">IFERROR(__xludf.DUMMYFUNCTION("""COMPUTED_VALUE"""),"Oficina de Gestión de la Información")</f>
        <v>Oficina de Gestión de la Información</v>
      </c>
      <c r="B238" s="31" t="str">
        <f ca="1">IFERROR(__xludf.DUMMYFUNCTION("""COMPUTED_VALUE"""),"% Avance de implementación")</f>
        <v>% Avance de implementación</v>
      </c>
    </row>
    <row r="239" spans="1:2">
      <c r="A239" s="31" t="str">
        <f ca="1">IFERROR(__xludf.DUMMYFUNCTION("""COMPUTED_VALUE"""),"Oficina de Gestión de la Información")</f>
        <v>Oficina de Gestión de la Información</v>
      </c>
      <c r="B239" s="31" t="str">
        <f ca="1">IFERROR(__xludf.DUMMYFUNCTION("""COMPUTED_VALUE"""),"1 Documento")</f>
        <v>1 Documento</v>
      </c>
    </row>
    <row r="240" spans="1:2">
      <c r="A240" s="31" t="str">
        <f ca="1">IFERROR(__xludf.DUMMYFUNCTION("""COMPUTED_VALUE"""),"Oficina de Gestión de la Información")</f>
        <v>Oficina de Gestión de la Información</v>
      </c>
      <c r="B240" s="31" t="str">
        <f ca="1">IFERROR(__xludf.DUMMYFUNCTION("""COMPUTED_VALUE"""),"% Avance de implementación")</f>
        <v>% Avance de implementación</v>
      </c>
    </row>
    <row r="241" spans="1:2">
      <c r="A241" s="31" t="str">
        <f ca="1">IFERROR(__xludf.DUMMYFUNCTION("""COMPUTED_VALUE"""),"Oficina de Gestión de la Información")</f>
        <v>Oficina de Gestión de la Información</v>
      </c>
      <c r="B241" s="31" t="str">
        <f ca="1">IFERROR(__xludf.DUMMYFUNCTION("""COMPUTED_VALUE"""),"1 Documento")</f>
        <v>1 Documento</v>
      </c>
    </row>
    <row r="242" spans="1:2">
      <c r="A242" s="31" t="str">
        <f ca="1">IFERROR(__xludf.DUMMYFUNCTION("""COMPUTED_VALUE"""),"Oficina de Gestión de la Información")</f>
        <v>Oficina de Gestión de la Información</v>
      </c>
      <c r="B242" s="31" t="str">
        <f ca="1">IFERROR(__xludf.DUMMYFUNCTION("""COMPUTED_VALUE"""),"% Avance de implementación")</f>
        <v>% Avance de implementación</v>
      </c>
    </row>
    <row r="243" spans="1:2">
      <c r="A243" s="31" t="str">
        <f ca="1">IFERROR(__xludf.DUMMYFUNCTION("""COMPUTED_VALUE"""),"Secretaría General - GIT Gestión Administrativa")</f>
        <v>Secretaría General - GIT Gestión Administrativa</v>
      </c>
      <c r="B243" s="31" t="str">
        <f ca="1">IFERROR(__xludf.DUMMYFUNCTION("""COMPUTED_VALUE"""),"#documentos/#documentos revisados")</f>
        <v>#documentos/#documentos revisados</v>
      </c>
    </row>
    <row r="244" spans="1:2">
      <c r="A244" s="31" t="str">
        <f ca="1">IFERROR(__xludf.DUMMYFUNCTION("""COMPUTED_VALUE"""),"Secretaría General - GIT Gestión Administrativa")</f>
        <v>Secretaría General - GIT Gestión Administrativa</v>
      </c>
      <c r="B244" s="31" t="str">
        <f ca="1">IFERROR(__xludf.DUMMYFUNCTION("""COMPUTED_VALUE"""),"#documentos entregados/#documentos revisados")</f>
        <v>#documentos entregados/#documentos revisados</v>
      </c>
    </row>
    <row r="245" spans="1:2">
      <c r="A245" s="31" t="str">
        <f ca="1">IFERROR(__xludf.DUMMYFUNCTION("""COMPUTED_VALUE"""),"Secretaría General - GIT Gestión Administrativa")</f>
        <v>Secretaría General - GIT Gestión Administrativa</v>
      </c>
      <c r="B245" s="31" t="str">
        <f ca="1">IFERROR(__xludf.DUMMYFUNCTION("""COMPUTED_VALUE"""),"#compromisos concertados para la evaluación/#evaluación realizada")</f>
        <v>#compromisos concertados para la evaluación/#evaluación realizada</v>
      </c>
    </row>
    <row r="246" spans="1:2">
      <c r="A246" s="31" t="str">
        <f ca="1">IFERROR(__xludf.DUMMYFUNCTION("""COMPUTED_VALUE"""),"Secretaría General - GIT Gestión Administrativa")</f>
        <v>Secretaría General - GIT Gestión Administrativa</v>
      </c>
      <c r="B246" s="31" t="str">
        <f ca="1">IFERROR(__xludf.DUMMYFUNCTION("""COMPUTED_VALUE"""),"Documento aprobado")</f>
        <v>Documento aprobado</v>
      </c>
    </row>
    <row r="247" spans="1:2">
      <c r="A247" s="31" t="str">
        <f ca="1">IFERROR(__xludf.DUMMYFUNCTION("""COMPUTED_VALUE"""),"Secretaría General - GIT Gestión Administrativa")</f>
        <v>Secretaría General - GIT Gestión Administrativa</v>
      </c>
      <c r="B247" s="31" t="str">
        <f ca="1">IFERROR(__xludf.DUMMYFUNCTION("""COMPUTED_VALUE"""),"# instrumentos archivisticos aprobados e implementados/Flujo documental ajustado e implementado")</f>
        <v># instrumentos archivisticos aprobados e implementados/Flujo documental ajustado e implementado</v>
      </c>
    </row>
    <row r="248" spans="1:2">
      <c r="A248" s="31" t="str">
        <f ca="1">IFERROR(__xludf.DUMMYFUNCTION("""COMPUTED_VALUE"""),"Secretaría General - GIT Gestión Administrativa")</f>
        <v>Secretaría General - GIT Gestión Administrativa</v>
      </c>
      <c r="B248" s="31" t="str">
        <f ca="1">IFERROR(__xludf.DUMMYFUNCTION("""COMPUTED_VALUE"""),"# Ajustes a la herramienta orfeo")</f>
        <v># Ajustes a la herramienta orfeo</v>
      </c>
    </row>
    <row r="249" spans="1:2">
      <c r="A249" s="31" t="str">
        <f ca="1">IFERROR(__xludf.DUMMYFUNCTION("""COMPUTED_VALUE"""),"Secretaría General - GIT Gestión Administrativa")</f>
        <v>Secretaría General - GIT Gestión Administrativa</v>
      </c>
      <c r="B249" s="31" t="str">
        <f ca="1">IFERROR(__xludf.DUMMYFUNCTION("""COMPUTED_VALUE"""),"Reporte de compras e inventarios actualizado")</f>
        <v>Reporte de compras e inventarios actualizado</v>
      </c>
    </row>
    <row r="250" spans="1:2">
      <c r="A250" s="31" t="str">
        <f ca="1">IFERROR(__xludf.DUMMYFUNCTION("""COMPUTED_VALUE"""),"Secretaría General - GIT Gestión Administrativa")</f>
        <v>Secretaría General - GIT Gestión Administrativa</v>
      </c>
      <c r="B250" s="31" t="str">
        <f ca="1">IFERROR(__xludf.DUMMYFUNCTION("""COMPUTED_VALUE"""),"# de informes de seguimiento")</f>
        <v># de informes de seguimiento</v>
      </c>
    </row>
    <row r="251" spans="1:2">
      <c r="A251" s="31" t="str">
        <f ca="1">IFERROR(__xludf.DUMMYFUNCTION("""COMPUTED_VALUE"""),"Subdirección de Hidrocarburos")</f>
        <v>Subdirección de Hidrocarburos</v>
      </c>
      <c r="B251" s="31" t="str">
        <f ca="1">IFERROR(__xludf.DUMMYFUNCTION("""COMPUTED_VALUE"""),"% de avance =
 (Actividades realizadas / Actividades planeadas)")</f>
        <v>% de avance =
 (Actividades realizadas / Actividades planeadas)</v>
      </c>
    </row>
    <row r="252" spans="1:2">
      <c r="A252" s="31" t="str">
        <f ca="1">IFERROR(__xludf.DUMMYFUNCTION("""COMPUTED_VALUE"""),"Subdirección de Hidrocarburos")</f>
        <v>Subdirección de Hidrocarburos</v>
      </c>
      <c r="B252" s="31" t="str">
        <f ca="1">IFERROR(__xludf.DUMMYFUNCTION("""COMPUTED_VALUE"""),"% de avance =
 (Actividades realizadas / Actividades planeadas)")</f>
        <v>% de avance =
 (Actividades realizadas / Actividades planeadas)</v>
      </c>
    </row>
    <row r="253" spans="1:2">
      <c r="A253" s="31" t="str">
        <f ca="1">IFERROR(__xludf.DUMMYFUNCTION("""COMPUTED_VALUE"""),"Subdirección de Hidrocarburos")</f>
        <v>Subdirección de Hidrocarburos</v>
      </c>
      <c r="B253" s="31" t="str">
        <f ca="1">IFERROR(__xludf.DUMMYFUNCTION("""COMPUTED_VALUE"""),"% de avance =
 (Actividades realizadas / Actividades planeadas)")</f>
        <v>% de avance =
 (Actividades realizadas / Actividades planeadas)</v>
      </c>
    </row>
    <row r="254" spans="1:2">
      <c r="A254" s="31" t="str">
        <f ca="1">IFERROR(__xludf.DUMMYFUNCTION("""COMPUTED_VALUE"""),"Subdirección de Hidrocarburos")</f>
        <v>Subdirección de Hidrocarburos</v>
      </c>
      <c r="B254" s="31" t="str">
        <f ca="1">IFERROR(__xludf.DUMMYFUNCTION("""COMPUTED_VALUE"""),"% de avance =
 (Actividades realizadas / Actividades planeadas)")</f>
        <v>% de avance =
 (Actividades realizadas / Actividades planeadas)</v>
      </c>
    </row>
    <row r="255" spans="1:2">
      <c r="A255" s="31" t="str">
        <f ca="1">IFERROR(__xludf.DUMMYFUNCTION("""COMPUTED_VALUE"""),"Subdirección de Hidrocarburos")</f>
        <v>Subdirección de Hidrocarburos</v>
      </c>
      <c r="B255" s="31" t="str">
        <f ca="1">IFERROR(__xludf.DUMMYFUNCTION("""COMPUTED_VALUE"""),"% de avance =
 (Actividades realizadas / Actividades planeadas)")</f>
        <v>% de avance =
 (Actividades realizadas / Actividades planeadas)</v>
      </c>
    </row>
    <row r="256" spans="1:2">
      <c r="A256" s="31" t="str">
        <f ca="1">IFERROR(__xludf.DUMMYFUNCTION("""COMPUTED_VALUE"""),"Subdirección de Hidrocarburos")</f>
        <v>Subdirección de Hidrocarburos</v>
      </c>
      <c r="B256" s="31" t="str">
        <f ca="1">IFERROR(__xludf.DUMMYFUNCTION("""COMPUTED_VALUE"""),"% de avance =
 (Actividades realizadas / Actividades planeadas)")</f>
        <v>% de avance =
 (Actividades realizadas / Actividades planeadas)</v>
      </c>
    </row>
    <row r="257" spans="1:2">
      <c r="A257" s="31" t="str">
        <f ca="1">IFERROR(__xludf.DUMMYFUNCTION("""COMPUTED_VALUE"""),"Subdirección de Hidrocarburos")</f>
        <v>Subdirección de Hidrocarburos</v>
      </c>
      <c r="B257" s="31" t="str">
        <f ca="1">IFERROR(__xludf.DUMMYFUNCTION("""COMPUTED_VALUE"""),"% de avance =
 (Actividades realizadas / Actividades planeadas)")</f>
        <v>% de avance =
 (Actividades realizadas / Actividades planeadas)</v>
      </c>
    </row>
    <row r="258" spans="1:2">
      <c r="A258" s="31" t="str">
        <f ca="1">IFERROR(__xludf.DUMMYFUNCTION("""COMPUTED_VALUE"""),"Subdirección de Hidrocarburos")</f>
        <v>Subdirección de Hidrocarburos</v>
      </c>
      <c r="B258" s="31" t="str">
        <f ca="1">IFERROR(__xludf.DUMMYFUNCTION("""COMPUTED_VALUE"""),"% de avance =
 (Actividades realizadas / Actividades planeadas)")</f>
        <v>% de avance =
 (Actividades realizadas / Actividades planeadas)</v>
      </c>
    </row>
    <row r="259" spans="1:2">
      <c r="A259" s="31" t="str">
        <f ca="1">IFERROR(__xludf.DUMMYFUNCTION("""COMPUTED_VALUE"""),"Subdirección de Hidrocarburos")</f>
        <v>Subdirección de Hidrocarburos</v>
      </c>
      <c r="B259" s="31" t="str">
        <f ca="1">IFERROR(__xludf.DUMMYFUNCTION("""COMPUTED_VALUE"""),"% de avance =
 (Actividades realizadas / Actividades planeadas)")</f>
        <v>% de avance =
 (Actividades realizadas / Actividades planeadas)</v>
      </c>
    </row>
    <row r="260" spans="1:2">
      <c r="A260" s="31" t="str">
        <f ca="1">IFERROR(__xludf.DUMMYFUNCTION("""COMPUTED_VALUE"""),"Subdirección de Hidrocarburos")</f>
        <v>Subdirección de Hidrocarburos</v>
      </c>
      <c r="B260" s="31" t="str">
        <f ca="1">IFERROR(__xludf.DUMMYFUNCTION("""COMPUTED_VALUE"""),"% de avance =
 (Actividades realizadas / Actividades planeadas)")</f>
        <v>% de avance =
 (Actividades realizadas / Actividades planeadas)</v>
      </c>
    </row>
    <row r="261" spans="1:2">
      <c r="A261" s="31" t="str">
        <f ca="1">IFERROR(__xludf.DUMMYFUNCTION("""COMPUTED_VALUE"""),"Subdirección de Hidrocarburos")</f>
        <v>Subdirección de Hidrocarburos</v>
      </c>
      <c r="B261" s="31" t="str">
        <f ca="1">IFERROR(__xludf.DUMMYFUNCTION("""COMPUTED_VALUE"""),"% de avance =
 (Actividades realizadas / Actividades planeadas)")</f>
        <v>% de avance =
 (Actividades realizadas / Actividades planeadas)</v>
      </c>
    </row>
    <row r="262" spans="1:2">
      <c r="A262" s="31" t="str">
        <f ca="1">IFERROR(__xludf.DUMMYFUNCTION("""COMPUTED_VALUE"""),"Subdirección de Hidrocarburos")</f>
        <v>Subdirección de Hidrocarburos</v>
      </c>
      <c r="B262" s="31" t="str">
        <f ca="1">IFERROR(__xludf.DUMMYFUNCTION("""COMPUTED_VALUE"""),"% de avance =
 (Actividades realizadas / Actividades planeadas)")</f>
        <v>% de avance =
 (Actividades realizadas / Actividades planeadas)</v>
      </c>
    </row>
    <row r="263" spans="1:2">
      <c r="A263" s="31" t="str">
        <f ca="1">IFERROR(__xludf.DUMMYFUNCTION("""COMPUTED_VALUE"""),"Subdirección de Hidrocarburos")</f>
        <v>Subdirección de Hidrocarburos</v>
      </c>
      <c r="B263" s="31" t="str">
        <f ca="1">IFERROR(__xludf.DUMMYFUNCTION("""COMPUTED_VALUE"""),"% de avance =
 (Actividades realizadas / Actividades planeadas)")</f>
        <v>% de avance =
 (Actividades realizadas / Actividades planeadas)</v>
      </c>
    </row>
    <row r="264" spans="1:2">
      <c r="A264" s="31" t="str">
        <f ca="1">IFERROR(__xludf.DUMMYFUNCTION("""COMPUTED_VALUE"""),"Subdirección de Hidrocarburos")</f>
        <v>Subdirección de Hidrocarburos</v>
      </c>
      <c r="B264" s="31" t="str">
        <f ca="1">IFERROR(__xludf.DUMMYFUNCTION("""COMPUTED_VALUE"""),"% de avance =
 (Actividades realizadas / Actividades planeadas)")</f>
        <v>% de avance =
 (Actividades realizadas / Actividades planeadas)</v>
      </c>
    </row>
    <row r="265" spans="1:2">
      <c r="A265" s="31" t="str">
        <f ca="1">IFERROR(__xludf.DUMMYFUNCTION("""COMPUTED_VALUE"""),"Subdirección de Hidrocarburos")</f>
        <v>Subdirección de Hidrocarburos</v>
      </c>
      <c r="B265" s="31" t="str">
        <f ca="1">IFERROR(__xludf.DUMMYFUNCTION("""COMPUTED_VALUE"""),"% de avance =
 (Actividades realizadas / Actividades planeadas)")</f>
        <v>% de avance =
 (Actividades realizadas / Actividades planeadas)</v>
      </c>
    </row>
    <row r="266" spans="1:2">
      <c r="A266" s="31" t="str">
        <f ca="1">IFERROR(__xludf.DUMMYFUNCTION("""COMPUTED_VALUE"""),"Subdirección de Hidrocarburos")</f>
        <v>Subdirección de Hidrocarburos</v>
      </c>
      <c r="B266" s="31" t="str">
        <f ca="1">IFERROR(__xludf.DUMMYFUNCTION("""COMPUTED_VALUE"""),"% de avance =
 (Actividades realizadas / Actividades planeadas)")</f>
        <v>% de avance =
 (Actividades realizadas / Actividades planeadas)</v>
      </c>
    </row>
    <row r="267" spans="1:2">
      <c r="A267" s="31" t="str">
        <f ca="1">IFERROR(__xludf.DUMMYFUNCTION("""COMPUTED_VALUE"""),"Subdirección de Hidrocarburos")</f>
        <v>Subdirección de Hidrocarburos</v>
      </c>
      <c r="B267" s="31" t="str">
        <f ca="1">IFERROR(__xludf.DUMMYFUNCTION("""COMPUTED_VALUE"""),"% de avance =
 (Actividades realizadas / Actividades planeadas)")</f>
        <v>% de avance =
 (Actividades realizadas / Actividades planeadas)</v>
      </c>
    </row>
    <row r="268" spans="1:2">
      <c r="A268" s="31" t="str">
        <f ca="1">IFERROR(__xludf.DUMMYFUNCTION("""COMPUTED_VALUE"""),"Subdirección de Hidrocarburos")</f>
        <v>Subdirección de Hidrocarburos</v>
      </c>
      <c r="B268" s="31" t="str">
        <f ca="1">IFERROR(__xludf.DUMMYFUNCTION("""COMPUTED_VALUE"""),"% de avance =
 (Actividades realizadas / Actividades planeadas)")</f>
        <v>% de avance =
 (Actividades realizadas / Actividades planeadas)</v>
      </c>
    </row>
    <row r="269" spans="1:2">
      <c r="A269" s="31" t="str">
        <f ca="1">IFERROR(__xludf.DUMMYFUNCTION("""COMPUTED_VALUE"""),"Subdirección de Hidrocarburos")</f>
        <v>Subdirección de Hidrocarburos</v>
      </c>
      <c r="B269" s="31" t="str">
        <f ca="1">IFERROR(__xludf.DUMMYFUNCTION("""COMPUTED_VALUE"""),"% de avance =
 (Actividades realizadas / Actividades planeadas)")</f>
        <v>% de avance =
 (Actividades realizadas / Actividades planeadas)</v>
      </c>
    </row>
    <row r="270" spans="1:2">
      <c r="A270" s="31" t="str">
        <f ca="1">IFERROR(__xludf.DUMMYFUNCTION("""COMPUTED_VALUE"""),"Subdirección de Hidrocarburos")</f>
        <v>Subdirección de Hidrocarburos</v>
      </c>
      <c r="B270" s="31" t="str">
        <f ca="1">IFERROR(__xludf.DUMMYFUNCTION("""COMPUTED_VALUE"""),"% de avance =
 (Actividades realizadas / Actividades planeadas)")</f>
        <v>% de avance =
 (Actividades realizadas / Actividades planeadas)</v>
      </c>
    </row>
    <row r="271" spans="1:2">
      <c r="A271" s="31" t="str">
        <f ca="1">IFERROR(__xludf.DUMMYFUNCTION("""COMPUTED_VALUE"""),"Subdirección de Hidrocarburos")</f>
        <v>Subdirección de Hidrocarburos</v>
      </c>
      <c r="B271" s="31" t="str">
        <f ca="1">IFERROR(__xludf.DUMMYFUNCTION("""COMPUTED_VALUE"""),"% de avance =
 (Actividades realizadas / Actividades planeadas)")</f>
        <v>% de avance =
 (Actividades realizadas / Actividades planeadas)</v>
      </c>
    </row>
    <row r="272" spans="1:2">
      <c r="A272" s="31" t="str">
        <f ca="1">IFERROR(__xludf.DUMMYFUNCTION("""COMPUTED_VALUE"""),"Subdirección de Hidrocarburos")</f>
        <v>Subdirección de Hidrocarburos</v>
      </c>
      <c r="B272" s="31" t="str">
        <f ca="1">IFERROR(__xludf.DUMMYFUNCTION("""COMPUTED_VALUE"""),"% de avance =
 (Actividades realizadas / Actividades planeadas)")</f>
        <v>% de avance =
 (Actividades realizadas / Actividades planeadas)</v>
      </c>
    </row>
    <row r="273" spans="1:2">
      <c r="A273" s="31" t="str">
        <f ca="1">IFERROR(__xludf.DUMMYFUNCTION("""COMPUTED_VALUE"""),"Subdirección de Hidrocarburos")</f>
        <v>Subdirección de Hidrocarburos</v>
      </c>
      <c r="B273" s="31" t="str">
        <f ca="1">IFERROR(__xludf.DUMMYFUNCTION("""COMPUTED_VALUE"""),"% de avance =
 (Actividades realizadas / Actividades planeadas)")</f>
        <v>% de avance =
 (Actividades realizadas / Actividades planeadas)</v>
      </c>
    </row>
    <row r="274" spans="1:2">
      <c r="A274" s="31" t="str">
        <f ca="1">IFERROR(__xludf.DUMMYFUNCTION("""COMPUTED_VALUE"""),"Subdirección de Hidrocarburos")</f>
        <v>Subdirección de Hidrocarburos</v>
      </c>
      <c r="B274" s="31" t="str">
        <f ca="1">IFERROR(__xludf.DUMMYFUNCTION("""COMPUTED_VALUE"""),"% de avance =
 (Actividades realizadas / Actividades planeadas)")</f>
        <v>% de avance =
 (Actividades realizadas / Actividades planeadas)</v>
      </c>
    </row>
    <row r="275" spans="1:2">
      <c r="A275" s="31" t="str">
        <f ca="1">IFERROR(__xludf.DUMMYFUNCTION("""COMPUTED_VALUE"""),"Subdirección de Hidrocarburos")</f>
        <v>Subdirección de Hidrocarburos</v>
      </c>
      <c r="B275" s="31" t="str">
        <f ca="1">IFERROR(__xludf.DUMMYFUNCTION("""COMPUTED_VALUE"""),"% de avance =
 (Actividades realizadas / Actividades planeadas)")</f>
        <v>% de avance =
 (Actividades realizadas / Actividades planeadas)</v>
      </c>
    </row>
    <row r="276" spans="1:2">
      <c r="A276" s="31" t="str">
        <f ca="1">IFERROR(__xludf.DUMMYFUNCTION("""COMPUTED_VALUE"""),"Subdirección de Hidrocarburos")</f>
        <v>Subdirección de Hidrocarburos</v>
      </c>
      <c r="B276" s="31" t="str">
        <f ca="1">IFERROR(__xludf.DUMMYFUNCTION("""COMPUTED_VALUE"""),"% de avance =
 (Actividades realizadas / Actividades planeadas)")</f>
        <v>% de avance =
 (Actividades realizadas / Actividades planeadas)</v>
      </c>
    </row>
    <row r="277" spans="1:2">
      <c r="A277" s="31" t="str">
        <f ca="1">IFERROR(__xludf.DUMMYFUNCTION("""COMPUTED_VALUE"""),"Subdirección de Hidrocarburos")</f>
        <v>Subdirección de Hidrocarburos</v>
      </c>
      <c r="B277" s="31" t="str">
        <f ca="1">IFERROR(__xludf.DUMMYFUNCTION("""COMPUTED_VALUE"""),"% de avance =
 (Actividades realizadas / Actividades planeadas)")</f>
        <v>% de avance =
 (Actividades realizadas / Actividades planeadas)</v>
      </c>
    </row>
    <row r="278" spans="1:2">
      <c r="A278" s="31" t="str">
        <f ca="1">IFERROR(__xludf.DUMMYFUNCTION("""COMPUTED_VALUE"""),"Subdirección de Hidrocarburos")</f>
        <v>Subdirección de Hidrocarburos</v>
      </c>
      <c r="B278" s="31" t="str">
        <f ca="1">IFERROR(__xludf.DUMMYFUNCTION("""COMPUTED_VALUE"""),"% de avance =
 (Actividades realizadas / Actividades planeadas)")</f>
        <v>% de avance =
 (Actividades realizadas / Actividades planeadas)</v>
      </c>
    </row>
    <row r="279" spans="1:2">
      <c r="A279" s="31" t="str">
        <f ca="1">IFERROR(__xludf.DUMMYFUNCTION("""COMPUTED_VALUE"""),"Subdirección de Hidrocarburos")</f>
        <v>Subdirección de Hidrocarburos</v>
      </c>
      <c r="B279" s="31" t="str">
        <f ca="1">IFERROR(__xludf.DUMMYFUNCTION("""COMPUTED_VALUE"""),"% de avance =
 (Actividades realizadas / Actividades planeadas)")</f>
        <v>% de avance =
 (Actividades realizadas / Actividades planeadas)</v>
      </c>
    </row>
    <row r="280" spans="1:2">
      <c r="A280" s="31" t="str">
        <f ca="1">IFERROR(__xludf.DUMMYFUNCTION("""COMPUTED_VALUE"""),"Subdirección de Hidrocarburos")</f>
        <v>Subdirección de Hidrocarburos</v>
      </c>
      <c r="B280" s="31" t="str">
        <f ca="1">IFERROR(__xludf.DUMMYFUNCTION("""COMPUTED_VALUE"""),"% de avance =
 (Actividades realizadas / Actividades planeadas)")</f>
        <v>% de avance =
 (Actividades realizadas / Actividades planeadas)</v>
      </c>
    </row>
    <row r="281" spans="1:2">
      <c r="A281" s="31" t="str">
        <f ca="1">IFERROR(__xludf.DUMMYFUNCTION("""COMPUTED_VALUE"""),"Subdirección de Hidrocarburos")</f>
        <v>Subdirección de Hidrocarburos</v>
      </c>
      <c r="B281" s="31" t="str">
        <f ca="1">IFERROR(__xludf.DUMMYFUNCTION("""COMPUTED_VALUE"""),"% de avance =
 (Actividades realizadas / Actividades planeadas)")</f>
        <v>% de avance =
 (Actividades realizadas / Actividades planeadas)</v>
      </c>
    </row>
    <row r="282" spans="1:2">
      <c r="A282" s="31" t="str">
        <f ca="1">IFERROR(__xludf.DUMMYFUNCTION("""COMPUTED_VALUE"""),"Subdirección de Hidrocarburos")</f>
        <v>Subdirección de Hidrocarburos</v>
      </c>
      <c r="B282" s="31" t="str">
        <f ca="1">IFERROR(__xludf.DUMMYFUNCTION("""COMPUTED_VALUE"""),"% de avance =
 (Actividades realizadas / Actividades planeadas)")</f>
        <v>% de avance =
 (Actividades realizadas / Actividades planeadas)</v>
      </c>
    </row>
    <row r="283" spans="1:2">
      <c r="A283" s="31" t="str">
        <f ca="1">IFERROR(__xludf.DUMMYFUNCTION("""COMPUTED_VALUE"""),"Subdirección de Hidrocarburos")</f>
        <v>Subdirección de Hidrocarburos</v>
      </c>
      <c r="B283" s="31" t="str">
        <f ca="1">IFERROR(__xludf.DUMMYFUNCTION("""COMPUTED_VALUE"""),"% de avance =
 (Actividades realizadas / Actividades planeadas)")</f>
        <v>% de avance =
 (Actividades realizadas / Actividades planeadas)</v>
      </c>
    </row>
    <row r="284" spans="1:2">
      <c r="A284" s="31" t="str">
        <f ca="1">IFERROR(__xludf.DUMMYFUNCTION("""COMPUTED_VALUE"""),"Subdirección de Hidrocarburos")</f>
        <v>Subdirección de Hidrocarburos</v>
      </c>
      <c r="B284" s="31" t="str">
        <f ca="1">IFERROR(__xludf.DUMMYFUNCTION("""COMPUTED_VALUE"""),"% de avance =
 (Actividades realizadas / Actividades planeadas)")</f>
        <v>% de avance =
 (Actividades realizadas / Actividades planeadas)</v>
      </c>
    </row>
    <row r="285" spans="1:2">
      <c r="A285" s="31" t="str">
        <f ca="1">IFERROR(__xludf.DUMMYFUNCTION("""COMPUTED_VALUE"""),"Subdirección de Hidrocarburos")</f>
        <v>Subdirección de Hidrocarburos</v>
      </c>
      <c r="B285" s="31" t="str">
        <f ca="1">IFERROR(__xludf.DUMMYFUNCTION("""COMPUTED_VALUE"""),"% de avance =
 (Actividades realizadas / Actividades planeadas)")</f>
        <v>% de avance =
 (Actividades realizadas / Actividades planeadas)</v>
      </c>
    </row>
    <row r="286" spans="1:2">
      <c r="A286" s="31" t="str">
        <f ca="1">IFERROR(__xludf.DUMMYFUNCTION("""COMPUTED_VALUE"""),"Subdirección de Hidrocarburos")</f>
        <v>Subdirección de Hidrocarburos</v>
      </c>
      <c r="B286" s="31" t="str">
        <f ca="1">IFERROR(__xludf.DUMMYFUNCTION("""COMPUTED_VALUE"""),"% de avance =
 (Actividades realizadas / Actividades planeadas)")</f>
        <v>% de avance =
 (Actividades realizadas / Actividades planeadas)</v>
      </c>
    </row>
    <row r="287" spans="1:2">
      <c r="A287" s="31" t="str">
        <f ca="1">IFERROR(__xludf.DUMMYFUNCTION("""COMPUTED_VALUE"""),"Subdirección de Hidrocarburos")</f>
        <v>Subdirección de Hidrocarburos</v>
      </c>
      <c r="B287" s="31" t="str">
        <f ca="1">IFERROR(__xludf.DUMMYFUNCTION("""COMPUTED_VALUE"""),"% de avance =
 (Actividades realizadas / Actividades planeadas)")</f>
        <v>% de avance =
 (Actividades realizadas / Actividades planeadas)</v>
      </c>
    </row>
    <row r="288" spans="1:2">
      <c r="A288" s="31" t="str">
        <f ca="1">IFERROR(__xludf.DUMMYFUNCTION("""COMPUTED_VALUE"""),"Subdirección de Energía Eléctrica - GIT Convocatorias públicas")</f>
        <v>Subdirección de Energía Eléctrica - GIT Convocatorias públicas</v>
      </c>
      <c r="B288" s="31" t="str">
        <f ca="1">IFERROR(__xludf.DUMMYFUNCTION("""COMPUTED_VALUE"""),"# de solicitudes realizadas / # de solicitudes programadas")</f>
        <v># de solicitudes realizadas / # de solicitudes programadas</v>
      </c>
    </row>
    <row r="289" spans="1:2">
      <c r="A289" s="31" t="str">
        <f ca="1">IFERROR(__xludf.DUMMYFUNCTION("""COMPUTED_VALUE"""),"Subdirección de Energía Eléctrica - GIT Convocatorias públicas")</f>
        <v>Subdirección de Energía Eléctrica - GIT Convocatorias públicas</v>
      </c>
      <c r="B289" s="31" t="str">
        <f ca="1">IFERROR(__xludf.DUMMYFUNCTION("""COMPUTED_VALUE"""),"% de avance de la elaboracion del informe para transmisión en fase de planeacion")</f>
        <v>% de avance de la elaboracion del informe para transmisión en fase de planeacion</v>
      </c>
    </row>
    <row r="290" spans="1:2">
      <c r="A290" s="31" t="str">
        <f ca="1">IFERROR(__xludf.DUMMYFUNCTION("""COMPUTED_VALUE"""),"Subdirección de Energía Eléctrica - GIT Convocatorias públicas")</f>
        <v>Subdirección de Energía Eléctrica - GIT Convocatorias públicas</v>
      </c>
      <c r="B290" s="31" t="str">
        <f ca="1">IFERROR(__xludf.DUMMYFUNCTION("""COMPUTED_VALUE"""),"% de avance de la elaboracion del documento de alertas tempranas en fase de planeacion")</f>
        <v>% de avance de la elaboracion del documento de alertas tempranas en fase de planeacion</v>
      </c>
    </row>
    <row r="291" spans="1:2">
      <c r="A291" s="31" t="str">
        <f ca="1">IFERROR(__xludf.DUMMYFUNCTION("""COMPUTED_VALUE"""),"Subdirección de Energía Eléctrica - GIT Convocatorias públicas")</f>
        <v>Subdirección de Energía Eléctrica - GIT Convocatorias públicas</v>
      </c>
      <c r="B291" s="31" t="str">
        <f ca="1">IFERROR(__xludf.DUMMYFUNCTION("""COMPUTED_VALUE"""),"# de documentos realizados / # de documentos programados")</f>
        <v># de documentos realizados / # de documentos programados</v>
      </c>
    </row>
    <row r="292" spans="1:2">
      <c r="A292" s="31" t="str">
        <f ca="1">IFERROR(__xludf.DUMMYFUNCTION("""COMPUTED_VALUE"""),"Subdirección de Energía Eléctrica - GIT Convocatorias públicas")</f>
        <v>Subdirección de Energía Eléctrica - GIT Convocatorias públicas</v>
      </c>
      <c r="B292" s="31" t="str">
        <f ca="1">IFERROR(__xludf.DUMMYFUNCTION("""COMPUTED_VALUE"""),"# de documentos realizados / # de documentos programados")</f>
        <v># de documentos realizados / # de documentos programados</v>
      </c>
    </row>
    <row r="293" spans="1:2">
      <c r="A293" s="31" t="str">
        <f ca="1">IFERROR(__xludf.DUMMYFUNCTION("""COMPUTED_VALUE"""),"Subdirección de Energía Eléctrica - GIT Convocatorias públicas")</f>
        <v>Subdirección de Energía Eléctrica - GIT Convocatorias públicas</v>
      </c>
      <c r="B293" s="31" t="str">
        <f ca="1">IFERROR(__xludf.DUMMYFUNCTION("""COMPUTED_VALUE"""),"# de documentos realizados / # de documentos programados")</f>
        <v># de documentos realizados / # de documentos programados</v>
      </c>
    </row>
    <row r="294" spans="1:2">
      <c r="A294" s="31" t="str">
        <f ca="1">IFERROR(__xludf.DUMMYFUNCTION("""COMPUTED_VALUE"""),"Subdirección de Energía Eléctrica - GIT Convocatorias públicas")</f>
        <v>Subdirección de Energía Eléctrica - GIT Convocatorias públicas</v>
      </c>
      <c r="B294" s="31" t="str">
        <f ca="1">IFERROR(__xludf.DUMMYFUNCTION("""COMPUTED_VALUE"""),"Ejecución de la actualización del geovisor")</f>
        <v>Ejecución de la actualización del geovisor</v>
      </c>
    </row>
    <row r="295" spans="1:2">
      <c r="A295" s="31" t="str">
        <f ca="1">IFERROR(__xludf.DUMMYFUNCTION("""COMPUTED_VALUE"""),"Subdirección de Energía Eléctrica - GIT Convocatorias públicas")</f>
        <v>Subdirección de Energía Eléctrica - GIT Convocatorias públicas</v>
      </c>
      <c r="B295" s="31" t="str">
        <f ca="1">IFERROR(__xludf.DUMMYFUNCTION("""COMPUTED_VALUE"""),"Ejecución de la actualización del geovisor")</f>
        <v>Ejecución de la actualización del geovisor</v>
      </c>
    </row>
    <row r="296" spans="1:2">
      <c r="A296" s="31" t="str">
        <f ca="1">IFERROR(__xludf.DUMMYFUNCTION("""COMPUTED_VALUE"""),"Subdirección de Energía Eléctrica - GIT Convocatorias públicas")</f>
        <v>Subdirección de Energía Eléctrica - GIT Convocatorias públicas</v>
      </c>
      <c r="B296" s="31" t="str">
        <f ca="1">IFERROR(__xludf.DUMMYFUNCTION("""COMPUTED_VALUE"""),"Ejecución de la actualización del geovisor")</f>
        <v>Ejecución de la actualización del geovisor</v>
      </c>
    </row>
    <row r="297" spans="1:2">
      <c r="A297" s="31" t="str">
        <f ca="1">IFERROR(__xludf.DUMMYFUNCTION("""COMPUTED_VALUE"""),"Subdirección de Energía Eléctrica - GIT Convocatorias públicas")</f>
        <v>Subdirección de Energía Eléctrica - GIT Convocatorias públicas</v>
      </c>
      <c r="B297" s="31" t="str">
        <f ca="1">IFERROR(__xludf.DUMMYFUNCTION("""COMPUTED_VALUE"""),"Ejecución de la actualización del geovisor")</f>
        <v>Ejecución de la actualización del geovisor</v>
      </c>
    </row>
    <row r="298" spans="1:2">
      <c r="A298" s="31" t="str">
        <f ca="1">IFERROR(__xludf.DUMMYFUNCTION("""COMPUTED_VALUE"""),"Subdirección de Energía Eléctrica - GIT Convocatorias públicas")</f>
        <v>Subdirección de Energía Eléctrica - GIT Convocatorias públicas</v>
      </c>
      <c r="B298" s="31" t="str">
        <f ca="1">IFERROR(__xludf.DUMMYFUNCTION("""COMPUTED_VALUE"""),"% de avance de la elaboracion de los documentos")</f>
        <v>% de avance de la elaboracion de los documentos</v>
      </c>
    </row>
    <row r="299" spans="1:2">
      <c r="A299" s="31" t="str">
        <f ca="1">IFERROR(__xludf.DUMMYFUNCTION("""COMPUTED_VALUE"""),"Subdirección de Energía Eléctrica - GIT Convocatorias públicas")</f>
        <v>Subdirección de Energía Eléctrica - GIT Convocatorias públicas</v>
      </c>
      <c r="B299" s="31" t="str">
        <f ca="1">IFERROR(__xludf.DUMMYFUNCTION("""COMPUTED_VALUE"""),"% de avance")</f>
        <v>% de avance</v>
      </c>
    </row>
    <row r="300" spans="1:2">
      <c r="A300" s="31" t="str">
        <f ca="1">IFERROR(__xludf.DUMMYFUNCTION("""COMPUTED_VALUE"""),"Subdirección de Energía Eléctrica - GIT Convocatorias públicas")</f>
        <v>Subdirección de Energía Eléctrica - GIT Convocatorias públicas</v>
      </c>
      <c r="B300" s="31" t="str">
        <f ca="1">IFERROR(__xludf.DUMMYFUNCTION("""COMPUTED_VALUE"""),"% de avance de la elaboracion de los documentos")</f>
        <v>% de avance de la elaboracion de los documentos</v>
      </c>
    </row>
    <row r="301" spans="1:2">
      <c r="A301" s="31" t="str">
        <f ca="1">IFERROR(__xludf.DUMMYFUNCTION("""COMPUTED_VALUE"""),"Subdirección de Energía Eléctrica - GIT Convocatorias públicas")</f>
        <v>Subdirección de Energía Eléctrica - GIT Convocatorias públicas</v>
      </c>
      <c r="B301" s="31" t="str">
        <f ca="1">IFERROR(__xludf.DUMMYFUNCTION("""COMPUTED_VALUE"""),"% de avance")</f>
        <v>% de avance</v>
      </c>
    </row>
    <row r="302" spans="1:2">
      <c r="A302" s="31" t="str">
        <f ca="1">IFERROR(__xludf.DUMMYFUNCTION("""COMPUTED_VALUE"""),"Subdirección de Energía Eléctrica - GIT Convocatorias públicas")</f>
        <v>Subdirección de Energía Eléctrica - GIT Convocatorias públicas</v>
      </c>
      <c r="B302" s="31" t="str">
        <f ca="1">IFERROR(__xludf.DUMMYFUNCTION("""COMPUTED_VALUE"""),"# de documentos realizados / # de documentos programados")</f>
        <v># de documentos realizados / # de documentos programados</v>
      </c>
    </row>
    <row r="303" spans="1:2">
      <c r="A303" s="31" t="str">
        <f ca="1">IFERROR(__xludf.DUMMYFUNCTION("""COMPUTED_VALUE"""),"Subdirección de Energía Eléctrica - GIT Convocatorias públicas")</f>
        <v>Subdirección de Energía Eléctrica - GIT Convocatorias públicas</v>
      </c>
      <c r="B303" s="31" t="str">
        <f ca="1">IFERROR(__xludf.DUMMYFUNCTION("""COMPUTED_VALUE"""),"# de documentos realizados / # de documentos programados")</f>
        <v># de documentos realizados / # de documentos programados</v>
      </c>
    </row>
    <row r="304" spans="1:2">
      <c r="A304" s="31" t="str">
        <f ca="1">IFERROR(__xludf.DUMMYFUNCTION("""COMPUTED_VALUE"""),"Subdirección de Energía Eléctrica - GIT Convocatorias públicas")</f>
        <v>Subdirección de Energía Eléctrica - GIT Convocatorias públicas</v>
      </c>
      <c r="B304" s="31" t="str">
        <f ca="1">IFERROR(__xludf.DUMMYFUNCTION("""COMPUTED_VALUE"""),"# de documentos realizados / # de documentos programados")</f>
        <v># de documentos realizados / # de documentos programados</v>
      </c>
    </row>
    <row r="305" spans="1:2">
      <c r="A305" s="31" t="str">
        <f ca="1">IFERROR(__xludf.DUMMYFUNCTION("""COMPUTED_VALUE"""),"Subdirección de Energía Eléctrica - GIT Convocatorias públicas")</f>
        <v>Subdirección de Energía Eléctrica - GIT Convocatorias públicas</v>
      </c>
      <c r="B305" s="31" t="str">
        <f ca="1">IFERROR(__xludf.DUMMYFUNCTION("""COMPUTED_VALUE"""),"# de documentos realizados / # de documentos programados")</f>
        <v># de documentos realizados / # de documentos programados</v>
      </c>
    </row>
    <row r="306" spans="1:2">
      <c r="A306" s="31" t="str">
        <f ca="1">IFERROR(__xludf.DUMMYFUNCTION("""COMPUTED_VALUE"""),"Subdirección de Energía Eléctrica - GIT Convocatorias públicas")</f>
        <v>Subdirección de Energía Eléctrica - GIT Convocatorias públicas</v>
      </c>
      <c r="B306" s="31" t="str">
        <f ca="1">IFERROR(__xludf.DUMMYFUNCTION("""COMPUTED_VALUE"""),"# de publicaciones realizadas / # de publicaciones programadas")</f>
        <v># de publicaciones realizadas / # de publicaciones programadas</v>
      </c>
    </row>
    <row r="307" spans="1:2">
      <c r="A307" s="31" t="str">
        <f ca="1">IFERROR(__xludf.DUMMYFUNCTION("""COMPUTED_VALUE"""),"Subdirección de Energía Eléctrica - GIT Convocatorias públicas")</f>
        <v>Subdirección de Energía Eléctrica - GIT Convocatorias públicas</v>
      </c>
      <c r="B307" s="31" t="str">
        <f ca="1">IFERROR(__xludf.DUMMYFUNCTION("""COMPUTED_VALUE"""),"# de documentos publicados / # de documentos programados")</f>
        <v># de documentos publicados / # de documentos programados</v>
      </c>
    </row>
    <row r="308" spans="1:2">
      <c r="A308" s="31" t="str">
        <f ca="1">IFERROR(__xludf.DUMMYFUNCTION("""COMPUTED_VALUE"""),"Subdirección de Energía Eléctrica - GIT Convocatorias públicas")</f>
        <v>Subdirección de Energía Eléctrica - GIT Convocatorias públicas</v>
      </c>
      <c r="B308" s="31" t="str">
        <f ca="1">IFERROR(__xludf.DUMMYFUNCTION("""COMPUTED_VALUE"""),"# de documentos publicados / # de documentos programados")</f>
        <v># de documentos publicados / # de documentos programados</v>
      </c>
    </row>
    <row r="309" spans="1:2">
      <c r="A309" s="31" t="str">
        <f ca="1">IFERROR(__xludf.DUMMYFUNCTION("""COMPUTED_VALUE"""),"Subdirección de Energía Eléctrica - GIT Convocatorias públicas")</f>
        <v>Subdirección de Energía Eléctrica - GIT Convocatorias públicas</v>
      </c>
      <c r="B309" s="31" t="str">
        <f ca="1">IFERROR(__xludf.DUMMYFUNCTION("""COMPUTED_VALUE"""),"# de documentos publicados / # de documentos programados")</f>
        <v># de documentos publicados / # de documentos programados</v>
      </c>
    </row>
    <row r="310" spans="1:2">
      <c r="A310" s="31" t="str">
        <f ca="1">IFERROR(__xludf.DUMMYFUNCTION("""COMPUTED_VALUE"""),"Subdirección de Energía Eléctrica - GIT Convocatorias públicas")</f>
        <v>Subdirección de Energía Eléctrica - GIT Convocatorias públicas</v>
      </c>
      <c r="B310" s="31" t="str">
        <f ca="1">IFERROR(__xludf.DUMMYFUNCTION("""COMPUTED_VALUE"""),"# de documentos enviados / # de documentos programados")</f>
        <v># de documentos enviados / # de documentos programados</v>
      </c>
    </row>
    <row r="311" spans="1:2">
      <c r="A311" s="31" t="str">
        <f ca="1">IFERROR(__xludf.DUMMYFUNCTION("""COMPUTED_VALUE"""),"Subdirección de Energía Eléctrica - GIT Convocatorias públicas")</f>
        <v>Subdirección de Energía Eléctrica - GIT Convocatorias públicas</v>
      </c>
      <c r="B311" s="31" t="str">
        <f ca="1">IFERROR(__xludf.DUMMYFUNCTION("""COMPUTED_VALUE"""),"# de publicaciones realizadas / # de publicaciones programadas")</f>
        <v># de publicaciones realizadas / # de publicaciones programadas</v>
      </c>
    </row>
    <row r="312" spans="1:2">
      <c r="A312" s="31" t="str">
        <f ca="1">IFERROR(__xludf.DUMMYFUNCTION("""COMPUTED_VALUE"""),"Subdirección de Energía Eléctrica - GIT Convocatorias públicas")</f>
        <v>Subdirección de Energía Eléctrica - GIT Convocatorias públicas</v>
      </c>
      <c r="B312" s="31" t="str">
        <f ca="1">IFERROR(__xludf.DUMMYFUNCTION("""COMPUTED_VALUE"""),"# de documentos publicados / # de documentos programados")</f>
        <v># de documentos publicados / # de documentos programados</v>
      </c>
    </row>
    <row r="313" spans="1:2">
      <c r="A313" s="31" t="str">
        <f ca="1">IFERROR(__xludf.DUMMYFUNCTION("""COMPUTED_VALUE"""),"Subdirección de Energía Eléctrica - GIT Convocatorias públicas")</f>
        <v>Subdirección de Energía Eléctrica - GIT Convocatorias públicas</v>
      </c>
      <c r="B313" s="31" t="str">
        <f ca="1">IFERROR(__xludf.DUMMYFUNCTION("""COMPUTED_VALUE"""),"# de documentos publicados / # de documentos programados")</f>
        <v># de documentos publicados / # de documentos programados</v>
      </c>
    </row>
    <row r="314" spans="1:2">
      <c r="A314" s="31" t="str">
        <f ca="1">IFERROR(__xludf.DUMMYFUNCTION("""COMPUTED_VALUE"""),"Subdirección de Energía Eléctrica - GIT Convocatorias públicas")</f>
        <v>Subdirección de Energía Eléctrica - GIT Convocatorias públicas</v>
      </c>
      <c r="B314" s="31" t="str">
        <f ca="1">IFERROR(__xludf.DUMMYFUNCTION("""COMPUTED_VALUE"""),"# de documentos publicados / # de documentos programados")</f>
        <v># de documentos publicados / # de documentos programados</v>
      </c>
    </row>
    <row r="315" spans="1:2">
      <c r="A315" s="31" t="str">
        <f ca="1">IFERROR(__xludf.DUMMYFUNCTION("""COMPUTED_VALUE"""),"Subdirección de Energía Eléctrica - GIT Convocatorias públicas")</f>
        <v>Subdirección de Energía Eléctrica - GIT Convocatorias públicas</v>
      </c>
      <c r="B315" s="31" t="str">
        <f ca="1">IFERROR(__xludf.DUMMYFUNCTION("""COMPUTED_VALUE"""),"# de documentos enviados / # de documentos programados")</f>
        <v># de documentos enviados / # de documentos programados</v>
      </c>
    </row>
    <row r="316" spans="1:2">
      <c r="A316" s="31" t="str">
        <f ca="1">IFERROR(__xludf.DUMMYFUNCTION("""COMPUTED_VALUE"""),"Subdirección de Energía Eléctrica - GIT Convocatorias públicas")</f>
        <v>Subdirección de Energía Eléctrica - GIT Convocatorias públicas</v>
      </c>
      <c r="B316" s="31" t="str">
        <f ca="1">IFERROR(__xludf.DUMMYFUNCTION("""COMPUTED_VALUE"""),"# de publicaciones realizadas / # de publicaciones programadas")</f>
        <v># de publicaciones realizadas / # de publicaciones programadas</v>
      </c>
    </row>
    <row r="317" spans="1:2">
      <c r="A317" s="31" t="str">
        <f ca="1">IFERROR(__xludf.DUMMYFUNCTION("""COMPUTED_VALUE"""),"Subdirección de Energía Eléctrica - GIT Convocatorias públicas")</f>
        <v>Subdirección de Energía Eléctrica - GIT Convocatorias públicas</v>
      </c>
      <c r="B317" s="31" t="str">
        <f ca="1">IFERROR(__xludf.DUMMYFUNCTION("""COMPUTED_VALUE"""),"# de documentos publicados / # de documentos programados")</f>
        <v># de documentos publicados / # de documentos programados</v>
      </c>
    </row>
    <row r="318" spans="1:2">
      <c r="A318" s="31" t="str">
        <f ca="1">IFERROR(__xludf.DUMMYFUNCTION("""COMPUTED_VALUE"""),"Subdirección de Energía Eléctrica - GIT Convocatorias públicas")</f>
        <v>Subdirección de Energía Eléctrica - GIT Convocatorias públicas</v>
      </c>
      <c r="B318" s="31" t="str">
        <f ca="1">IFERROR(__xludf.DUMMYFUNCTION("""COMPUTED_VALUE"""),"# de documentos publicados / # de documentos programados")</f>
        <v># de documentos publicados / # de documentos programados</v>
      </c>
    </row>
    <row r="319" spans="1:2">
      <c r="A319" s="31" t="str">
        <f ca="1">IFERROR(__xludf.DUMMYFUNCTION("""COMPUTED_VALUE"""),"Subdirección de Energía Eléctrica - GIT Convocatorias públicas")</f>
        <v>Subdirección de Energía Eléctrica - GIT Convocatorias públicas</v>
      </c>
      <c r="B319" s="31" t="str">
        <f ca="1">IFERROR(__xludf.DUMMYFUNCTION("""COMPUTED_VALUE"""),"# de documentos publicados / # de documentos programados")</f>
        <v># de documentos publicados / # de documentos programados</v>
      </c>
    </row>
    <row r="320" spans="1:2">
      <c r="A320" s="31" t="str">
        <f ca="1">IFERROR(__xludf.DUMMYFUNCTION("""COMPUTED_VALUE"""),"Subdirección de Energía Eléctrica - GIT Convocatorias públicas")</f>
        <v>Subdirección de Energía Eléctrica - GIT Convocatorias públicas</v>
      </c>
      <c r="B320" s="31" t="str">
        <f ca="1">IFERROR(__xludf.DUMMYFUNCTION("""COMPUTED_VALUE"""),"# de documentos enviados / # de documentos programados")</f>
        <v># de documentos enviados / # de documentos programados</v>
      </c>
    </row>
    <row r="321" spans="1:2">
      <c r="A321" s="31" t="str">
        <f ca="1">IFERROR(__xludf.DUMMYFUNCTION("""COMPUTED_VALUE"""),"Subdirección de Energía Eléctrica - GIT Convocatorias públicas")</f>
        <v>Subdirección de Energía Eléctrica - GIT Convocatorias públicas</v>
      </c>
      <c r="B321" s="31" t="str">
        <f ca="1">IFERROR(__xludf.DUMMYFUNCTION("""COMPUTED_VALUE"""),"# de publicaciones realizadas / # de publicaciones programadas")</f>
        <v># de publicaciones realizadas / # de publicaciones programadas</v>
      </c>
    </row>
    <row r="322" spans="1:2">
      <c r="A322" s="31" t="str">
        <f ca="1">IFERROR(__xludf.DUMMYFUNCTION("""COMPUTED_VALUE"""),"Subdirección de Energía Eléctrica - GIT Convocatorias públicas")</f>
        <v>Subdirección de Energía Eléctrica - GIT Convocatorias públicas</v>
      </c>
      <c r="B322" s="31" t="str">
        <f ca="1">IFERROR(__xludf.DUMMYFUNCTION("""COMPUTED_VALUE"""),"# de documentos publicados / # de documentos programados")</f>
        <v># de documentos publicados / # de documentos programados</v>
      </c>
    </row>
    <row r="323" spans="1:2">
      <c r="A323" s="31" t="str">
        <f ca="1">IFERROR(__xludf.DUMMYFUNCTION("""COMPUTED_VALUE"""),"Subdirección de Energía Eléctrica - GIT Convocatorias públicas")</f>
        <v>Subdirección de Energía Eléctrica - GIT Convocatorias públicas</v>
      </c>
      <c r="B323" s="31" t="str">
        <f ca="1">IFERROR(__xludf.DUMMYFUNCTION("""COMPUTED_VALUE"""),"# de documentos publicados / # de documentos programados")</f>
        <v># de documentos publicados / # de documentos programados</v>
      </c>
    </row>
    <row r="324" spans="1:2">
      <c r="A324" s="31" t="str">
        <f ca="1">IFERROR(__xludf.DUMMYFUNCTION("""COMPUTED_VALUE"""),"Subdirección de Energía Eléctrica - GIT Convocatorias públicas")</f>
        <v>Subdirección de Energía Eléctrica - GIT Convocatorias públicas</v>
      </c>
      <c r="B324" s="31" t="str">
        <f ca="1">IFERROR(__xludf.DUMMYFUNCTION("""COMPUTED_VALUE"""),"# de documentos publicados / # de documentos programados")</f>
        <v># de documentos publicados / # de documentos programados</v>
      </c>
    </row>
    <row r="325" spans="1:2">
      <c r="A325" s="31" t="str">
        <f ca="1">IFERROR(__xludf.DUMMYFUNCTION("""COMPUTED_VALUE"""),"Subdirección de Energía Eléctrica - GIT Convocatorias públicas")</f>
        <v>Subdirección de Energía Eléctrica - GIT Convocatorias públicas</v>
      </c>
      <c r="B325" s="31" t="str">
        <f ca="1">IFERROR(__xludf.DUMMYFUNCTION("""COMPUTED_VALUE"""),"# de documentos enviados / # de documentos programados")</f>
        <v># de documentos enviados / # de documentos programados</v>
      </c>
    </row>
    <row r="326" spans="1:2">
      <c r="A326" s="31" t="str">
        <f ca="1">IFERROR(__xludf.DUMMYFUNCTION("""COMPUTED_VALUE"""),"Subdirección de Energía Eléctrica - GIT Convocatorias públicas")</f>
        <v>Subdirección de Energía Eléctrica - GIT Convocatorias públicas</v>
      </c>
      <c r="B326" s="31" t="str">
        <f ca="1">IFERROR(__xludf.DUMMYFUNCTION("""COMPUTED_VALUE"""),"# de documentos revisados / # de documentos radicados")</f>
        <v># de documentos revisados / # de documentos radicados</v>
      </c>
    </row>
    <row r="327" spans="1:2">
      <c r="A327" s="31" t="str">
        <f ca="1">IFERROR(__xludf.DUMMYFUNCTION("""COMPUTED_VALUE"""),"Subdirección de Energía Eléctrica - GIT Convocatorias públicas")</f>
        <v>Subdirección de Energía Eléctrica - GIT Convocatorias públicas</v>
      </c>
      <c r="B327" s="31" t="str">
        <f ca="1">IFERROR(__xludf.DUMMYFUNCTION("""COMPUTED_VALUE"""),"# de documetos realizados / # de documentos programados")</f>
        <v># de documetos realizados / # de documentos programados</v>
      </c>
    </row>
    <row r="328" spans="1:2">
      <c r="A328" s="31" t="str">
        <f ca="1">IFERROR(__xludf.DUMMYFUNCTION("""COMPUTED_VALUE"""),"Subdirección de Energía Eléctrica - GIT Convocatorias públicas")</f>
        <v>Subdirección de Energía Eléctrica - GIT Convocatorias públicas</v>
      </c>
      <c r="B328" s="31" t="str">
        <f ca="1">IFERROR(__xludf.DUMMYFUNCTION("""COMPUTED_VALUE"""),"# de documentos revisados / # de documentos radicados")</f>
        <v># de documentos revisados / # de documentos radicados</v>
      </c>
    </row>
    <row r="329" spans="1:2">
      <c r="A329" s="31" t="str">
        <f ca="1">IFERROR(__xludf.DUMMYFUNCTION("""COMPUTED_VALUE"""),"Subdirección de Energía Eléctrica - GIT Convocatorias públicas")</f>
        <v>Subdirección de Energía Eléctrica - GIT Convocatorias públicas</v>
      </c>
      <c r="B329" s="31" t="str">
        <f ca="1">IFERROR(__xludf.DUMMYFUNCTION("""COMPUTED_VALUE"""),"# de documetos realizados / # de documentos programados")</f>
        <v># de documetos realizados / # de documentos programados</v>
      </c>
    </row>
    <row r="330" spans="1:2">
      <c r="A330" s="31" t="str">
        <f ca="1">IFERROR(__xludf.DUMMYFUNCTION("""COMPUTED_VALUE"""),"Subdirección de Energía Eléctrica - GIT Convocatorias públicas")</f>
        <v>Subdirección de Energía Eléctrica - GIT Convocatorias públicas</v>
      </c>
      <c r="B330" s="31" t="str">
        <f ca="1">IFERROR(__xludf.DUMMYFUNCTION("""COMPUTED_VALUE"""),"# de documentos revisados / # de documentos radicados")</f>
        <v># de documentos revisados / # de documentos radicados</v>
      </c>
    </row>
    <row r="331" spans="1:2">
      <c r="A331" s="31" t="str">
        <f ca="1">IFERROR(__xludf.DUMMYFUNCTION("""COMPUTED_VALUE"""),"Subdirección de Energía Eléctrica - GIT Convocatorias públicas")</f>
        <v>Subdirección de Energía Eléctrica - GIT Convocatorias públicas</v>
      </c>
      <c r="B331" s="31" t="str">
        <f ca="1">IFERROR(__xludf.DUMMYFUNCTION("""COMPUTED_VALUE"""),"# de documetos realizados / # de documentos programados")</f>
        <v># de documetos realizados / # de documentos programados</v>
      </c>
    </row>
    <row r="332" spans="1:2">
      <c r="A332" s="31" t="str">
        <f ca="1">IFERROR(__xludf.DUMMYFUNCTION("""COMPUTED_VALUE"""),"Subdirección de Energía Eléctrica - GIT Convocatorias públicas")</f>
        <v>Subdirección de Energía Eléctrica - GIT Convocatorias públicas</v>
      </c>
      <c r="B332" s="31" t="str">
        <f ca="1">IFERROR(__xludf.DUMMYFUNCTION("""COMPUTED_VALUE"""),"# de documentos revisados / # de documentos radicados")</f>
        <v># de documentos revisados / # de documentos radicados</v>
      </c>
    </row>
    <row r="333" spans="1:2">
      <c r="A333" s="31" t="str">
        <f ca="1">IFERROR(__xludf.DUMMYFUNCTION("""COMPUTED_VALUE"""),"Subdirección de Energía Eléctrica - GIT Convocatorias públicas")</f>
        <v>Subdirección de Energía Eléctrica - GIT Convocatorias públicas</v>
      </c>
      <c r="B333" s="31" t="str">
        <f ca="1">IFERROR(__xludf.DUMMYFUNCTION("""COMPUTED_VALUE"""),"# de documetos realizados / # de documentos programados")</f>
        <v># de documetos realizados / # de documentos programados</v>
      </c>
    </row>
    <row r="334" spans="1:2">
      <c r="A334" s="31" t="str">
        <f ca="1">IFERROR(__xludf.DUMMYFUNCTION("""COMPUTED_VALUE"""),"Subdirección de Energía Eléctrica - GIT Transmisión")</f>
        <v>Subdirección de Energía Eléctrica - GIT Transmisión</v>
      </c>
      <c r="B334" s="31" t="str">
        <f ca="1">IFERROR(__xludf.DUMMYFUNCTION("""COMPUTED_VALUE"""),"% cumplimiento actividad")</f>
        <v>% cumplimiento actividad</v>
      </c>
    </row>
    <row r="335" spans="1:2">
      <c r="A335" s="31" t="str">
        <f ca="1">IFERROR(__xludf.DUMMYFUNCTION("""COMPUTED_VALUE"""),"Subdirección de Energía Eléctrica - GIT Transmisión")</f>
        <v>Subdirección de Energía Eléctrica - GIT Transmisión</v>
      </c>
      <c r="B335" s="31" t="str">
        <f ca="1">IFERROR(__xludf.DUMMYFUNCTION("""COMPUTED_VALUE"""),"% cumplimiento actividad")</f>
        <v>% cumplimiento actividad</v>
      </c>
    </row>
    <row r="336" spans="1:2">
      <c r="A336" s="31" t="str">
        <f ca="1">IFERROR(__xludf.DUMMYFUNCTION("""COMPUTED_VALUE"""),"Subdirección de Energía Eléctrica - GIT Transmisión")</f>
        <v>Subdirección de Energía Eléctrica - GIT Transmisión</v>
      </c>
      <c r="B336" s="31" t="str">
        <f ca="1">IFERROR(__xludf.DUMMYFUNCTION("""COMPUTED_VALUE"""),"% cumplimiento actividad")</f>
        <v>% cumplimiento actividad</v>
      </c>
    </row>
    <row r="337" spans="1:2">
      <c r="A337" s="31" t="str">
        <f ca="1">IFERROR(__xludf.DUMMYFUNCTION("""COMPUTED_VALUE"""),"Subdirección de Energía Eléctrica - GIT Transmisión")</f>
        <v>Subdirección de Energía Eléctrica - GIT Transmisión</v>
      </c>
      <c r="B337" s="31" t="str">
        <f ca="1">IFERROR(__xludf.DUMMYFUNCTION("""COMPUTED_VALUE"""),"% cumplimiento actividad")</f>
        <v>% cumplimiento actividad</v>
      </c>
    </row>
    <row r="338" spans="1:2">
      <c r="A338" s="31" t="str">
        <f ca="1">IFERROR(__xludf.DUMMYFUNCTION("""COMPUTED_VALUE"""),"Subdirección de Energía Eléctrica - GIT Transmisión")</f>
        <v>Subdirección de Energía Eléctrica - GIT Transmisión</v>
      </c>
      <c r="B338" s="31" t="str">
        <f ca="1">IFERROR(__xludf.DUMMYFUNCTION("""COMPUTED_VALUE"""),"%cumplimiento actividad")</f>
        <v>%cumplimiento actividad</v>
      </c>
    </row>
    <row r="339" spans="1:2">
      <c r="A339" s="31" t="str">
        <f ca="1">IFERROR(__xludf.DUMMYFUNCTION("""COMPUTED_VALUE"""),"Subdirección de Energía Eléctrica - GIT Transmisión")</f>
        <v>Subdirección de Energía Eléctrica - GIT Transmisión</v>
      </c>
      <c r="B339" s="31" t="str">
        <f ca="1">IFERROR(__xludf.DUMMYFUNCTION("""COMPUTED_VALUE"""),"%cumplimiento actividad")</f>
        <v>%cumplimiento actividad</v>
      </c>
    </row>
    <row r="340" spans="1:2">
      <c r="A340" s="31" t="str">
        <f ca="1">IFERROR(__xludf.DUMMYFUNCTION("""COMPUTED_VALUE"""),"Subdirección de Energía Eléctrica - GIT Transmisión")</f>
        <v>Subdirección de Energía Eléctrica - GIT Transmisión</v>
      </c>
      <c r="B340" s="31" t="str">
        <f ca="1">IFERROR(__xludf.DUMMYFUNCTION("""COMPUTED_VALUE"""),"%cumplimiento actividad")</f>
        <v>%cumplimiento actividad</v>
      </c>
    </row>
    <row r="341" spans="1:2">
      <c r="A341" s="31" t="str">
        <f ca="1">IFERROR(__xludf.DUMMYFUNCTION("""COMPUTED_VALUE"""),"Subdirección de Energía Eléctrica - GIT Transmisión")</f>
        <v>Subdirección de Energía Eléctrica - GIT Transmisión</v>
      </c>
      <c r="B341" s="31" t="str">
        <f ca="1">IFERROR(__xludf.DUMMYFUNCTION("""COMPUTED_VALUE"""),"% cumplimiento actividad (inferior 6 meses)")</f>
        <v>% cumplimiento actividad (inferior 6 meses)</v>
      </c>
    </row>
    <row r="342" spans="1:2">
      <c r="A342" s="31" t="str">
        <f ca="1">IFERROR(__xludf.DUMMYFUNCTION("""COMPUTED_VALUE"""),"Subdirección de Energía Eléctrica - GIT Transmisión")</f>
        <v>Subdirección de Energía Eléctrica - GIT Transmisión</v>
      </c>
      <c r="B342" s="31" t="str">
        <f ca="1">IFERROR(__xludf.DUMMYFUNCTION("""COMPUTED_VALUE"""),"% cumplimiento actividad (inferior 6 meses)")</f>
        <v>% cumplimiento actividad (inferior 6 meses)</v>
      </c>
    </row>
    <row r="343" spans="1:2">
      <c r="A343" s="31" t="str">
        <f ca="1">IFERROR(__xludf.DUMMYFUNCTION("""COMPUTED_VALUE"""),"Subdirección de Energía Eléctrica - GIT Transmisión")</f>
        <v>Subdirección de Energía Eléctrica - GIT Transmisión</v>
      </c>
      <c r="B343" s="31" t="str">
        <f ca="1">IFERROR(__xludf.DUMMYFUNCTION("""COMPUTED_VALUE"""),"% cumplimiento actividad (inferior 6 meses)")</f>
        <v>% cumplimiento actividad (inferior 6 meses)</v>
      </c>
    </row>
    <row r="344" spans="1:2">
      <c r="A344" s="31" t="str">
        <f ca="1">IFERROR(__xludf.DUMMYFUNCTION("""COMPUTED_VALUE"""),"Subdirección de Energía Eléctrica - GIT Transmisión")</f>
        <v>Subdirección de Energía Eléctrica - GIT Transmisión</v>
      </c>
      <c r="B344" s="31" t="str">
        <f ca="1">IFERROR(__xludf.DUMMYFUNCTION("""COMPUTED_VALUE"""),"% cumplimiento actividad (inferior 6 meses)")</f>
        <v>% cumplimiento actividad (inferior 6 meses)</v>
      </c>
    </row>
    <row r="345" spans="1:2">
      <c r="A345" s="31" t="str">
        <f ca="1">IFERROR(__xludf.DUMMYFUNCTION("""COMPUTED_VALUE"""),"Subdirección de Energía Eléctrica - GIT Transmisión")</f>
        <v>Subdirección de Energía Eléctrica - GIT Transmisión</v>
      </c>
      <c r="B345" s="31" t="str">
        <f ca="1">IFERROR(__xludf.DUMMYFUNCTION("""COMPUTED_VALUE"""),"% cumplimiento actividad (inferior 8 meses)")</f>
        <v>% cumplimiento actividad (inferior 8 meses)</v>
      </c>
    </row>
    <row r="346" spans="1:2">
      <c r="A346" s="31" t="str">
        <f ca="1">IFERROR(__xludf.DUMMYFUNCTION("""COMPUTED_VALUE"""),"Subdirección de Energía Eléctrica - GIT Transmisión")</f>
        <v>Subdirección de Energía Eléctrica - GIT Transmisión</v>
      </c>
      <c r="B346" s="31" t="str">
        <f ca="1">IFERROR(__xludf.DUMMYFUNCTION("""COMPUTED_VALUE"""),"% cumplimiento actividad (inferior 8 meses)")</f>
        <v>% cumplimiento actividad (inferior 8 meses)</v>
      </c>
    </row>
    <row r="347" spans="1:2">
      <c r="A347" s="31" t="str">
        <f ca="1">IFERROR(__xludf.DUMMYFUNCTION("""COMPUTED_VALUE"""),"Subdirección de Energía Eléctrica - GIT Transmisión")</f>
        <v>Subdirección de Energía Eléctrica - GIT Transmisión</v>
      </c>
      <c r="B347" s="31" t="str">
        <f ca="1">IFERROR(__xludf.DUMMYFUNCTION("""COMPUTED_VALUE"""),"% cumplimiento actividad (inferior 8 meses)")</f>
        <v>% cumplimiento actividad (inferior 8 meses)</v>
      </c>
    </row>
    <row r="348" spans="1:2">
      <c r="A348" s="31" t="str">
        <f ca="1">IFERROR(__xludf.DUMMYFUNCTION("""COMPUTED_VALUE"""),"Subdirección de Energía Eléctrica - GIT Transmisión")</f>
        <v>Subdirección de Energía Eléctrica - GIT Transmisión</v>
      </c>
      <c r="B348" s="31" t="str">
        <f ca="1">IFERROR(__xludf.DUMMYFUNCTION("""COMPUTED_VALUE"""),"% cumplimiento actividad (inferior 8 meses)")</f>
        <v>% cumplimiento actividad (inferior 8 meses)</v>
      </c>
    </row>
    <row r="349" spans="1:2">
      <c r="A349" s="31" t="str">
        <f ca="1">IFERROR(__xludf.DUMMYFUNCTION("""COMPUTED_VALUE"""),"Subdirección de Energía Eléctrica - GIT Transmisión")</f>
        <v>Subdirección de Energía Eléctrica - GIT Transmisión</v>
      </c>
      <c r="B349" s="31" t="str">
        <f ca="1">IFERROR(__xludf.DUMMYFUNCTION("""COMPUTED_VALUE"""),"% cumplimiento actividad (inferior 12 meses)")</f>
        <v>% cumplimiento actividad (inferior 12 meses)</v>
      </c>
    </row>
    <row r="350" spans="1:2">
      <c r="A350" s="31" t="str">
        <f ca="1">IFERROR(__xludf.DUMMYFUNCTION("""COMPUTED_VALUE"""),"Subdirección de Energía Eléctrica - GIT Transmisión")</f>
        <v>Subdirección de Energía Eléctrica - GIT Transmisión</v>
      </c>
      <c r="B350" s="31" t="str">
        <f ca="1">IFERROR(__xludf.DUMMYFUNCTION("""COMPUTED_VALUE"""),"% cumplimiento actividad (inferior 12 meses)")</f>
        <v>% cumplimiento actividad (inferior 12 meses)</v>
      </c>
    </row>
    <row r="351" spans="1:2">
      <c r="A351" s="31" t="str">
        <f ca="1">IFERROR(__xludf.DUMMYFUNCTION("""COMPUTED_VALUE"""),"Subdirección de Energía Eléctrica - GIT Transmisión")</f>
        <v>Subdirección de Energía Eléctrica - GIT Transmisión</v>
      </c>
      <c r="B351" s="31" t="str">
        <f ca="1">IFERROR(__xludf.DUMMYFUNCTION("""COMPUTED_VALUE"""),"% cumplimiento actividad (inferior 12 meses)")</f>
        <v>% cumplimiento actividad (inferior 12 meses)</v>
      </c>
    </row>
    <row r="352" spans="1:2">
      <c r="A352" s="31" t="str">
        <f ca="1">IFERROR(__xludf.DUMMYFUNCTION("""COMPUTED_VALUE"""),"Subdirección de Energía Eléctrica - GIT Transmisión")</f>
        <v>Subdirección de Energía Eléctrica - GIT Transmisión</v>
      </c>
      <c r="B352" s="31" t="str">
        <f ca="1">IFERROR(__xludf.DUMMYFUNCTION("""COMPUTED_VALUE"""),"% cumplimiento actividad (inferior 12 meses)")</f>
        <v>% cumplimiento actividad (inferior 12 meses)</v>
      </c>
    </row>
    <row r="353" spans="1:2">
      <c r="A353" s="31" t="str">
        <f ca="1">IFERROR(__xludf.DUMMYFUNCTION("""COMPUTED_VALUE"""),"Subdirección de Energía Eléctrica - GIT Transmisión")</f>
        <v>Subdirección de Energía Eléctrica - GIT Transmisión</v>
      </c>
      <c r="B353" s="31" t="str">
        <f ca="1">IFERROR(__xludf.DUMMYFUNCTION("""COMPUTED_VALUE"""),"% cumplimiento actividad (inferior 18 meses)")</f>
        <v>% cumplimiento actividad (inferior 18 meses)</v>
      </c>
    </row>
    <row r="354" spans="1:2">
      <c r="A354" s="31" t="str">
        <f ca="1">IFERROR(__xludf.DUMMYFUNCTION("""COMPUTED_VALUE"""),"Subdirección de Energía Eléctrica - GIT Transmisión")</f>
        <v>Subdirección de Energía Eléctrica - GIT Transmisión</v>
      </c>
      <c r="B354" s="31" t="str">
        <f ca="1">IFERROR(__xludf.DUMMYFUNCTION("""COMPUTED_VALUE"""),"% cumplimiento actividad (inferior 18 meses)")</f>
        <v>% cumplimiento actividad (inferior 18 meses)</v>
      </c>
    </row>
    <row r="355" spans="1:2">
      <c r="A355" s="31" t="str">
        <f ca="1">IFERROR(__xludf.DUMMYFUNCTION("""COMPUTED_VALUE"""),"Subdirección de Energía Eléctrica - GIT Transmisión")</f>
        <v>Subdirección de Energía Eléctrica - GIT Transmisión</v>
      </c>
      <c r="B355" s="31" t="str">
        <f ca="1">IFERROR(__xludf.DUMMYFUNCTION("""COMPUTED_VALUE"""),"% cumplimiento actividad (inferior 18 meses)")</f>
        <v>% cumplimiento actividad (inferior 18 meses)</v>
      </c>
    </row>
    <row r="356" spans="1:2">
      <c r="A356" s="31" t="str">
        <f ca="1">IFERROR(__xludf.DUMMYFUNCTION("""COMPUTED_VALUE"""),"Subdirección de Energía Eléctrica - GIT Transmisión")</f>
        <v>Subdirección de Energía Eléctrica - GIT Transmisión</v>
      </c>
      <c r="B356" s="31" t="str">
        <f ca="1">IFERROR(__xludf.DUMMYFUNCTION("""COMPUTED_VALUE"""),"% cumplimiento actividad (inferior 18 meses)")</f>
        <v>% cumplimiento actividad (inferior 18 meses)</v>
      </c>
    </row>
    <row r="357" spans="1:2">
      <c r="A357" s="31" t="str">
        <f ca="1">IFERROR(__xludf.DUMMYFUNCTION("""COMPUTED_VALUE"""),"Subdirección de Energía Eléctrica - GIT Transmisión")</f>
        <v>Subdirección de Energía Eléctrica - GIT Transmisión</v>
      </c>
      <c r="B357" s="31" t="str">
        <f ca="1">IFERROR(__xludf.DUMMYFUNCTION("""COMPUTED_VALUE"""),"%cumplimiento actividad")</f>
        <v>%cumplimiento actividad</v>
      </c>
    </row>
    <row r="358" spans="1:2">
      <c r="A358" s="31" t="str">
        <f ca="1">IFERROR(__xludf.DUMMYFUNCTION("""COMPUTED_VALUE"""),"Subdirección de Energía Eléctrica - GIT Transmisión")</f>
        <v>Subdirección de Energía Eléctrica - GIT Transmisión</v>
      </c>
      <c r="B358" s="31" t="str">
        <f ca="1">IFERROR(__xludf.DUMMYFUNCTION("""COMPUTED_VALUE"""),"%cumplimiento actividad")</f>
        <v>%cumplimiento actividad</v>
      </c>
    </row>
    <row r="359" spans="1:2">
      <c r="A359" s="31" t="str">
        <f ca="1">IFERROR(__xludf.DUMMYFUNCTION("""COMPUTED_VALUE"""),"Subdirección de Energía Eléctrica - GIT Transmisión")</f>
        <v>Subdirección de Energía Eléctrica - GIT Transmisión</v>
      </c>
      <c r="B359" s="31" t="str">
        <f ca="1">IFERROR(__xludf.DUMMYFUNCTION("""COMPUTED_VALUE"""),"%cumplimiento actividad")</f>
        <v>%cumplimiento actividad</v>
      </c>
    </row>
    <row r="360" spans="1:2">
      <c r="A360" s="31" t="str">
        <f ca="1">IFERROR(__xludf.DUMMYFUNCTION("""COMPUTED_VALUE"""),"Subdirección de Energía Eléctrica - GIT Transmisión")</f>
        <v>Subdirección de Energía Eléctrica - GIT Transmisión</v>
      </c>
      <c r="B360" s="31" t="str">
        <f ca="1">IFERROR(__xludf.DUMMYFUNCTION("""COMPUTED_VALUE"""),"%cumplimiento actividad")</f>
        <v>%cumplimiento actividad</v>
      </c>
    </row>
    <row r="361" spans="1:2">
      <c r="A361" s="31" t="str">
        <f ca="1">IFERROR(__xludf.DUMMYFUNCTION("""COMPUTED_VALUE"""),"Subdirección de Energía Eléctrica - GIT Transmisión")</f>
        <v>Subdirección de Energía Eléctrica - GIT Transmisión</v>
      </c>
      <c r="B361" s="31" t="str">
        <f ca="1">IFERROR(__xludf.DUMMYFUNCTION("""COMPUTED_VALUE"""),"% cumplimiento actividad")</f>
        <v>% cumplimiento actividad</v>
      </c>
    </row>
    <row r="362" spans="1:2">
      <c r="A362" s="31" t="str">
        <f ca="1">IFERROR(__xludf.DUMMYFUNCTION("""COMPUTED_VALUE"""),"Subdirección de Energía Eléctrica - GIT Transmisión")</f>
        <v>Subdirección de Energía Eléctrica - GIT Transmisión</v>
      </c>
      <c r="B362" s="31" t="str">
        <f ca="1">IFERROR(__xludf.DUMMYFUNCTION("""COMPUTED_VALUE"""),"% cumplimiento actividad")</f>
        <v>% cumplimiento actividad</v>
      </c>
    </row>
    <row r="363" spans="1:2">
      <c r="A363" s="31" t="str">
        <f ca="1">IFERROR(__xludf.DUMMYFUNCTION("""COMPUTED_VALUE"""),"Subdirección de Energía Eléctrica - GIT Transmisión")</f>
        <v>Subdirección de Energía Eléctrica - GIT Transmisión</v>
      </c>
      <c r="B363" s="31" t="str">
        <f ca="1">IFERROR(__xludf.DUMMYFUNCTION("""COMPUTED_VALUE"""),"% cumplimiento actividad")</f>
        <v>% cumplimiento actividad</v>
      </c>
    </row>
    <row r="364" spans="1:2">
      <c r="A364" s="31" t="str">
        <f ca="1">IFERROR(__xludf.DUMMYFUNCTION("""COMPUTED_VALUE"""),"Subdirección de Energía Eléctrica - GIT Transmisión")</f>
        <v>Subdirección de Energía Eléctrica - GIT Transmisión</v>
      </c>
      <c r="B364" s="31" t="str">
        <f ca="1">IFERROR(__xludf.DUMMYFUNCTION("""COMPUTED_VALUE"""),"% cumplimiento actividad")</f>
        <v>% cumplimiento actividad</v>
      </c>
    </row>
    <row r="365" spans="1:2">
      <c r="A365" s="31" t="str">
        <f ca="1">IFERROR(__xludf.DUMMYFUNCTION("""COMPUTED_VALUE"""),"Subdirección de Energía Eléctrica - GIT Generación y Registro")</f>
        <v>Subdirección de Energía Eléctrica - GIT Generación y Registro</v>
      </c>
      <c r="B365" s="31" t="str">
        <f ca="1">IFERROR(__xludf.DUMMYFUNCTION("""COMPUTED_VALUE"""),"% de Avance en la Gestión del Plan de Expansión")</f>
        <v>% de Avance en la Gestión del Plan de Expansión</v>
      </c>
    </row>
    <row r="366" spans="1:2">
      <c r="A366" s="31" t="str">
        <f ca="1">IFERROR(__xludf.DUMMYFUNCTION("""COMPUTED_VALUE"""),"Subdirección de Energía Eléctrica - GIT Generación y Registro")</f>
        <v>Subdirección de Energía Eléctrica - GIT Generación y Registro</v>
      </c>
      <c r="B366" s="31" t="str">
        <f ca="1">IFERROR(__xludf.DUMMYFUNCTION("""COMPUTED_VALUE"""),"% de Avance en la Gestión del Plan de Expansión")</f>
        <v>% de Avance en la Gestión del Plan de Expansión</v>
      </c>
    </row>
    <row r="367" spans="1:2">
      <c r="A367" s="31" t="str">
        <f ca="1">IFERROR(__xludf.DUMMYFUNCTION("""COMPUTED_VALUE"""),"Subdirección de Energía Eléctrica - GIT Generación y Registro")</f>
        <v>Subdirección de Energía Eléctrica - GIT Generación y Registro</v>
      </c>
      <c r="B367" s="31" t="str">
        <f ca="1">IFERROR(__xludf.DUMMYFUNCTION("""COMPUTED_VALUE"""),"% de Avance en la Gestión del Plan de Expansión")</f>
        <v>% de Avance en la Gestión del Plan de Expansión</v>
      </c>
    </row>
    <row r="368" spans="1:2">
      <c r="A368" s="31" t="str">
        <f ca="1">IFERROR(__xludf.DUMMYFUNCTION("""COMPUTED_VALUE"""),"Subdirección de Energía Eléctrica - GIT Generación y Registro")</f>
        <v>Subdirección de Energía Eléctrica - GIT Generación y Registro</v>
      </c>
      <c r="B368" s="31" t="str">
        <f ca="1">IFERROR(__xludf.DUMMYFUNCTION("""COMPUTED_VALUE"""),"% de Avance en la Gestión del Plan de Expansión")</f>
        <v>% de Avance en la Gestión del Plan de Expansión</v>
      </c>
    </row>
    <row r="369" spans="1:2">
      <c r="A369" s="31" t="str">
        <f ca="1">IFERROR(__xludf.DUMMYFUNCTION("""COMPUTED_VALUE"""),"Subdirección de Energía Eléctrica - GIT Generación y Registro")</f>
        <v>Subdirección de Energía Eléctrica - GIT Generación y Registro</v>
      </c>
      <c r="B369" s="31" t="str">
        <f ca="1">IFERROR(__xludf.DUMMYFUNCTION("""COMPUTED_VALUE"""),"% de Avance en la Gestión del Plan de Expansión")</f>
        <v>% de Avance en la Gestión del Plan de Expansión</v>
      </c>
    </row>
    <row r="370" spans="1:2">
      <c r="A370" s="31" t="str">
        <f ca="1">IFERROR(__xludf.DUMMYFUNCTION("""COMPUTED_VALUE"""),"Subdirección de Energía Eléctrica - GIT Generación y Registro")</f>
        <v>Subdirección de Energía Eléctrica - GIT Generación y Registro</v>
      </c>
      <c r="B370" s="31" t="str">
        <f ca="1">IFERROR(__xludf.DUMMYFUNCTION("""COMPUTED_VALUE"""),"% de Avance en la Gestión del Plan de Expansión")</f>
        <v>% de Avance en la Gestión del Plan de Expansión</v>
      </c>
    </row>
    <row r="371" spans="1:2">
      <c r="A371" s="31" t="str">
        <f ca="1">IFERROR(__xludf.DUMMYFUNCTION("""COMPUTED_VALUE"""),"Subdirección de Energía Eléctrica - GIT Generación y Registro")</f>
        <v>Subdirección de Energía Eléctrica - GIT Generación y Registro</v>
      </c>
      <c r="B371" s="31" t="str">
        <f ca="1">IFERROR(__xludf.DUMMYFUNCTION("""COMPUTED_VALUE"""),"% de Avance en la Gestión del Plan de Expansión")</f>
        <v>% de Avance en la Gestión del Plan de Expansión</v>
      </c>
    </row>
    <row r="372" spans="1:2">
      <c r="A372" s="31" t="str">
        <f ca="1">IFERROR(__xludf.DUMMYFUNCTION("""COMPUTED_VALUE"""),"Subdirección de Energía Eléctrica - GIT Generación y Registro")</f>
        <v>Subdirección de Energía Eléctrica - GIT Generación y Registro</v>
      </c>
      <c r="B372" s="31" t="str">
        <f ca="1">IFERROR(__xludf.DUMMYFUNCTION("""COMPUTED_VALUE"""),"#Oficios emitidos en tiempo/# Solicitudes")</f>
        <v>#Oficios emitidos en tiempo/# Solicitudes</v>
      </c>
    </row>
    <row r="373" spans="1:2">
      <c r="A373" s="31" t="str">
        <f ca="1">IFERROR(__xludf.DUMMYFUNCTION("""COMPUTED_VALUE"""),"Subdirección de Energía Eléctrica - GIT Generación y Registro")</f>
        <v>Subdirección de Energía Eléctrica - GIT Generación y Registro</v>
      </c>
      <c r="B373" s="31" t="str">
        <f ca="1">IFERROR(__xludf.DUMMYFUNCTION("""COMPUTED_VALUE"""),"#Informes publicados/3")</f>
        <v>#Informes publicados/3</v>
      </c>
    </row>
    <row r="374" spans="1:2">
      <c r="A374" s="31" t="str">
        <f ca="1">IFERROR(__xludf.DUMMYFUNCTION("""COMPUTED_VALUE"""),"Subdirección de Energía Eléctrica - GIT Generación y Registro")</f>
        <v>Subdirección de Energía Eléctrica - GIT Generación y Registro</v>
      </c>
      <c r="B374" s="31" t="str">
        <f ca="1">IFERROR(__xludf.DUMMYFUNCTION("""COMPUTED_VALUE"""),"#Oficios emitidos en tiempo/# Solicitudes")</f>
        <v>#Oficios emitidos en tiempo/# Solicitudes</v>
      </c>
    </row>
    <row r="375" spans="1:2">
      <c r="A375" s="31" t="str">
        <f ca="1">IFERROR(__xludf.DUMMYFUNCTION("""COMPUTED_VALUE"""),"Subdirección de Energía Eléctrica - GIT Generación y Registro")</f>
        <v>Subdirección de Energía Eléctrica - GIT Generación y Registro</v>
      </c>
      <c r="B375" s="31" t="str">
        <f ca="1">IFERROR(__xludf.DUMMYFUNCTION("""COMPUTED_VALUE"""),"#Informes publicados/3")</f>
        <v>#Informes publicados/3</v>
      </c>
    </row>
    <row r="376" spans="1:2">
      <c r="A376" s="31" t="str">
        <f ca="1">IFERROR(__xludf.DUMMYFUNCTION("""COMPUTED_VALUE"""),"Subdirección de Energía Eléctrica - GIT Generación y Registro")</f>
        <v>Subdirección de Energía Eléctrica - GIT Generación y Registro</v>
      </c>
      <c r="B376" s="31" t="str">
        <f ca="1">IFERROR(__xludf.DUMMYFUNCTION("""COMPUTED_VALUE"""),"#Oficios emitidos en tiempo/# Solicitudes")</f>
        <v>#Oficios emitidos en tiempo/# Solicitudes</v>
      </c>
    </row>
    <row r="377" spans="1:2">
      <c r="A377" s="31" t="str">
        <f ca="1">IFERROR(__xludf.DUMMYFUNCTION("""COMPUTED_VALUE"""),"Subdirección de Energía Eléctrica - GIT Generación y Registro")</f>
        <v>Subdirección de Energía Eléctrica - GIT Generación y Registro</v>
      </c>
      <c r="B377" s="31" t="str">
        <f ca="1">IFERROR(__xludf.DUMMYFUNCTION("""COMPUTED_VALUE"""),"#Informes publicados/3")</f>
        <v>#Informes publicados/3</v>
      </c>
    </row>
    <row r="378" spans="1:2">
      <c r="A378" s="31" t="str">
        <f ca="1">IFERROR(__xludf.DUMMYFUNCTION("""COMPUTED_VALUE"""),"Subdirección de Energía Eléctrica - GIT Generación y Registro")</f>
        <v>Subdirección de Energía Eléctrica - GIT Generación y Registro</v>
      </c>
      <c r="B378" s="31" t="str">
        <f ca="1">IFERROR(__xludf.DUMMYFUNCTION("""COMPUTED_VALUE"""),"#Oficios emitidos en tiempo/# Solicitudes")</f>
        <v>#Oficios emitidos en tiempo/# Solicitudes</v>
      </c>
    </row>
    <row r="379" spans="1:2">
      <c r="A379" s="31" t="str">
        <f ca="1">IFERROR(__xludf.DUMMYFUNCTION("""COMPUTED_VALUE"""),"Subdirección de Energía Eléctrica - GIT Generación y Registro")</f>
        <v>Subdirección de Energía Eléctrica - GIT Generación y Registro</v>
      </c>
      <c r="B379" s="31" t="str">
        <f ca="1">IFERROR(__xludf.DUMMYFUNCTION("""COMPUTED_VALUE"""),"#Informes publicados/3")</f>
        <v>#Informes publicados/3</v>
      </c>
    </row>
    <row r="380" spans="1:2">
      <c r="A380" s="31" t="str">
        <f ca="1">IFERROR(__xludf.DUMMYFUNCTION("""COMPUTED_VALUE"""),"Subdirección de Energía Eléctrica - GIT Generación y Registro")</f>
        <v>Subdirección de Energía Eléctrica - GIT Generación y Registro</v>
      </c>
      <c r="B380" s="31" t="str">
        <f ca="1">IFERROR(__xludf.DUMMYFUNCTION("""COMPUTED_VALUE"""),"#Oficios emitidos en tiempo/# Solicitudes")</f>
        <v>#Oficios emitidos en tiempo/# Solicitudes</v>
      </c>
    </row>
    <row r="381" spans="1:2">
      <c r="A381" s="31" t="str">
        <f ca="1">IFERROR(__xludf.DUMMYFUNCTION("""COMPUTED_VALUE"""),"Subdirección de Energía Eléctrica - GIT Generación y Registro")</f>
        <v>Subdirección de Energía Eléctrica - GIT Generación y Registro</v>
      </c>
      <c r="B381" s="31" t="str">
        <f ca="1">IFERROR(__xludf.DUMMYFUNCTION("""COMPUTED_VALUE"""),"#Informes publicados/3")</f>
        <v>#Informes publicados/3</v>
      </c>
    </row>
    <row r="382" spans="1:2">
      <c r="A382" s="31" t="str">
        <f ca="1">IFERROR(__xludf.DUMMYFUNCTION("""COMPUTED_VALUE"""),"Subdirección de Energía Eléctrica - GIT Generación y Registro")</f>
        <v>Subdirección de Energía Eléctrica - GIT Generación y Registro</v>
      </c>
      <c r="B382" s="31" t="str">
        <f ca="1">IFERROR(__xludf.DUMMYFUNCTION("""COMPUTED_VALUE"""),"#Oficios emitidos en tiempo/# Solicitudes")</f>
        <v>#Oficios emitidos en tiempo/# Solicitudes</v>
      </c>
    </row>
    <row r="383" spans="1:2">
      <c r="A383" s="31" t="str">
        <f ca="1">IFERROR(__xludf.DUMMYFUNCTION("""COMPUTED_VALUE"""),"Subdirección de Energía Eléctrica - GIT Generación y Registro")</f>
        <v>Subdirección de Energía Eléctrica - GIT Generación y Registro</v>
      </c>
      <c r="B383" s="31" t="str">
        <f ca="1">IFERROR(__xludf.DUMMYFUNCTION("""COMPUTED_VALUE"""),"#Informes publicados/3")</f>
        <v>#Informes publicados/3</v>
      </c>
    </row>
    <row r="384" spans="1:2">
      <c r="A384" s="31" t="str">
        <f ca="1">IFERROR(__xludf.DUMMYFUNCTION("""COMPUTED_VALUE"""),"Subdirección de Energía Eléctrica - GIT Generación y Registro")</f>
        <v>Subdirección de Energía Eléctrica - GIT Generación y Registro</v>
      </c>
      <c r="B384" s="31" t="str">
        <f ca="1">IFERROR(__xludf.DUMMYFUNCTION("""COMPUTED_VALUE"""),"#Oficios emitidos en tiempo/# Solicitudes")</f>
        <v>#Oficios emitidos en tiempo/# Solicitudes</v>
      </c>
    </row>
    <row r="385" spans="1:2">
      <c r="A385" s="31" t="str">
        <f ca="1">IFERROR(__xludf.DUMMYFUNCTION("""COMPUTED_VALUE"""),"Subdirección de Energía Eléctrica - GIT Generación y Registro")</f>
        <v>Subdirección de Energía Eléctrica - GIT Generación y Registro</v>
      </c>
      <c r="B385" s="31" t="str">
        <f ca="1">IFERROR(__xludf.DUMMYFUNCTION("""COMPUTED_VALUE"""),"#Informes publicados/3")</f>
        <v>#Informes publicados/3</v>
      </c>
    </row>
    <row r="386" spans="1:2">
      <c r="A386" s="31" t="str">
        <f ca="1">IFERROR(__xludf.DUMMYFUNCTION("""COMPUTED_VALUE"""),"Subdirección de Energía Eléctrica - GIT Generación y Registro")</f>
        <v>Subdirección de Energía Eléctrica - GIT Generación y Registro</v>
      </c>
      <c r="B386" s="31" t="str">
        <f ca="1">IFERROR(__xludf.DUMMYFUNCTION("""COMPUTED_VALUE"""),"#Oficios emitidos en tiempo/# Solicitudes")</f>
        <v>#Oficios emitidos en tiempo/# Solicitudes</v>
      </c>
    </row>
    <row r="387" spans="1:2">
      <c r="A387" s="31" t="str">
        <f ca="1">IFERROR(__xludf.DUMMYFUNCTION("""COMPUTED_VALUE"""),"Subdirección de Energía Eléctrica - GIT Generación y Registro")</f>
        <v>Subdirección de Energía Eléctrica - GIT Generación y Registro</v>
      </c>
      <c r="B387" s="31" t="str">
        <f ca="1">IFERROR(__xludf.DUMMYFUNCTION("""COMPUTED_VALUE"""),"#Informes publicados/3")</f>
        <v>#Informes publicados/3</v>
      </c>
    </row>
    <row r="388" spans="1:2">
      <c r="A388" s="31" t="str">
        <f ca="1">IFERROR(__xludf.DUMMYFUNCTION("""COMPUTED_VALUE"""),"Subdirección de Energía Eléctrica - GIT Generación y Registro")</f>
        <v>Subdirección de Energía Eléctrica - GIT Generación y Registro</v>
      </c>
      <c r="B388" s="31" t="str">
        <f ca="1">IFERROR(__xludf.DUMMYFUNCTION("""COMPUTED_VALUE"""),"% de avance informes de seguimiento")</f>
        <v>% de avance informes de seguimiento</v>
      </c>
    </row>
    <row r="389" spans="1:2">
      <c r="A389" s="31" t="str">
        <f ca="1">IFERROR(__xludf.DUMMYFUNCTION("""COMPUTED_VALUE"""),"Subdirección de Energía Eléctrica - GIT Generación y Registro")</f>
        <v>Subdirección de Energía Eléctrica - GIT Generación y Registro</v>
      </c>
      <c r="B389" s="31" t="str">
        <f ca="1">IFERROR(__xludf.DUMMYFUNCTION("""COMPUTED_VALUE"""),"% de avance")</f>
        <v>% de avance</v>
      </c>
    </row>
    <row r="390" spans="1:2">
      <c r="A390" s="31" t="str">
        <f ca="1">IFERROR(__xludf.DUMMYFUNCTION("""COMPUTED_VALUE"""),"Subdirección de Energía Eléctrica - GIT Generación y Registro")</f>
        <v>Subdirección de Energía Eléctrica - GIT Generación y Registro</v>
      </c>
      <c r="B390" s="31" t="str">
        <f ca="1">IFERROR(__xludf.DUMMYFUNCTION("""COMPUTED_VALUE"""),"% de avance")</f>
        <v>% de avance</v>
      </c>
    </row>
    <row r="391" spans="1:2">
      <c r="A391" s="31" t="str">
        <f ca="1">IFERROR(__xludf.DUMMYFUNCTION("""COMPUTED_VALUE"""),"Subdirección de Energía Eléctrica - GIT Generación y Registro")</f>
        <v>Subdirección de Energía Eléctrica - GIT Generación y Registro</v>
      </c>
      <c r="B391" s="31" t="str">
        <f ca="1">IFERROR(__xludf.DUMMYFUNCTION("""COMPUTED_VALUE"""),"% de avance")</f>
        <v>% de avance</v>
      </c>
    </row>
    <row r="392" spans="1:2">
      <c r="A392" s="31" t="str">
        <f ca="1">IFERROR(__xludf.DUMMYFUNCTION("""COMPUTED_VALUE"""),"Subdirección de Energía Eléctrica - GIT Generación y Registro")</f>
        <v>Subdirección de Energía Eléctrica - GIT Generación y Registro</v>
      </c>
      <c r="B392" s="31" t="str">
        <f ca="1">IFERROR(__xludf.DUMMYFUNCTION("""COMPUTED_VALUE"""),"% de avance")</f>
        <v>% de avance</v>
      </c>
    </row>
    <row r="393" spans="1:2">
      <c r="A393" s="31" t="str">
        <f ca="1">IFERROR(__xludf.DUMMYFUNCTION("""COMPUTED_VALUE"""),"Subdirección de Energía Eléctrica - GIT Generación y Registro")</f>
        <v>Subdirección de Energía Eléctrica - GIT Generación y Registro</v>
      </c>
      <c r="B393" s="31" t="str">
        <f ca="1">IFERROR(__xludf.DUMMYFUNCTION("""COMPUTED_VALUE"""),"% de avance")</f>
        <v>% de avance</v>
      </c>
    </row>
    <row r="394" spans="1:2">
      <c r="A394" s="31" t="str">
        <f ca="1">IFERROR(__xludf.DUMMYFUNCTION("""COMPUTED_VALUE"""),"Subdirección de Energía Eléctrica - GIT Generación y Registro")</f>
        <v>Subdirección de Energía Eléctrica - GIT Generación y Registro</v>
      </c>
      <c r="B394" s="31" t="str">
        <f ca="1">IFERROR(__xludf.DUMMYFUNCTION("""COMPUTED_VALUE"""),"% de avance")</f>
        <v>% de avance</v>
      </c>
    </row>
    <row r="395" spans="1:2">
      <c r="A395" s="31" t="str">
        <f ca="1">IFERROR(__xludf.DUMMYFUNCTION("""COMPUTED_VALUE"""),"Subdirección de Energía Eléctrica - GIT Generación y Registro")</f>
        <v>Subdirección de Energía Eléctrica - GIT Generación y Registro</v>
      </c>
      <c r="B395" s="31" t="str">
        <f ca="1">IFERROR(__xludf.DUMMYFUNCTION("""COMPUTED_VALUE"""),"% de avance")</f>
        <v>% de avance</v>
      </c>
    </row>
    <row r="396" spans="1:2">
      <c r="A396" s="31" t="str">
        <f ca="1">IFERROR(__xludf.DUMMYFUNCTION("""COMPUTED_VALUE"""),"Subdirección de Energía Eléctrica - GIT Cobertura")</f>
        <v>Subdirección de Energía Eléctrica - GIT Cobertura</v>
      </c>
      <c r="B396" s="31" t="str">
        <f ca="1">IFERROR(__xludf.DUMMYFUNCTION("""COMPUTED_VALUE"""),"# de solicitudes enviadas / 
 # de solicitudes programadas")</f>
        <v># de solicitudes enviadas / 
 # de solicitudes programadas</v>
      </c>
    </row>
    <row r="397" spans="1:2">
      <c r="A397" s="31" t="str">
        <f ca="1">IFERROR(__xludf.DUMMYFUNCTION("""COMPUTED_VALUE"""),"Subdirección de Energía Eléctrica - GIT Cobertura")</f>
        <v>Subdirección de Energía Eléctrica - GIT Cobertura</v>
      </c>
      <c r="B397" s="31" t="str">
        <f ca="1">IFERROR(__xludf.DUMMYFUNCTION("""COMPUTED_VALUE"""),"% avance")</f>
        <v>% avance</v>
      </c>
    </row>
    <row r="398" spans="1:2">
      <c r="A398" s="31" t="str">
        <f ca="1">IFERROR(__xludf.DUMMYFUNCTION("""COMPUTED_VALUE"""),"Subdirección de Energía Eléctrica - GIT Cobertura")</f>
        <v>Subdirección de Energía Eléctrica - GIT Cobertura</v>
      </c>
      <c r="B398" s="31" t="str">
        <f ca="1">IFERROR(__xludf.DUMMYFUNCTION("""COMPUTED_VALUE"""),"% avance del documento para publicación")</f>
        <v>% avance del documento para publicación</v>
      </c>
    </row>
    <row r="399" spans="1:2">
      <c r="A399" s="31" t="str">
        <f ca="1">IFERROR(__xludf.DUMMYFUNCTION("""COMPUTED_VALUE"""),"Subdirección de Energía Eléctrica - GIT Cobertura")</f>
        <v>Subdirección de Energía Eléctrica - GIT Cobertura</v>
      </c>
      <c r="B399" s="31" t="str">
        <f ca="1">IFERROR(__xludf.DUMMYFUNCTION("""COMPUTED_VALUE"""),"% avance")</f>
        <v>% avance</v>
      </c>
    </row>
    <row r="400" spans="1:2">
      <c r="A400" s="31" t="str">
        <f ca="1">IFERROR(__xludf.DUMMYFUNCTION("""COMPUTED_VALUE"""),"Subdirección de Energía Eléctrica - GIT Cobertura")</f>
        <v>Subdirección de Energía Eléctrica - GIT Cobertura</v>
      </c>
      <c r="B400" s="31" t="str">
        <f ca="1">IFERROR(__xludf.DUMMYFUNCTION("""COMPUTED_VALUE"""),"% avance")</f>
        <v>% avance</v>
      </c>
    </row>
    <row r="401" spans="1:2">
      <c r="A401" s="31" t="str">
        <f ca="1">IFERROR(__xludf.DUMMYFUNCTION("""COMPUTED_VALUE"""),"Subdirección de Energía Eléctrica - GIT Cobertura")</f>
        <v>Subdirección de Energía Eléctrica - GIT Cobertura</v>
      </c>
      <c r="B401" s="31" t="str">
        <f ca="1">IFERROR(__xludf.DUMMYFUNCTION("""COMPUTED_VALUE"""),"% avance")</f>
        <v>% avance</v>
      </c>
    </row>
    <row r="402" spans="1:2">
      <c r="A402" s="31" t="str">
        <f ca="1">IFERROR(__xludf.DUMMYFUNCTION("""COMPUTED_VALUE"""),"Subdirección de Energía Eléctrica - GIT Cobertura")</f>
        <v>Subdirección de Energía Eléctrica - GIT Cobertura</v>
      </c>
      <c r="B402" s="31" t="str">
        <f ca="1">IFERROR(__xludf.DUMMYFUNCTION("""COMPUTED_VALUE"""),"% avance")</f>
        <v>% avance</v>
      </c>
    </row>
    <row r="403" spans="1:2">
      <c r="A403" s="31" t="str">
        <f ca="1">IFERROR(__xludf.DUMMYFUNCTION("""COMPUTED_VALUE"""),"Subdirección de Energía Eléctrica - GIT Cobertura")</f>
        <v>Subdirección de Energía Eléctrica - GIT Cobertura</v>
      </c>
      <c r="B403" s="31" t="str">
        <f ca="1">IFERROR(__xludf.DUMMYFUNCTION("""COMPUTED_VALUE"""),"% avance")</f>
        <v>% avance</v>
      </c>
    </row>
    <row r="404" spans="1:2">
      <c r="A404" s="31" t="str">
        <f ca="1">IFERROR(__xludf.DUMMYFUNCTION("""COMPUTED_VALUE"""),"Subdirección de Energía Eléctrica - GIT Cobertura")</f>
        <v>Subdirección de Energía Eléctrica - GIT Cobertura</v>
      </c>
      <c r="B404" s="31" t="str">
        <f ca="1">IFERROR(__xludf.DUMMYFUNCTION("""COMPUTED_VALUE"""),"% avance")</f>
        <v>% avance</v>
      </c>
    </row>
    <row r="405" spans="1:2">
      <c r="A405" s="31" t="str">
        <f ca="1">IFERROR(__xludf.DUMMYFUNCTION("""COMPUTED_VALUE"""),"Subdirección de Energía Eléctrica - GIT Cobertura")</f>
        <v>Subdirección de Energía Eléctrica - GIT Cobertura</v>
      </c>
      <c r="B405" s="31" t="str">
        <f ca="1">IFERROR(__xludf.DUMMYFUNCTION("""COMPUTED_VALUE"""),"% avance")</f>
        <v>% avance</v>
      </c>
    </row>
    <row r="406" spans="1:2">
      <c r="A406" s="31" t="str">
        <f ca="1">IFERROR(__xludf.DUMMYFUNCTION("""COMPUTED_VALUE"""),"Subdirección de Energía Eléctrica - GIT Cobertura")</f>
        <v>Subdirección de Energía Eléctrica - GIT Cobertura</v>
      </c>
      <c r="B406" s="31" t="str">
        <f ca="1">IFERROR(__xludf.DUMMYFUNCTION("""COMPUTED_VALUE"""),"% avance")</f>
        <v>% avance</v>
      </c>
    </row>
    <row r="407" spans="1:2">
      <c r="A407" s="31" t="str">
        <f ca="1">IFERROR(__xludf.DUMMYFUNCTION("""COMPUTED_VALUE"""),"Subdirección de Energía Eléctrica - GIT Cobertura")</f>
        <v>Subdirección de Energía Eléctrica - GIT Cobertura</v>
      </c>
      <c r="B407" s="31" t="str">
        <f ca="1">IFERROR(__xludf.DUMMYFUNCTION("""COMPUTED_VALUE"""),"% avance")</f>
        <v>% avance</v>
      </c>
    </row>
    <row r="408" spans="1:2">
      <c r="A408" s="31" t="str">
        <f ca="1">IFERROR(__xludf.DUMMYFUNCTION("""COMPUTED_VALUE"""),"Subdirección de Energía Eléctrica - GIT Cobertura")</f>
        <v>Subdirección de Energía Eléctrica - GIT Cobertura</v>
      </c>
      <c r="B408" s="31" t="str">
        <f ca="1">IFERROR(__xludf.DUMMYFUNCTION("""COMPUTED_VALUE"""),"% avance")</f>
        <v>% avance</v>
      </c>
    </row>
    <row r="409" spans="1:2">
      <c r="A409" s="31" t="str">
        <f ca="1">IFERROR(__xludf.DUMMYFUNCTION("""COMPUTED_VALUE"""),"Subdirección de Energía Eléctrica - GIT Cobertura")</f>
        <v>Subdirección de Energía Eléctrica - GIT Cobertura</v>
      </c>
      <c r="B409" s="31" t="str">
        <f ca="1">IFERROR(__xludf.DUMMYFUNCTION("""COMPUTED_VALUE"""),"#evaluaciones realizadas en tiempo/# Solicitudes")</f>
        <v>#evaluaciones realizadas en tiempo/# Solicitudes</v>
      </c>
    </row>
    <row r="410" spans="1:2">
      <c r="A410" s="31" t="str">
        <f ca="1">IFERROR(__xludf.DUMMYFUNCTION("""COMPUTED_VALUE"""),"Subdirección de Energía Eléctrica - GIT Cobertura")</f>
        <v>Subdirección de Energía Eléctrica - GIT Cobertura</v>
      </c>
      <c r="B410" s="31" t="str">
        <f ca="1">IFERROR(__xludf.DUMMYFUNCTION("""COMPUTED_VALUE"""),"#evaluaciones realizadas en tiempo/# Solicitudes")</f>
        <v>#evaluaciones realizadas en tiempo/# Solicitudes</v>
      </c>
    </row>
    <row r="411" spans="1:2">
      <c r="A411" s="31" t="str">
        <f ca="1">IFERROR(__xludf.DUMMYFUNCTION("""COMPUTED_VALUE"""),"Subdirección de Energía Eléctrica - GIT Cobertura")</f>
        <v>Subdirección de Energía Eléctrica - GIT Cobertura</v>
      </c>
      <c r="B411" s="31" t="str">
        <f ca="1">IFERROR(__xludf.DUMMYFUNCTION("""COMPUTED_VALUE"""),"#evaluaciones realizadas en tiempo/# Solicitudes")</f>
        <v>#evaluaciones realizadas en tiempo/# Solicitudes</v>
      </c>
    </row>
    <row r="412" spans="1:2">
      <c r="A412" s="31" t="str">
        <f ca="1">IFERROR(__xludf.DUMMYFUNCTION("""COMPUTED_VALUE"""),"Subdirección de Energía Eléctrica - GIT Cobertura")</f>
        <v>Subdirección de Energía Eléctrica - GIT Cobertura</v>
      </c>
      <c r="B412" s="31" t="str">
        <f ca="1">IFERROR(__xludf.DUMMYFUNCTION("""COMPUTED_VALUE"""),"% avance")</f>
        <v>% avance</v>
      </c>
    </row>
    <row r="413" spans="1:2">
      <c r="A413" s="31" t="str">
        <f ca="1">IFERROR(__xludf.DUMMYFUNCTION("""COMPUTED_VALUE"""),"Oficina de Gestión de Proyectos de Fondos")</f>
        <v>Oficina de Gestión de Proyectos de Fondos</v>
      </c>
      <c r="B413" s="31" t="str">
        <f ca="1">IFERROR(__xludf.DUMMYFUNCTION("""COMPUTED_VALUE"""),"(N° de proyectos evaluados/Saldo anterior+recibidos al corte definido)+100")</f>
        <v>(N° de proyectos evaluados/Saldo anterior+recibidos al corte definido)+100</v>
      </c>
    </row>
    <row r="414" spans="1:2">
      <c r="A414" s="31" t="str">
        <f ca="1">IFERROR(__xludf.DUMMYFUNCTION("""COMPUTED_VALUE"""),"Oficina de Gestión de Proyectos de Fondos")</f>
        <v>Oficina de Gestión de Proyectos de Fondos</v>
      </c>
      <c r="B414" s="31" t="str">
        <f ca="1">IFERROR(__xludf.DUMMYFUNCTION("""COMPUTED_VALUE"""),"(N° de proyectos evaluados/Saldo anterior+recibidos al corte definido)+100")</f>
        <v>(N° de proyectos evaluados/Saldo anterior+recibidos al corte definido)+100</v>
      </c>
    </row>
    <row r="415" spans="1:2">
      <c r="A415" s="31" t="str">
        <f ca="1">IFERROR(__xludf.DUMMYFUNCTION("""COMPUTED_VALUE"""),"Oficina de Gestión de Proyectos de Fondos")</f>
        <v>Oficina de Gestión de Proyectos de Fondos</v>
      </c>
      <c r="B415" s="31" t="str">
        <f ca="1">IFERROR(__xludf.DUMMYFUNCTION("""COMPUTED_VALUE"""),"(N° de proyectos evaluados/Saldo anterior+recibidos al corte definido)+100")</f>
        <v>(N° de proyectos evaluados/Saldo anterior+recibidos al corte definido)+100</v>
      </c>
    </row>
    <row r="416" spans="1:2">
      <c r="A416" s="31" t="str">
        <f ca="1">IFERROR(__xludf.DUMMYFUNCTION("""COMPUTED_VALUE"""),"Oficina de Gestión de Proyectos de Fondos")</f>
        <v>Oficina de Gestión de Proyectos de Fondos</v>
      </c>
      <c r="B416" s="31" t="str">
        <f ca="1">IFERROR(__xludf.DUMMYFUNCTION("""COMPUTED_VALUE"""),"(N° de proyectos evaluados/Saldo anterior+recibidos al corte definido)+100")</f>
        <v>(N° de proyectos evaluados/Saldo anterior+recibidos al corte definido)+100</v>
      </c>
    </row>
    <row r="417" spans="1:2">
      <c r="A417" s="31" t="str">
        <f ca="1">IFERROR(__xludf.DUMMYFUNCTION("""COMPUTED_VALUE"""),"Oficina de Gestión de Proyectos de Fondos")</f>
        <v>Oficina de Gestión de Proyectos de Fondos</v>
      </c>
      <c r="B417" s="31" t="str">
        <f ca="1">IFERROR(__xludf.DUMMYFUNCTION("""COMPUTED_VALUE"""),"(N° de proyectos evaluados/Saldo anterior+recibidos al corte definido)+100")</f>
        <v>(N° de proyectos evaluados/Saldo anterior+recibidos al corte definido)+100</v>
      </c>
    </row>
    <row r="418" spans="1:2">
      <c r="A418" s="31" t="str">
        <f ca="1">IFERROR(__xludf.DUMMYFUNCTION("""COMPUTED_VALUE"""),"Oficina de Gestión de Proyectos de Fondos")</f>
        <v>Oficina de Gestión de Proyectos de Fondos</v>
      </c>
      <c r="B418" s="31" t="str">
        <f ca="1">IFERROR(__xludf.DUMMYFUNCTION("""COMPUTED_VALUE"""),"(N° de proyectos evaluados/Saldo anterior+recibidos al corte definido)+100")</f>
        <v>(N° de proyectos evaluados/Saldo anterior+recibidos al corte definido)+100</v>
      </c>
    </row>
    <row r="419" spans="1:2">
      <c r="A419" s="31" t="str">
        <f ca="1">IFERROR(__xludf.DUMMYFUNCTION("""COMPUTED_VALUE"""),"Oficina de Gestión de Proyectos de Fondos")</f>
        <v>Oficina de Gestión de Proyectos de Fondos</v>
      </c>
      <c r="B419" s="31" t="str">
        <f ca="1">IFERROR(__xludf.DUMMYFUNCTION("""COMPUTED_VALUE"""),"(N° de proyectos evaluados/Saldo anterior+recibidos al corte definido)+100")</f>
        <v>(N° de proyectos evaluados/Saldo anterior+recibidos al corte definido)+100</v>
      </c>
    </row>
    <row r="420" spans="1:2">
      <c r="A420" s="31" t="str">
        <f ca="1">IFERROR(__xludf.DUMMYFUNCTION("""COMPUTED_VALUE"""),"Oficina de Gestión de Proyectos de Fondos")</f>
        <v>Oficina de Gestión de Proyectos de Fondos</v>
      </c>
      <c r="B420" s="31" t="str">
        <f ca="1">IFERROR(__xludf.DUMMYFUNCTION("""COMPUTED_VALUE"""),"(N° de proyectos evaluados/Saldo anterior+recibidos al corte definido)+100")</f>
        <v>(N° de proyectos evaluados/Saldo anterior+recibidos al corte definido)+100</v>
      </c>
    </row>
    <row r="421" spans="1:2">
      <c r="A421" s="31" t="str">
        <f ca="1">IFERROR(__xludf.DUMMYFUNCTION("""COMPUTED_VALUE"""),"Oficina de Gestión de Proyectos de Fondos")</f>
        <v>Oficina de Gestión de Proyectos de Fondos</v>
      </c>
      <c r="B421" s="31" t="str">
        <f ca="1">IFERROR(__xludf.DUMMYFUNCTION("""COMPUTED_VALUE"""),"(N° de proyectos evaluados/Saldo anterior+recibidos al corte definido)+100")</f>
        <v>(N° de proyectos evaluados/Saldo anterior+recibidos al corte definido)+100</v>
      </c>
    </row>
    <row r="422" spans="1:2">
      <c r="A422" s="31" t="str">
        <f ca="1">IFERROR(__xludf.DUMMYFUNCTION("""COMPUTED_VALUE"""),"Oficina de Gestión de Proyectos de Fondos")</f>
        <v>Oficina de Gestión de Proyectos de Fondos</v>
      </c>
      <c r="B422" s="31" t="str">
        <f ca="1">IFERROR(__xludf.DUMMYFUNCTION("""COMPUTED_VALUE"""),"(N° de proyectos evaluados/Saldo anterior+recibidos al corte definido)+100")</f>
        <v>(N° de proyectos evaluados/Saldo anterior+recibidos al corte definido)+100</v>
      </c>
    </row>
    <row r="423" spans="1:2">
      <c r="A423" s="31" t="str">
        <f ca="1">IFERROR(__xludf.DUMMYFUNCTION("""COMPUTED_VALUE"""),"Oficina de Gestión de Proyectos de Fondos")</f>
        <v>Oficina de Gestión de Proyectos de Fondos</v>
      </c>
      <c r="B423" s="31" t="str">
        <f ca="1">IFERROR(__xludf.DUMMYFUNCTION("""COMPUTED_VALUE"""),"(N° de proyectos evaluados/Saldo anterior+recibidos al corte definido)+100")</f>
        <v>(N° de proyectos evaluados/Saldo anterior+recibidos al corte definido)+100</v>
      </c>
    </row>
    <row r="424" spans="1:2">
      <c r="A424" s="31" t="str">
        <f ca="1">IFERROR(__xludf.DUMMYFUNCTION("""COMPUTED_VALUE"""),"Oficina de Gestión de Proyectos de Fondos")</f>
        <v>Oficina de Gestión de Proyectos de Fondos</v>
      </c>
      <c r="B424" s="31" t="str">
        <f ca="1">IFERROR(__xludf.DUMMYFUNCTION("""COMPUTED_VALUE"""),"(N° de proyectos evaluados/Saldo anterior+recibidos al corte definido)+100")</f>
        <v>(N° de proyectos evaluados/Saldo anterior+recibidos al corte definido)+100</v>
      </c>
    </row>
    <row r="425" spans="1:2">
      <c r="A425" s="31" t="str">
        <f ca="1">IFERROR(__xludf.DUMMYFUNCTION("""COMPUTED_VALUE"""),"Oficina de Gestión de Proyectos de Fondos")</f>
        <v>Oficina de Gestión de Proyectos de Fondos</v>
      </c>
      <c r="B425" s="31" t="str">
        <f ca="1">IFERROR(__xludf.DUMMYFUNCTION("""COMPUTED_VALUE"""),"(N° de proyectos evaluados/Saldo anterior+recibidos al corte definido)+100")</f>
        <v>(N° de proyectos evaluados/Saldo anterior+recibidos al corte definido)+100</v>
      </c>
    </row>
    <row r="426" spans="1:2">
      <c r="A426" s="31" t="str">
        <f ca="1">IFERROR(__xludf.DUMMYFUNCTION("""COMPUTED_VALUE"""),"Oficina de Gestión de Proyectos de Fondos")</f>
        <v>Oficina de Gestión de Proyectos de Fondos</v>
      </c>
      <c r="B426" s="31" t="str">
        <f ca="1">IFERROR(__xludf.DUMMYFUNCTION("""COMPUTED_VALUE"""),"(N° de proyectos evaluados/Saldo anterior+recibidos al corte definido)+100")</f>
        <v>(N° de proyectos evaluados/Saldo anterior+recibidos al corte definido)+100</v>
      </c>
    </row>
    <row r="427" spans="1:2">
      <c r="A427" s="31" t="str">
        <f ca="1">IFERROR(__xludf.DUMMYFUNCTION("""COMPUTED_VALUE"""),"Oficina de Gestión de Proyectos de Fondos")</f>
        <v>Oficina de Gestión de Proyectos de Fondos</v>
      </c>
      <c r="B427" s="31" t="str">
        <f ca="1">IFERROR(__xludf.DUMMYFUNCTION("""COMPUTED_VALUE"""),"(N° de proyectos evaluados/Saldo anterior+recibidos al corte definido)+100")</f>
        <v>(N° de proyectos evaluados/Saldo anterior+recibidos al corte definido)+100</v>
      </c>
    </row>
    <row r="428" spans="1:2">
      <c r="A428" s="31" t="str">
        <f ca="1">IFERROR(__xludf.DUMMYFUNCTION("""COMPUTED_VALUE"""),"Oficina de Gestión de Proyectos de Fondos")</f>
        <v>Oficina de Gestión de Proyectos de Fondos</v>
      </c>
      <c r="B428" s="31" t="str">
        <f ca="1">IFERROR(__xludf.DUMMYFUNCTION("""COMPUTED_VALUE"""),"(N° de proyectos evaluados/Saldo anterior+recibidos al corte definido)+100")</f>
        <v>(N° de proyectos evaluados/Saldo anterior+recibidos al corte definido)+100</v>
      </c>
    </row>
    <row r="429" spans="1:2">
      <c r="A429" s="31" t="str">
        <f ca="1">IFERROR(__xludf.DUMMYFUNCTION("""COMPUTED_VALUE"""),"Oficina de Gestión de Proyectos de Fondos")</f>
        <v>Oficina de Gestión de Proyectos de Fondos</v>
      </c>
      <c r="B429" s="31" t="str">
        <f ca="1">IFERROR(__xludf.DUMMYFUNCTION("""COMPUTED_VALUE"""),"(N° de proyectos evaluados/Saldo anterior+recibidos al corte definido)+100")</f>
        <v>(N° de proyectos evaluados/Saldo anterior+recibidos al corte definido)+100</v>
      </c>
    </row>
    <row r="430" spans="1:2">
      <c r="A430" s="31" t="str">
        <f ca="1">IFERROR(__xludf.DUMMYFUNCTION("""COMPUTED_VALUE"""),"Oficina de Gestión de Proyectos de Fondos")</f>
        <v>Oficina de Gestión de Proyectos de Fondos</v>
      </c>
      <c r="B430" s="31" t="str">
        <f ca="1">IFERROR(__xludf.DUMMYFUNCTION("""COMPUTED_VALUE"""),"(N° de proyectos evaluados/Saldo anterior+recibidos al corte definido)+100")</f>
        <v>(N° de proyectos evaluados/Saldo anterior+recibidos al corte definido)+100</v>
      </c>
    </row>
    <row r="431" spans="1:2">
      <c r="A431" s="31" t="str">
        <f ca="1">IFERROR(__xludf.DUMMYFUNCTION("""COMPUTED_VALUE"""),"Oficina de Gestión de Proyectos de Fondos")</f>
        <v>Oficina de Gestión de Proyectos de Fondos</v>
      </c>
      <c r="B431" s="31" t="str">
        <f ca="1">IFERROR(__xludf.DUMMYFUNCTION("""COMPUTED_VALUE"""),"(N° de proyectos evaluados/Saldo anterior+recibidos al corte definido)+100")</f>
        <v>(N° de proyectos evaluados/Saldo anterior+recibidos al corte definido)+100</v>
      </c>
    </row>
    <row r="432" spans="1:2">
      <c r="A432" s="31" t="str">
        <f ca="1">IFERROR(__xludf.DUMMYFUNCTION("""COMPUTED_VALUE"""),"Oficina de Gestión de Proyectos de Fondos")</f>
        <v>Oficina de Gestión de Proyectos de Fondos</v>
      </c>
      <c r="B432" s="31" t="str">
        <f ca="1">IFERROR(__xludf.DUMMYFUNCTION("""COMPUTED_VALUE"""),"(N° de proyectos evaluados/Saldo anterior+recibidos al corte definido)+100")</f>
        <v>(N° de proyectos evaluados/Saldo anterior+recibidos al corte definido)+100</v>
      </c>
    </row>
    <row r="433" spans="1:2">
      <c r="A433" s="31" t="str">
        <f ca="1">IFERROR(__xludf.DUMMYFUNCTION("""COMPUTED_VALUE"""),"Oficina de Gestión de Proyectos de Fondos")</f>
        <v>Oficina de Gestión de Proyectos de Fondos</v>
      </c>
      <c r="B433" s="31" t="str">
        <f ca="1">IFERROR(__xludf.DUMMYFUNCTION("""COMPUTED_VALUE"""),"(N° de proyectos evaluados/Saldo anterior+recibidos al corte definido)+100")</f>
        <v>(N° de proyectos evaluados/Saldo anterior+recibidos al corte definido)+100</v>
      </c>
    </row>
    <row r="434" spans="1:2">
      <c r="A434" s="31" t="str">
        <f ca="1">IFERROR(__xludf.DUMMYFUNCTION("""COMPUTED_VALUE"""),"Oficina de Gestión de Proyectos de Fondos")</f>
        <v>Oficina de Gestión de Proyectos de Fondos</v>
      </c>
      <c r="B434" s="31" t="str">
        <f ca="1">IFERROR(__xludf.DUMMYFUNCTION("""COMPUTED_VALUE"""),"(N° de proyectos evaluados/Saldo anterior+recibidos al corte definido)+100")</f>
        <v>(N° de proyectos evaluados/Saldo anterior+recibidos al corte definido)+100</v>
      </c>
    </row>
    <row r="435" spans="1:2">
      <c r="A435" s="31" t="str">
        <f ca="1">IFERROR(__xludf.DUMMYFUNCTION("""COMPUTED_VALUE"""),"Oficina de Gestión de Proyectos de Fondos")</f>
        <v>Oficina de Gestión de Proyectos de Fondos</v>
      </c>
      <c r="B435" s="31" t="str">
        <f ca="1">IFERROR(__xludf.DUMMYFUNCTION("""COMPUTED_VALUE"""),"(N° de proyectos evaluados/Saldo anterior+recibidos al corte definido)+100")</f>
        <v>(N° de proyectos evaluados/Saldo anterior+recibidos al corte definido)+100</v>
      </c>
    </row>
    <row r="436" spans="1:2">
      <c r="A436" s="31" t="str">
        <f ca="1">IFERROR(__xludf.DUMMYFUNCTION("""COMPUTED_VALUE"""),"Oficina de Gestión de Proyectos de Fondos")</f>
        <v>Oficina de Gestión de Proyectos de Fondos</v>
      </c>
      <c r="B436" s="31" t="str">
        <f ca="1">IFERROR(__xludf.DUMMYFUNCTION("""COMPUTED_VALUE"""),"(N° de proyectos evaluados/Saldo anterior+recibidos al corte definido)+100")</f>
        <v>(N° de proyectos evaluados/Saldo anterior+recibidos al corte definido)+100</v>
      </c>
    </row>
    <row r="437" spans="1:2">
      <c r="A437" s="31" t="str">
        <f ca="1">IFERROR(__xludf.DUMMYFUNCTION("""COMPUTED_VALUE"""),"Oficina de Gestión de Proyectos de Fondos")</f>
        <v>Oficina de Gestión de Proyectos de Fondos</v>
      </c>
      <c r="B437" s="31" t="str">
        <f ca="1">IFERROR(__xludf.DUMMYFUNCTION("""COMPUTED_VALUE"""),"(N° de proyectos evaluados/Saldo anterior+recibidos al corte definido)+100")</f>
        <v>(N° de proyectos evaluados/Saldo anterior+recibidos al corte definido)+100</v>
      </c>
    </row>
    <row r="438" spans="1:2">
      <c r="A438" s="31" t="str">
        <f ca="1">IFERROR(__xludf.DUMMYFUNCTION("""COMPUTED_VALUE"""),"Oficina de Gestión de Proyectos de Fondos")</f>
        <v>Oficina de Gestión de Proyectos de Fondos</v>
      </c>
      <c r="B438" s="31" t="str">
        <f ca="1">IFERROR(__xludf.DUMMYFUNCTION("""COMPUTED_VALUE"""),"(N° de proyectos evaluados/Saldo anterior+recibidos al corte definido)+100")</f>
        <v>(N° de proyectos evaluados/Saldo anterior+recibidos al corte definido)+100</v>
      </c>
    </row>
    <row r="439" spans="1:2">
      <c r="A439" s="31" t="str">
        <f ca="1">IFERROR(__xludf.DUMMYFUNCTION("""COMPUTED_VALUE"""),"Oficina de Gestión de Proyectos de Fondos")</f>
        <v>Oficina de Gestión de Proyectos de Fondos</v>
      </c>
      <c r="B439" s="31" t="str">
        <f ca="1">IFERROR(__xludf.DUMMYFUNCTION("""COMPUTED_VALUE"""),"(N° de proyectos evaluados/Saldo anterior+recibidos al corte definido)+100")</f>
        <v>(N° de proyectos evaluados/Saldo anterior+recibidos al corte definido)+100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3"/>
  <sheetViews>
    <sheetView workbookViewId="0"/>
  </sheetViews>
  <sheetFormatPr baseColWidth="10" defaultColWidth="12.625" defaultRowHeight="15" customHeight="1"/>
  <cols>
    <col min="2" max="2" width="29.125" customWidth="1"/>
    <col min="10" max="10" width="29.5" customWidth="1"/>
  </cols>
  <sheetData>
    <row r="1" spans="1:10">
      <c r="A1" s="32" t="s">
        <v>1245</v>
      </c>
      <c r="B1" s="32" t="s">
        <v>26</v>
      </c>
      <c r="I1" s="32" t="s">
        <v>1246</v>
      </c>
      <c r="J1" s="32" t="s">
        <v>26</v>
      </c>
    </row>
    <row r="2" spans="1:10">
      <c r="A2" s="32" t="s">
        <v>4</v>
      </c>
      <c r="B2" s="32" t="s">
        <v>797</v>
      </c>
      <c r="E2" s="33"/>
      <c r="J2" s="32" t="s">
        <v>27</v>
      </c>
    </row>
    <row r="3" spans="1:10">
      <c r="I3" s="32" t="s">
        <v>4</v>
      </c>
      <c r="J3" s="32" t="s">
        <v>92</v>
      </c>
    </row>
  </sheetData>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x14:formula1>
            <xm:f>Meses!$C$1:$C$4</xm:f>
          </x14:formula1>
          <xm:sqref>B1 J1:J2</xm:sqref>
        </x14:dataValidation>
        <x14:dataValidation type="list" allowBlank="1">
          <x14:formula1>
            <xm:f>'Área y Dependencia'!$A$2:$A$18</xm:f>
          </x14:formula1>
          <xm:sqref>B2 J3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K1001"/>
  <sheetViews>
    <sheetView workbookViewId="0"/>
  </sheetViews>
  <sheetFormatPr baseColWidth="10" defaultColWidth="12.625" defaultRowHeight="15" customHeight="1"/>
  <sheetData>
    <row r="1" spans="1:37" ht="15" customHeight="1">
      <c r="A1" s="1" t="s">
        <v>4</v>
      </c>
      <c r="B1" s="2" t="s">
        <v>5</v>
      </c>
      <c r="C1" s="2" t="s">
        <v>6</v>
      </c>
      <c r="D1" s="2" t="s">
        <v>7</v>
      </c>
      <c r="E1" s="3" t="s">
        <v>8</v>
      </c>
      <c r="F1" s="2" t="s">
        <v>9</v>
      </c>
      <c r="G1" s="2" t="s">
        <v>10</v>
      </c>
      <c r="H1" s="2" t="s">
        <v>11</v>
      </c>
      <c r="I1" s="3" t="s">
        <v>12</v>
      </c>
      <c r="J1" s="2" t="s">
        <v>13</v>
      </c>
      <c r="K1" s="4" t="s">
        <v>14</v>
      </c>
      <c r="L1" s="5" t="s">
        <v>15</v>
      </c>
      <c r="M1" s="6" t="s">
        <v>16</v>
      </c>
      <c r="N1" s="6" t="s">
        <v>17</v>
      </c>
      <c r="O1" s="6" t="s">
        <v>18</v>
      </c>
      <c r="P1" s="6" t="s">
        <v>19</v>
      </c>
      <c r="Q1" s="6" t="s">
        <v>20</v>
      </c>
      <c r="R1" s="7" t="s">
        <v>21</v>
      </c>
      <c r="S1" s="34" t="s">
        <v>22</v>
      </c>
      <c r="T1" s="8" t="s">
        <v>23</v>
      </c>
      <c r="U1" s="9" t="s">
        <v>25</v>
      </c>
      <c r="V1" s="10" t="s">
        <v>26</v>
      </c>
      <c r="W1" s="10" t="s">
        <v>27</v>
      </c>
      <c r="X1" s="10" t="s">
        <v>28</v>
      </c>
      <c r="Y1" s="10" t="s">
        <v>29</v>
      </c>
      <c r="Z1" s="10" t="s">
        <v>30</v>
      </c>
      <c r="AA1" s="10" t="s">
        <v>30</v>
      </c>
      <c r="AB1" s="35"/>
      <c r="AC1" s="35"/>
      <c r="AD1" s="35"/>
      <c r="AE1" s="35"/>
      <c r="AF1" s="35"/>
      <c r="AG1" s="35"/>
      <c r="AH1" s="35"/>
      <c r="AI1" s="35"/>
      <c r="AJ1" s="35"/>
      <c r="AK1" s="35"/>
    </row>
    <row r="2" spans="1:37" ht="15" customHeight="1">
      <c r="A2" s="35" t="str">
        <f ca="1">IFERROR(__xludf.DUMMYFUNCTION("FILTER('PA 2021'!A3:AB441,'PA 2021'!AA3:AA441=Graf!B1,'PA 2021'!A3:A441=Graf!B2)"),"Secretaría General - GIT Gestión Administrativa")</f>
        <v>Secretaría General - GIT Gestión Administrativa</v>
      </c>
      <c r="B2" s="35">
        <f ca="1">IFERROR(__xludf.DUMMYFUNCTION("""COMPUTED_VALUE"""),3)</f>
        <v>3</v>
      </c>
      <c r="C2" s="35" t="str">
        <f ca="1">IFERROR(__xludf.DUMMYFUNCTION("""COMPUTED_VALUE"""),"Gestionar la adopción del programa de gestión documental e implentar su contenido")</f>
        <v>Gestionar la adopción del programa de gestión documental e implentar su contenido</v>
      </c>
      <c r="D2" s="36">
        <f ca="1">IFERROR(__xludf.DUMMYFUNCTION("""COMPUTED_VALUE"""),0.6)</f>
        <v>0.6</v>
      </c>
      <c r="E2" s="35" t="str">
        <f ca="1">IFERROR(__xludf.DUMMYFUNCTION("""COMPUTED_VALUE"""),"3.1")</f>
        <v>3.1</v>
      </c>
      <c r="F2" s="35" t="str">
        <f ca="1">IFERROR(__xludf.DUMMYFUNCTION("""COMPUTED_VALUE"""),"Presentar el proyecto del programa de gestión documental ante el comité de gestión de desarrollo")</f>
        <v>Presentar el proyecto del programa de gestión documental ante el comité de gestión de desarrollo</v>
      </c>
      <c r="G2" s="37">
        <f ca="1">IFERROR(__xludf.DUMMYFUNCTION("""COMPUTED_VALUE"""),0.2)</f>
        <v>0.2</v>
      </c>
      <c r="H2" s="35" t="str">
        <f ca="1">IFERROR(__xludf.DUMMYFUNCTION("""COMPUTED_VALUE"""),"Documento con el programa de gestión documental")</f>
        <v>Documento con el programa de gestión documental</v>
      </c>
      <c r="I2" s="35" t="str">
        <f ca="1">IFERROR(__xludf.DUMMYFUNCTION("""COMPUTED_VALUE"""),"Documento aprobado")</f>
        <v>Documento aprobado</v>
      </c>
      <c r="J2" s="35" t="str">
        <f ca="1">IFERROR(__xludf.DUMMYFUNCTION("""COMPUTED_VALUE"""),"Profesional especializado con funciones de gestión documental y coordinación del grupo interno de trabajo")</f>
        <v>Profesional especializado con funciones de gestión documental y coordinación del grupo interno de trabajo</v>
      </c>
      <c r="K2" s="35" t="str">
        <f ca="1">IFERROR(__xludf.DUMMYFUNCTION("""COMPUTED_VALUE"""),"Abril")</f>
        <v>Abril</v>
      </c>
      <c r="L2" s="35" t="str">
        <f ca="1">IFERROR(__xludf.DUMMYFUNCTION("""COMPUTED_VALUE"""),"N/A")</f>
        <v>N/A</v>
      </c>
      <c r="M2" s="35" t="str">
        <f ca="1">IFERROR(__xludf.DUMMYFUNCTION("""COMPUTED_VALUE"""),"N/A")</f>
        <v>N/A</v>
      </c>
      <c r="N2" s="35" t="str">
        <f ca="1">IFERROR(__xludf.DUMMYFUNCTION("""COMPUTED_VALUE"""),"D3 Gestión para Resultados con Valores")</f>
        <v>D3 Gestión para Resultados con Valores</v>
      </c>
      <c r="O2" s="35" t="str">
        <f ca="1">IFERROR(__xludf.DUMMYFUNCTION("""COMPUTED_VALUE"""),"POLÍTICA 14 Gestión Documental")</f>
        <v>POLÍTICA 14 Gestión Documental</v>
      </c>
      <c r="P2" s="35" t="str">
        <f ca="1">IFERROR(__xludf.DUMMYFUNCTION("""COMPUTED_VALUE"""),"2. Incorporar las mejores prácticas organizacionales y tecnológicas que garanticen calidad e integridad de la gestión pública.")</f>
        <v>2. Incorporar las mejores prácticas organizacionales y tecnológicas que garanticen calidad e integridad de la gestión pública.</v>
      </c>
      <c r="Q2" s="35" t="str">
        <f ca="1">IFERROR(__xludf.DUMMYFUNCTION("""COMPUTED_VALUE"""),"18. Gestion documental")</f>
        <v>18. Gestion documental</v>
      </c>
      <c r="R2" s="35" t="str">
        <f ca="1">IFERROR(__xludf.DUMMYFUNCTION("""COMPUTED_VALUE"""),"1. Plan institucional de archivos de la entidad - PINAR")</f>
        <v>1. Plan institucional de archivos de la entidad - PINAR</v>
      </c>
      <c r="S2" s="37">
        <f ca="1">IFERROR(__xludf.DUMMYFUNCTION("""COMPUTED_VALUE"""),0.16)</f>
        <v>0.16</v>
      </c>
      <c r="T2" s="35" t="str">
        <f ca="1">IFERROR(__xludf.DUMMYFUNCTION("""COMPUTED_VALUE"""),"Marzo")</f>
        <v>Marzo</v>
      </c>
      <c r="U2" s="35" t="str">
        <f ca="1">IFERROR(__xludf.DUMMYFUNCTION("""COMPUTED_VALUE"""),"Se socializará para comentarios del comite de gestión y desarrollo. Este avance constituye el 80% de la meta de la subactividad")</f>
        <v>Se socializará para comentarios del comite de gestión y desarrollo. Este avance constituye el 80% de la meta de la subactividad</v>
      </c>
      <c r="V2" s="35"/>
      <c r="W2" s="35" t="str">
        <f ca="1">IFERROR(__xludf.DUMMYFUNCTION("""COMPUTED_VALUE"""),"")</f>
        <v/>
      </c>
      <c r="X2" s="35" t="str">
        <f ca="1">IFERROR(__xludf.DUMMYFUNCTION("""COMPUTED_VALUE"""),"X")</f>
        <v>X</v>
      </c>
      <c r="Y2" s="35" t="str">
        <f ca="1">IFERROR(__xludf.DUMMYFUNCTION("""COMPUTED_VALUE"""),"")</f>
        <v/>
      </c>
      <c r="Z2" s="35" t="str">
        <f ca="1">IFERROR(__xludf.DUMMYFUNCTION("""COMPUTED_VALUE"""),"")</f>
        <v/>
      </c>
      <c r="AA2" s="35" t="str">
        <f ca="1">IFERROR(__xludf.DUMMYFUNCTION("""COMPUTED_VALUE"""),"Trim 1")</f>
        <v>Trim 1</v>
      </c>
      <c r="AB2" s="35" t="str">
        <f ca="1">IFERROR(__xludf.DUMMYFUNCTION("""COMPUTED_VALUE"""),"Trim 2")</f>
        <v>Trim 2</v>
      </c>
      <c r="AC2" s="35"/>
      <c r="AD2" s="35"/>
      <c r="AE2" s="35"/>
      <c r="AF2" s="35"/>
      <c r="AG2" s="35"/>
      <c r="AH2" s="35"/>
      <c r="AI2" s="35"/>
      <c r="AJ2" s="35"/>
      <c r="AK2" s="35"/>
    </row>
    <row r="3" spans="1:37" ht="15" customHeight="1">
      <c r="A3" s="35"/>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row>
    <row r="4" spans="1:37" ht="15" customHeight="1">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row>
    <row r="5" spans="1:37" ht="15" customHeight="1">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row>
    <row r="6" spans="1:37" ht="15" customHeight="1">
      <c r="A6" s="35"/>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row>
    <row r="7" spans="1:37" ht="15" customHeight="1">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row>
    <row r="8" spans="1:37" ht="15" customHeight="1">
      <c r="A8" s="35"/>
      <c r="B8" s="35"/>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row>
    <row r="9" spans="1:37" ht="15" customHeight="1">
      <c r="A9" s="35"/>
      <c r="B9" s="35"/>
      <c r="C9" s="35"/>
      <c r="D9" s="35"/>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row>
    <row r="10" spans="1:37" ht="15" customHeight="1">
      <c r="A10" s="3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row>
    <row r="11" spans="1:37" ht="15" customHeight="1">
      <c r="A11" s="35"/>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row>
    <row r="12" spans="1:37" ht="15" customHeight="1">
      <c r="A12" s="35"/>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row>
    <row r="13" spans="1:37" ht="15" customHeight="1">
      <c r="A13" s="35"/>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row>
    <row r="14" spans="1:37" ht="15" customHeight="1">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row>
    <row r="15" spans="1:37" ht="15" customHeight="1">
      <c r="A15" s="35"/>
      <c r="B15" s="35"/>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row>
    <row r="16" spans="1:37" ht="15" customHeight="1">
      <c r="A16" s="35"/>
      <c r="B16" s="35"/>
      <c r="C16" s="35"/>
      <c r="D16" s="35"/>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row>
    <row r="17" spans="1:37" ht="15" customHeight="1">
      <c r="A17" s="35"/>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row>
    <row r="18" spans="1:37" ht="15" customHeight="1">
      <c r="A18" s="35"/>
      <c r="B18" s="3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row>
    <row r="19" spans="1:37" ht="15" customHeight="1">
      <c r="A19" s="35"/>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row>
    <row r="20" spans="1:37" ht="15" customHeight="1">
      <c r="A20" s="35"/>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row>
    <row r="21" spans="1:37" ht="15" customHeight="1">
      <c r="A21" s="35"/>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row>
    <row r="22" spans="1:37" ht="15" customHeight="1">
      <c r="A22" s="35"/>
      <c r="B22" s="35"/>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row>
    <row r="23" spans="1:37">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row>
    <row r="24" spans="1:37">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row>
    <row r="25" spans="1:37">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row>
    <row r="26" spans="1:37">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row>
    <row r="27" spans="1:37">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row>
    <row r="28" spans="1:37">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row>
    <row r="29" spans="1:37">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row>
    <row r="30" spans="1:37">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row>
    <row r="31" spans="1:37">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row>
    <row r="32" spans="1:37">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row>
    <row r="33" spans="1:37">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row>
    <row r="34" spans="1:37">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row>
    <row r="35" spans="1:37">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row>
    <row r="36" spans="1:37">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row>
    <row r="37" spans="1:37">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row>
    <row r="38" spans="1:37">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row>
    <row r="39" spans="1:37">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row>
    <row r="40" spans="1:37">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row>
    <row r="41" spans="1:37">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row>
    <row r="42" spans="1:37">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row>
    <row r="43" spans="1:37">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row>
    <row r="44" spans="1:37">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row>
    <row r="45" spans="1:37">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row>
    <row r="46" spans="1:37">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row>
    <row r="47" spans="1:37">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row>
    <row r="48" spans="1:37">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row>
    <row r="49" spans="1:37">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row>
    <row r="50" spans="1:37">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row>
    <row r="51" spans="1:37">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row>
    <row r="52" spans="1:37">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row>
    <row r="53" spans="1:37">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row>
    <row r="54" spans="1:37">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row>
    <row r="55" spans="1:37">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row>
    <row r="56" spans="1:37">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row>
    <row r="57" spans="1:37">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row>
    <row r="58" spans="1:37">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row>
    <row r="59" spans="1:37">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row>
    <row r="60" spans="1:37">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row>
    <row r="61" spans="1:37">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row>
    <row r="62" spans="1:37">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row>
    <row r="63" spans="1:37">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row>
    <row r="64" spans="1:37">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row>
    <row r="65" spans="1:37">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row>
    <row r="66" spans="1:37">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row>
    <row r="67" spans="1:37">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row>
    <row r="68" spans="1:37">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row>
    <row r="69" spans="1:37">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row>
    <row r="70" spans="1:37">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row>
    <row r="71" spans="1:37">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row>
    <row r="72" spans="1:37">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row>
    <row r="73" spans="1:37">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row>
    <row r="74" spans="1:37">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row>
    <row r="75" spans="1:37">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row>
    <row r="76" spans="1:37">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row>
    <row r="77" spans="1:37">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row>
    <row r="78" spans="1:37">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row>
    <row r="79" spans="1:37">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row>
    <row r="80" spans="1:37">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row>
    <row r="81" spans="1:37">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row>
    <row r="82" spans="1:37">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row>
    <row r="83" spans="1:37">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row>
    <row r="84" spans="1:37">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row>
    <row r="85" spans="1:37">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row>
    <row r="86" spans="1:37">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row>
    <row r="87" spans="1:37">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row>
    <row r="88" spans="1:37">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row>
    <row r="89" spans="1:37">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row>
    <row r="90" spans="1:37">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row>
    <row r="91" spans="1:37">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row>
    <row r="92" spans="1:37">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row>
    <row r="93" spans="1:37">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row>
    <row r="94" spans="1:37">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row>
    <row r="95" spans="1:37">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row>
    <row r="96" spans="1:37">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row>
    <row r="97" spans="1:37">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row>
    <row r="98" spans="1:37">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row>
    <row r="99" spans="1:37">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row>
    <row r="100" spans="1:37">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row>
    <row r="101" spans="1:37">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row>
    <row r="102" spans="1:37">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row>
    <row r="103" spans="1:37">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row>
    <row r="104" spans="1:37">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row>
    <row r="105" spans="1:37">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row>
    <row r="106" spans="1:37">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row>
    <row r="107" spans="1:37">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row>
    <row r="108" spans="1:37">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row>
    <row r="109" spans="1:37">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row>
    <row r="110" spans="1:37">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row>
    <row r="111" spans="1:37">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row>
    <row r="112" spans="1:37">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row>
    <row r="113" spans="1:37">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row>
    <row r="114" spans="1:37">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row>
    <row r="115" spans="1:37">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row>
    <row r="116" spans="1:37">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row>
    <row r="117" spans="1:37">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row>
    <row r="118" spans="1:37">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row>
    <row r="119" spans="1:37">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row>
    <row r="120" spans="1:37">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row>
    <row r="121" spans="1:37">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row>
    <row r="122" spans="1:37">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row>
    <row r="123" spans="1:37">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row>
    <row r="124" spans="1:37">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row>
    <row r="125" spans="1:37">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row>
    <row r="126" spans="1:37">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row>
    <row r="127" spans="1:37">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row>
    <row r="128" spans="1:37">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row>
    <row r="129" spans="1:37">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row>
    <row r="130" spans="1:37">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row>
    <row r="131" spans="1:37">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row>
    <row r="132" spans="1:37">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row>
    <row r="133" spans="1:37">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row>
    <row r="134" spans="1:37">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row>
    <row r="135" spans="1:37">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row>
    <row r="136" spans="1:37">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row>
    <row r="137" spans="1:37">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row>
    <row r="138" spans="1:37">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row>
    <row r="139" spans="1:37">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row>
    <row r="140" spans="1:37">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row>
    <row r="141" spans="1:37">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row>
    <row r="142" spans="1:37">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row>
    <row r="143" spans="1:37">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row>
    <row r="144" spans="1:37">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row>
    <row r="145" spans="1:37">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row>
    <row r="146" spans="1:37">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row>
    <row r="147" spans="1:37">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row>
    <row r="148" spans="1:37">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row>
    <row r="149" spans="1:37">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row>
    <row r="150" spans="1:37">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row>
    <row r="151" spans="1:37">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row>
    <row r="152" spans="1:37">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row>
    <row r="153" spans="1:37">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row>
    <row r="154" spans="1:37">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row>
    <row r="155" spans="1:37">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row>
    <row r="156" spans="1:37">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row>
    <row r="157" spans="1:37">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row>
    <row r="158" spans="1:37">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row>
    <row r="159" spans="1:37">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row>
    <row r="160" spans="1:37">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row>
    <row r="161" spans="1:37">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row>
    <row r="162" spans="1:37">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row>
    <row r="163" spans="1:37">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row>
    <row r="164" spans="1:37">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row>
    <row r="165" spans="1:37">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row>
    <row r="166" spans="1:37">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row>
    <row r="167" spans="1:37">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row>
    <row r="168" spans="1:37">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row>
    <row r="169" spans="1:37">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row>
    <row r="170" spans="1:37">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row>
    <row r="171" spans="1:37">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row>
    <row r="172" spans="1:37">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row>
    <row r="173" spans="1:37">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row>
    <row r="174" spans="1:37">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row>
    <row r="175" spans="1:37">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row>
    <row r="176" spans="1:37">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row>
    <row r="177" spans="1:37">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row>
    <row r="178" spans="1:37">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row>
    <row r="179" spans="1:37">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row>
    <row r="180" spans="1:37">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row>
    <row r="181" spans="1:37">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row>
    <row r="182" spans="1:37">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row>
    <row r="183" spans="1:37">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row>
    <row r="184" spans="1:37">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row>
    <row r="185" spans="1:37">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row>
    <row r="186" spans="1:37">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row>
    <row r="187" spans="1:37">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row>
    <row r="188" spans="1:37">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row>
    <row r="189" spans="1:37">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row>
    <row r="190" spans="1:37">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row>
    <row r="191" spans="1:37">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row>
    <row r="192" spans="1:37">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row>
    <row r="193" spans="1:37">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row>
    <row r="194" spans="1:37">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row>
    <row r="195" spans="1:37">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row>
    <row r="196" spans="1:37">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row>
    <row r="197" spans="1:37">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row>
    <row r="198" spans="1:37">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row>
    <row r="199" spans="1:37">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row>
    <row r="200" spans="1:37">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row>
    <row r="201" spans="1:37">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row>
    <row r="202" spans="1:37">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row>
    <row r="203" spans="1:37">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row>
    <row r="204" spans="1:37">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row>
    <row r="205" spans="1:37">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row>
    <row r="206" spans="1:37">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row>
    <row r="207" spans="1:37">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row>
    <row r="208" spans="1:37">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row>
    <row r="209" spans="1:37">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row>
    <row r="210" spans="1:37">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row>
    <row r="211" spans="1:37">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row>
    <row r="212" spans="1:37">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row>
    <row r="213" spans="1:37">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row>
    <row r="214" spans="1:37">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row>
    <row r="215" spans="1:37">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row>
    <row r="216" spans="1:37">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row>
    <row r="217" spans="1:37">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row>
    <row r="218" spans="1:37">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row>
    <row r="219" spans="1:37">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row>
    <row r="220" spans="1:37">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row>
    <row r="221" spans="1:37">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row>
    <row r="222" spans="1:37">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row>
    <row r="223" spans="1:37">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row>
    <row r="224" spans="1:37">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row>
    <row r="225" spans="1:37">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row>
    <row r="226" spans="1:37">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row>
    <row r="227" spans="1:37">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row>
    <row r="228" spans="1:37">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row>
    <row r="229" spans="1:37">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row>
    <row r="230" spans="1:37">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row>
    <row r="231" spans="1:37">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row>
    <row r="232" spans="1:37">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row>
    <row r="233" spans="1:37">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row>
    <row r="234" spans="1:37">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row>
    <row r="235" spans="1:37">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row>
    <row r="236" spans="1:37">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row>
    <row r="237" spans="1:37">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row>
    <row r="238" spans="1:37">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row>
    <row r="239" spans="1:37">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row>
    <row r="240" spans="1:37">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row>
    <row r="241" spans="1:37">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row>
    <row r="242" spans="1:37">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row>
    <row r="243" spans="1:37">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row>
    <row r="244" spans="1:37">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row>
    <row r="245" spans="1:37">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row>
    <row r="246" spans="1:37">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row>
    <row r="247" spans="1:37">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row>
    <row r="248" spans="1:37">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row>
    <row r="249" spans="1:37">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row>
    <row r="250" spans="1:37">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row>
    <row r="251" spans="1:37">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row>
    <row r="252" spans="1:37">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row>
    <row r="253" spans="1:37">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row>
    <row r="254" spans="1:37">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row>
    <row r="255" spans="1:37">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row>
    <row r="256" spans="1:37">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row>
    <row r="257" spans="1:37">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row>
    <row r="258" spans="1:37">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row>
    <row r="259" spans="1:37">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row>
    <row r="260" spans="1:37">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row>
    <row r="261" spans="1:37">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row>
    <row r="262" spans="1:37">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row>
    <row r="263" spans="1:37">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row>
    <row r="264" spans="1:37">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row>
    <row r="265" spans="1:37">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row>
    <row r="266" spans="1:37">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row>
    <row r="267" spans="1:37">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row>
    <row r="268" spans="1:37">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row>
    <row r="269" spans="1:37">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row>
    <row r="270" spans="1:37">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row>
    <row r="271" spans="1:37">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row>
    <row r="272" spans="1:37">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row>
    <row r="273" spans="1:37">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row>
    <row r="274" spans="1:37">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row>
    <row r="275" spans="1:37">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row>
    <row r="276" spans="1:37">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row>
    <row r="277" spans="1:37">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row>
    <row r="278" spans="1:37">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row>
    <row r="279" spans="1:37">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row>
    <row r="280" spans="1:37">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row>
    <row r="281" spans="1:37">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row>
    <row r="282" spans="1:37">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row>
    <row r="283" spans="1:37">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row>
    <row r="284" spans="1:37">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row>
    <row r="285" spans="1:37">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row>
    <row r="286" spans="1:37">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row>
    <row r="287" spans="1:37">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row>
    <row r="288" spans="1:37">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row>
    <row r="289" spans="1:37">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row>
    <row r="290" spans="1:37">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row>
    <row r="291" spans="1:37">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row>
    <row r="292" spans="1:37">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row>
    <row r="293" spans="1:37">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row>
    <row r="294" spans="1:37">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row>
    <row r="295" spans="1:37">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row>
    <row r="296" spans="1:37">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row>
    <row r="297" spans="1:37">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row>
    <row r="298" spans="1:37">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row>
    <row r="299" spans="1:37">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row>
    <row r="300" spans="1:37">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row>
    <row r="301" spans="1:37">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row>
    <row r="302" spans="1:37">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row>
    <row r="303" spans="1:37">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row>
    <row r="304" spans="1:37">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row>
    <row r="305" spans="1:37">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row>
    <row r="306" spans="1:37">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row>
    <row r="307" spans="1:37">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row>
    <row r="308" spans="1:37">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row>
    <row r="309" spans="1:37">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row>
    <row r="310" spans="1:37">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row>
    <row r="311" spans="1:37">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row>
    <row r="312" spans="1:37">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row>
    <row r="313" spans="1:37">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row>
    <row r="314" spans="1:37">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row>
    <row r="315" spans="1:37">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row>
    <row r="316" spans="1:37">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row>
    <row r="317" spans="1:37">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row>
    <row r="318" spans="1:37">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row>
    <row r="319" spans="1:37">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row>
    <row r="320" spans="1:37">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row>
    <row r="321" spans="1:37">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row>
    <row r="322" spans="1:37">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row>
    <row r="323" spans="1:37">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row>
    <row r="324" spans="1:37">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row>
    <row r="325" spans="1:37">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row>
    <row r="326" spans="1:37">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row>
    <row r="327" spans="1:37">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row>
    <row r="328" spans="1:37">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row>
    <row r="329" spans="1:37">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row>
    <row r="330" spans="1:37">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row>
    <row r="331" spans="1:37">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row>
    <row r="332" spans="1:37">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row>
    <row r="333" spans="1:37">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row>
    <row r="334" spans="1:37">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row>
    <row r="335" spans="1:37">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row>
    <row r="336" spans="1:37">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row>
    <row r="337" spans="1:37">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row>
    <row r="338" spans="1:37">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row>
    <row r="339" spans="1:37">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row>
    <row r="340" spans="1:37">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row>
    <row r="341" spans="1:37">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row>
    <row r="342" spans="1:37">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row>
    <row r="343" spans="1:37">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row>
    <row r="344" spans="1:37">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row>
    <row r="345" spans="1:37">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row>
    <row r="346" spans="1:37">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row>
    <row r="347" spans="1:37">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row>
    <row r="348" spans="1:37">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row>
    <row r="349" spans="1:37">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row>
    <row r="350" spans="1:37">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row>
    <row r="351" spans="1:37">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row>
    <row r="352" spans="1:37">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row>
    <row r="353" spans="1:37">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row>
    <row r="354" spans="1:37">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row>
    <row r="355" spans="1:37">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row>
    <row r="356" spans="1:37">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row>
    <row r="357" spans="1:37">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row>
    <row r="358" spans="1:37">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row>
    <row r="359" spans="1:37">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row>
    <row r="360" spans="1:37">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row>
    <row r="361" spans="1:37">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row>
    <row r="362" spans="1:37">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row>
    <row r="363" spans="1:37">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row>
    <row r="364" spans="1:37">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row>
    <row r="365" spans="1:37">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row>
    <row r="366" spans="1:37">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row>
    <row r="367" spans="1:37">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row>
    <row r="368" spans="1:37">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row>
    <row r="369" spans="1:37">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row>
    <row r="370" spans="1:37">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row>
    <row r="371" spans="1:37">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row>
    <row r="372" spans="1:37">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row>
    <row r="373" spans="1:37">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row>
    <row r="374" spans="1:37">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row>
    <row r="375" spans="1:37">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row>
    <row r="376" spans="1:37">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row>
    <row r="377" spans="1:37">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row>
    <row r="378" spans="1:37">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row>
    <row r="379" spans="1:37">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row>
    <row r="380" spans="1:37">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row>
    <row r="381" spans="1:37">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row>
    <row r="382" spans="1:37">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row>
    <row r="383" spans="1:37">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row>
    <row r="384" spans="1:37">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row>
    <row r="385" spans="1:37">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row>
    <row r="386" spans="1:37">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row>
    <row r="387" spans="1:37">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row>
    <row r="388" spans="1:37">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row>
    <row r="389" spans="1:37">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row>
    <row r="390" spans="1:37">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row>
    <row r="391" spans="1:37">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row>
    <row r="392" spans="1:37">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row>
    <row r="393" spans="1:37">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row>
    <row r="394" spans="1:37">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row>
    <row r="395" spans="1:37">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row>
    <row r="396" spans="1:37">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row>
    <row r="397" spans="1:37">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row>
    <row r="398" spans="1:37">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row>
    <row r="399" spans="1:37">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row>
    <row r="400" spans="1:37">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row>
    <row r="401" spans="1:37">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row>
    <row r="402" spans="1:37">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row>
    <row r="403" spans="1:37">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row>
    <row r="404" spans="1:37">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row>
    <row r="405" spans="1:37">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row>
    <row r="406" spans="1:37">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row>
    <row r="407" spans="1:37">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row>
    <row r="408" spans="1:37">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row>
    <row r="409" spans="1:37">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row>
    <row r="410" spans="1:37">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row>
    <row r="411" spans="1:37">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row>
    <row r="412" spans="1:37">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row>
    <row r="413" spans="1:37">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row>
    <row r="414" spans="1:37">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row>
    <row r="415" spans="1:37">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row>
    <row r="416" spans="1:37">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row>
    <row r="417" spans="1:37">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row>
    <row r="418" spans="1:37">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row>
    <row r="419" spans="1:37">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row>
    <row r="420" spans="1:37">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row>
    <row r="421" spans="1:37">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row>
    <row r="422" spans="1:37">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row>
    <row r="423" spans="1:37">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row>
    <row r="424" spans="1:37">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row>
    <row r="425" spans="1:37">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row>
    <row r="426" spans="1:37">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row>
    <row r="427" spans="1:37">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row>
    <row r="428" spans="1:37">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row>
    <row r="429" spans="1:37">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row>
    <row r="430" spans="1:37">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row>
    <row r="431" spans="1:37">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row>
    <row r="432" spans="1:37">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row>
    <row r="433" spans="1:37">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row>
    <row r="434" spans="1:37">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row>
    <row r="435" spans="1:37">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row>
    <row r="436" spans="1:37">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row>
    <row r="437" spans="1:37">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row>
    <row r="438" spans="1:37">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row>
    <row r="439" spans="1:37">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row>
    <row r="440" spans="1:37">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row>
    <row r="441" spans="1:37">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row>
    <row r="442" spans="1:37">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row>
    <row r="443" spans="1:37">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row>
    <row r="444" spans="1:37">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row>
    <row r="445" spans="1:37">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row>
    <row r="446" spans="1:37">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row>
    <row r="447" spans="1:37">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row>
    <row r="448" spans="1:37">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row>
    <row r="449" spans="1:37">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row>
    <row r="450" spans="1:37">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row>
    <row r="451" spans="1:37">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row>
    <row r="452" spans="1:37">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row>
    <row r="453" spans="1:37">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row>
    <row r="454" spans="1:37">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row>
    <row r="455" spans="1:37">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row>
    <row r="456" spans="1:37">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row>
    <row r="457" spans="1:37">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row>
    <row r="458" spans="1:37">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row>
    <row r="459" spans="1:37">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row>
    <row r="460" spans="1:37">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row>
    <row r="461" spans="1:37">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row>
    <row r="462" spans="1:37">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row>
    <row r="463" spans="1:37">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row>
    <row r="464" spans="1:37">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row>
    <row r="465" spans="1:37">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row>
    <row r="466" spans="1:37">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row>
    <row r="467" spans="1:37">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row>
    <row r="468" spans="1:37">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row>
    <row r="469" spans="1:37">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row>
    <row r="470" spans="1:37">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row>
    <row r="471" spans="1:37">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row>
    <row r="472" spans="1:37">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row>
    <row r="473" spans="1:37">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row>
    <row r="474" spans="1:37">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row>
    <row r="475" spans="1:37">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row>
    <row r="476" spans="1:37">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row>
    <row r="477" spans="1:37">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row>
    <row r="478" spans="1:37">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row>
    <row r="479" spans="1:37">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row>
    <row r="480" spans="1:37">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row>
    <row r="481" spans="1:37">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row>
    <row r="482" spans="1:37">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row>
    <row r="483" spans="1:37">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row>
    <row r="484" spans="1:37">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row>
    <row r="485" spans="1:37">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row>
    <row r="486" spans="1:37">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row>
    <row r="487" spans="1:37">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row>
    <row r="488" spans="1:37">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row>
    <row r="489" spans="1:37">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row>
    <row r="490" spans="1:37">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row>
    <row r="491" spans="1:37">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row>
    <row r="492" spans="1:37">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row>
    <row r="493" spans="1:37">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row>
    <row r="494" spans="1:37">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row>
    <row r="495" spans="1:37">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row>
    <row r="496" spans="1:37">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row>
    <row r="497" spans="1:37">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row>
    <row r="498" spans="1:37">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row>
    <row r="499" spans="1:37">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row>
    <row r="500" spans="1:37">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row>
    <row r="501" spans="1:37">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row>
    <row r="502" spans="1:37">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row>
    <row r="503" spans="1:37">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row>
    <row r="504" spans="1:37">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row>
    <row r="505" spans="1:37">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row>
    <row r="506" spans="1:37">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row>
    <row r="507" spans="1:37">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row>
    <row r="508" spans="1:37">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row>
    <row r="509" spans="1:37">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row>
    <row r="510" spans="1:37">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row>
    <row r="511" spans="1:37">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row>
    <row r="512" spans="1:37">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row>
    <row r="513" spans="1:37">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row>
    <row r="514" spans="1:37">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row>
    <row r="515" spans="1:37">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row>
    <row r="516" spans="1:37">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row>
    <row r="517" spans="1:37">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row>
    <row r="518" spans="1:37">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row>
    <row r="519" spans="1:37">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row>
    <row r="520" spans="1:37">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row>
    <row r="521" spans="1:37">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row>
    <row r="522" spans="1:37">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row>
    <row r="523" spans="1:37">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row>
    <row r="524" spans="1:37">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row>
    <row r="525" spans="1:37">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row>
    <row r="526" spans="1:37">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row>
    <row r="527" spans="1:37">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row>
    <row r="528" spans="1:37">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row>
    <row r="529" spans="1:37">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row>
    <row r="530" spans="1:37">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row>
    <row r="531" spans="1:37">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row>
    <row r="532" spans="1:37">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row>
    <row r="533" spans="1:37">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row>
    <row r="534" spans="1:37">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row>
    <row r="535" spans="1:37">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row>
    <row r="536" spans="1:37">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row>
    <row r="537" spans="1:37">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row>
    <row r="538" spans="1:37">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row>
    <row r="539" spans="1:37">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row>
    <row r="540" spans="1:37">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row>
    <row r="541" spans="1:37">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row>
    <row r="542" spans="1:37">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row>
    <row r="543" spans="1:37">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row>
    <row r="544" spans="1:37">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row>
    <row r="545" spans="1:37">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row>
    <row r="546" spans="1:37">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row>
    <row r="547" spans="1:37">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row>
    <row r="548" spans="1:37">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row>
    <row r="549" spans="1:37">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row>
    <row r="550" spans="1:37">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row>
    <row r="551" spans="1:37">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row>
    <row r="552" spans="1:37">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row>
    <row r="553" spans="1:37">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row>
    <row r="554" spans="1:37">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row>
    <row r="555" spans="1:37">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row>
    <row r="556" spans="1:37">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row>
    <row r="557" spans="1:37">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row>
    <row r="558" spans="1:37">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row>
    <row r="559" spans="1:37">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row>
    <row r="560" spans="1:37">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row>
    <row r="561" spans="1:37">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row>
    <row r="562" spans="1:37">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row>
    <row r="563" spans="1:37">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row>
    <row r="564" spans="1:37">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row>
    <row r="565" spans="1:37">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row>
    <row r="566" spans="1:37">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row>
    <row r="567" spans="1:37">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row>
    <row r="568" spans="1:37">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row>
    <row r="569" spans="1:37">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row>
    <row r="570" spans="1:37">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row>
    <row r="571" spans="1:37">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row>
    <row r="572" spans="1:37">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row>
    <row r="573" spans="1:37">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row>
    <row r="574" spans="1:37">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row>
    <row r="575" spans="1:37">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row>
    <row r="576" spans="1:37">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row>
    <row r="577" spans="1:37">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row>
    <row r="578" spans="1:37">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row>
    <row r="579" spans="1:37">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row>
    <row r="580" spans="1:37">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row>
    <row r="581" spans="1:37">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row>
    <row r="582" spans="1:37">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row>
    <row r="583" spans="1:37">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row>
    <row r="584" spans="1:37">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row>
    <row r="585" spans="1:37">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row>
    <row r="586" spans="1:37">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row>
    <row r="587" spans="1:37">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row>
    <row r="588" spans="1:37">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row>
    <row r="589" spans="1:37">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row>
    <row r="590" spans="1:37">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row>
    <row r="591" spans="1:37">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row>
    <row r="592" spans="1:37">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row>
    <row r="593" spans="1:37">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row>
    <row r="594" spans="1:37">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row>
    <row r="595" spans="1:37">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row>
    <row r="596" spans="1:37">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row>
    <row r="597" spans="1:37">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row>
    <row r="598" spans="1:37">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row>
    <row r="599" spans="1:37">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row>
    <row r="600" spans="1:37">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row>
    <row r="601" spans="1:37">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row>
    <row r="602" spans="1:37">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row>
    <row r="603" spans="1:37">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row>
    <row r="604" spans="1:37">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row>
    <row r="605" spans="1:37">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row>
    <row r="606" spans="1:37">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row>
    <row r="607" spans="1:37">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row>
    <row r="608" spans="1:37">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row>
    <row r="609" spans="1:37">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row>
    <row r="610" spans="1:37">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row>
    <row r="611" spans="1:37">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row>
    <row r="612" spans="1:37">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row>
    <row r="613" spans="1:37">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row>
    <row r="614" spans="1:37">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row>
    <row r="615" spans="1:37">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row>
    <row r="616" spans="1:37">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row>
    <row r="617" spans="1:37">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row>
    <row r="618" spans="1:37">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row>
    <row r="619" spans="1:37">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row>
    <row r="620" spans="1:37">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row>
    <row r="621" spans="1:37">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row>
    <row r="622" spans="1:37">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row>
    <row r="623" spans="1:37">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row>
    <row r="624" spans="1:37">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row>
    <row r="625" spans="1:37">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row>
    <row r="626" spans="1:37">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row>
    <row r="627" spans="1:37">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row>
    <row r="628" spans="1:37">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row>
    <row r="629" spans="1:37">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row>
    <row r="630" spans="1:37">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row>
    <row r="631" spans="1:37">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row>
    <row r="632" spans="1:37">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row>
    <row r="633" spans="1:37">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row>
    <row r="634" spans="1:37">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row>
    <row r="635" spans="1:37">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row>
    <row r="636" spans="1:37">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row>
    <row r="637" spans="1:37">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row>
    <row r="638" spans="1:37">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row>
    <row r="639" spans="1:37">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row>
    <row r="640" spans="1:37">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row>
    <row r="641" spans="1:37">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row>
    <row r="642" spans="1:37">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row>
    <row r="643" spans="1:37">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row>
    <row r="644" spans="1:37">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row>
    <row r="645" spans="1:37">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row>
    <row r="646" spans="1:37">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row>
    <row r="647" spans="1:37">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row>
    <row r="648" spans="1:37">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row>
    <row r="649" spans="1:37">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row>
    <row r="650" spans="1:37">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row>
    <row r="651" spans="1:37">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row>
    <row r="652" spans="1:37">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row>
    <row r="653" spans="1:37">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row>
    <row r="654" spans="1:37">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row>
    <row r="655" spans="1:37">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row>
    <row r="656" spans="1:37">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row>
    <row r="657" spans="1:37">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row>
    <row r="658" spans="1:37">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row>
    <row r="659" spans="1:37">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row>
    <row r="660" spans="1:37">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row>
    <row r="661" spans="1:37">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row>
    <row r="662" spans="1:37">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row>
    <row r="663" spans="1:37">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row>
    <row r="664" spans="1:37">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row>
    <row r="665" spans="1:37">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row>
    <row r="666" spans="1:37">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row>
    <row r="667" spans="1:37">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row>
    <row r="668" spans="1:37">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row>
    <row r="669" spans="1:37">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row>
    <row r="670" spans="1:37">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row>
    <row r="671" spans="1:37">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row>
    <row r="672" spans="1:37">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row>
    <row r="673" spans="1:37">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row>
    <row r="674" spans="1:37">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row>
    <row r="675" spans="1:37">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row>
    <row r="676" spans="1:37">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row>
    <row r="677" spans="1:37">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row>
    <row r="678" spans="1:37">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row>
    <row r="679" spans="1:37">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row>
    <row r="680" spans="1:37">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row>
    <row r="681" spans="1:37">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row>
    <row r="682" spans="1:37">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row>
    <row r="683" spans="1:37">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row>
    <row r="684" spans="1:37">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row>
    <row r="685" spans="1:37">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row>
    <row r="686" spans="1:37">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row>
    <row r="687" spans="1:37">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row>
    <row r="688" spans="1:37">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row>
    <row r="689" spans="1:37">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row>
    <row r="690" spans="1:37">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row>
    <row r="691" spans="1:37">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row>
    <row r="692" spans="1:37">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row>
    <row r="693" spans="1:37">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row>
    <row r="694" spans="1:37">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row>
    <row r="695" spans="1:37">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row>
    <row r="696" spans="1:37">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row>
    <row r="697" spans="1:37">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row>
    <row r="698" spans="1:37">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row>
    <row r="699" spans="1:37">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row>
    <row r="700" spans="1:37">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row>
    <row r="701" spans="1:37">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row>
    <row r="702" spans="1:37">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row>
    <row r="703" spans="1:37">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row>
    <row r="704" spans="1:37">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row>
    <row r="705" spans="1:37">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row>
    <row r="706" spans="1:37">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row>
    <row r="707" spans="1:37">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row>
    <row r="708" spans="1:37">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row>
    <row r="709" spans="1:37">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row>
    <row r="710" spans="1:37">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row>
    <row r="711" spans="1:37">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row>
    <row r="712" spans="1:37">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row>
    <row r="713" spans="1:37">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row>
    <row r="714" spans="1:37">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row>
    <row r="715" spans="1:37">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row>
    <row r="716" spans="1:37">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row>
    <row r="717" spans="1:37">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row>
    <row r="718" spans="1:37">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row>
    <row r="719" spans="1:37">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row>
    <row r="720" spans="1:37">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row>
    <row r="721" spans="1:37">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row>
    <row r="722" spans="1:37">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row>
    <row r="723" spans="1:37">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row>
    <row r="724" spans="1:37">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row>
    <row r="725" spans="1:37">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row>
    <row r="726" spans="1:37">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row>
    <row r="727" spans="1:37">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row>
    <row r="728" spans="1:37">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row>
    <row r="729" spans="1:37">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row>
    <row r="730" spans="1:37">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row>
    <row r="731" spans="1:37">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row>
    <row r="732" spans="1:37">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row>
    <row r="733" spans="1:37">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row>
    <row r="734" spans="1:37">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row>
    <row r="735" spans="1:37">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row>
    <row r="736" spans="1:37">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row>
    <row r="737" spans="1:37">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row>
    <row r="738" spans="1:37">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row>
    <row r="739" spans="1:37">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row>
    <row r="740" spans="1:37">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row>
    <row r="741" spans="1:37">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row>
    <row r="742" spans="1:37">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row>
    <row r="743" spans="1:37">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row>
    <row r="744" spans="1:37">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row>
    <row r="745" spans="1:37">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row>
    <row r="746" spans="1:37">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row>
    <row r="747" spans="1:37">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row>
    <row r="748" spans="1:37">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row>
    <row r="749" spans="1:37">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row>
    <row r="750" spans="1:37">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row>
    <row r="751" spans="1:37">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row>
    <row r="752" spans="1:37">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row>
    <row r="753" spans="1:37">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row>
    <row r="754" spans="1:37">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row>
    <row r="755" spans="1:37">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row>
    <row r="756" spans="1:37">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row>
    <row r="757" spans="1:37">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row>
    <row r="758" spans="1:37">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row>
    <row r="759" spans="1:37">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row>
    <row r="760" spans="1:37">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row>
    <row r="761" spans="1:37">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row>
    <row r="762" spans="1:37">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row>
    <row r="763" spans="1:37">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row>
    <row r="764" spans="1:37">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row>
    <row r="765" spans="1:37">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row>
    <row r="766" spans="1:37">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row>
    <row r="767" spans="1:37">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row>
    <row r="768" spans="1:37">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row>
    <row r="769" spans="1:37">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row>
    <row r="770" spans="1:37">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row>
    <row r="771" spans="1:37">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row>
    <row r="772" spans="1:37">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row>
    <row r="773" spans="1:37">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row>
    <row r="774" spans="1:37">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row>
    <row r="775" spans="1:37">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row>
    <row r="776" spans="1:37">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row>
    <row r="777" spans="1:37">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row>
    <row r="778" spans="1:37">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row>
    <row r="779" spans="1:37">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row>
    <row r="780" spans="1:37">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row>
    <row r="781" spans="1:37">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row>
    <row r="782" spans="1:37">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row>
    <row r="783" spans="1:37">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row>
    <row r="784" spans="1:37">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row>
    <row r="785" spans="1:37">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row>
    <row r="786" spans="1:37">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row>
    <row r="787" spans="1:37">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row>
    <row r="788" spans="1:37">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row>
    <row r="789" spans="1:37">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row>
    <row r="790" spans="1:37">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row>
    <row r="791" spans="1:37">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row>
    <row r="792" spans="1:37">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row>
    <row r="793" spans="1:37">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row>
    <row r="794" spans="1:37">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row>
    <row r="795" spans="1:37">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row>
    <row r="796" spans="1:37">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row>
    <row r="797" spans="1:37">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row>
    <row r="798" spans="1:37">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row>
    <row r="799" spans="1:37">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row>
    <row r="800" spans="1:37">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row>
    <row r="801" spans="1:37">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row>
    <row r="802" spans="1:37">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row>
    <row r="803" spans="1:37">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row>
    <row r="804" spans="1:37">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row>
    <row r="805" spans="1:37">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row>
    <row r="806" spans="1:37">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row>
    <row r="807" spans="1:37">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row>
    <row r="808" spans="1:37">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row>
    <row r="809" spans="1:37">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row>
    <row r="810" spans="1:37">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row>
    <row r="811" spans="1:37">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row>
    <row r="812" spans="1:37">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row>
    <row r="813" spans="1:37">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row>
    <row r="814" spans="1:37">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row>
    <row r="815" spans="1:37">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row>
    <row r="816" spans="1:37">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row>
    <row r="817" spans="1:37">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row>
    <row r="818" spans="1:37">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row>
    <row r="819" spans="1:37">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row>
    <row r="820" spans="1:37">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row>
    <row r="821" spans="1:37">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row>
    <row r="822" spans="1:37">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row>
    <row r="823" spans="1:37">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row>
    <row r="824" spans="1:37">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row>
    <row r="825" spans="1:37">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row>
    <row r="826" spans="1:37">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row>
    <row r="827" spans="1:37">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row>
    <row r="828" spans="1:37">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row>
    <row r="829" spans="1:37">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row>
    <row r="830" spans="1:37">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row>
    <row r="831" spans="1:37">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row>
    <row r="832" spans="1:37">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row>
    <row r="833" spans="1:37">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row>
    <row r="834" spans="1:37">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row>
    <row r="835" spans="1:37">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row>
    <row r="836" spans="1:37">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row>
    <row r="837" spans="1:37">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row>
    <row r="838" spans="1:37">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row>
    <row r="839" spans="1:37">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row>
    <row r="840" spans="1:37">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row>
    <row r="841" spans="1:37">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row>
    <row r="842" spans="1:37">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row>
    <row r="843" spans="1:37">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row>
    <row r="844" spans="1:37">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row>
    <row r="845" spans="1:37">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row>
    <row r="846" spans="1:37">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row>
    <row r="847" spans="1:37">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row>
    <row r="848" spans="1:37">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row>
    <row r="849" spans="1:37">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row>
    <row r="850" spans="1:37">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row>
    <row r="851" spans="1:37">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row>
    <row r="852" spans="1:37">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row>
    <row r="853" spans="1:37">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row>
    <row r="854" spans="1:37">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row>
    <row r="855" spans="1:37">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row>
    <row r="856" spans="1:37">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row>
    <row r="857" spans="1:37">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row>
    <row r="858" spans="1:37">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row>
    <row r="859" spans="1:37">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row>
    <row r="860" spans="1:37">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row>
    <row r="861" spans="1:37">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row>
    <row r="862" spans="1:37">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row>
    <row r="863" spans="1:37">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row>
    <row r="864" spans="1:37">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row>
    <row r="865" spans="1:37">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row>
    <row r="866" spans="1:37">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row>
    <row r="867" spans="1:37">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row>
    <row r="868" spans="1:37">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row>
    <row r="869" spans="1:37">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row>
    <row r="870" spans="1:37">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row>
    <row r="871" spans="1:37">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row>
    <row r="872" spans="1:37">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row>
    <row r="873" spans="1:37">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row>
    <row r="874" spans="1:37">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row>
    <row r="875" spans="1:37">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row>
    <row r="876" spans="1:37">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row>
    <row r="877" spans="1:37">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row>
    <row r="878" spans="1:37">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row>
    <row r="879" spans="1:37">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row>
    <row r="880" spans="1:37">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row>
    <row r="881" spans="1:37">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row>
    <row r="882" spans="1:37">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row>
    <row r="883" spans="1:37">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row>
    <row r="884" spans="1:37">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row>
    <row r="885" spans="1:37">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row>
    <row r="886" spans="1:37">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row>
    <row r="887" spans="1:37">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row>
    <row r="888" spans="1:37">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row>
    <row r="889" spans="1:37">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row>
    <row r="890" spans="1:37">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row>
    <row r="891" spans="1:37">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row>
    <row r="892" spans="1:37">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row>
    <row r="893" spans="1:37">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row>
    <row r="894" spans="1:37">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row>
    <row r="895" spans="1:37">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row>
    <row r="896" spans="1:37">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row>
    <row r="897" spans="1:37">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row>
    <row r="898" spans="1:37">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row>
    <row r="899" spans="1:37">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row>
    <row r="900" spans="1:37">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row>
    <row r="901" spans="1:37">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row>
    <row r="902" spans="1:37">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row>
    <row r="903" spans="1:37">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row>
    <row r="904" spans="1:37">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row>
    <row r="905" spans="1:37">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row>
    <row r="906" spans="1:37">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row>
    <row r="907" spans="1:37">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row>
    <row r="908" spans="1:37">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row>
    <row r="909" spans="1:37">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row>
    <row r="910" spans="1:37">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row>
    <row r="911" spans="1:37">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row>
    <row r="912" spans="1:37">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row>
    <row r="913" spans="1:37">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row>
    <row r="914" spans="1:37">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row>
    <row r="915" spans="1:37">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row>
    <row r="916" spans="1:37">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row>
    <row r="917" spans="1:37">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row>
    <row r="918" spans="1:37">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row>
    <row r="919" spans="1:37">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row>
    <row r="920" spans="1:37">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row>
    <row r="921" spans="1:37">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row>
    <row r="922" spans="1:37">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row>
    <row r="923" spans="1:37">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row>
    <row r="924" spans="1:37">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row>
    <row r="925" spans="1:37">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row>
    <row r="926" spans="1:37">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row>
    <row r="927" spans="1:37">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row>
    <row r="928" spans="1:37">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row>
    <row r="929" spans="1:37">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row>
    <row r="930" spans="1:37">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row>
    <row r="931" spans="1:37">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row>
    <row r="932" spans="1:37">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row>
    <row r="933" spans="1:37">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row>
    <row r="934" spans="1:37">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row>
    <row r="935" spans="1:37">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row>
    <row r="936" spans="1:37">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row>
    <row r="937" spans="1:37">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row>
    <row r="938" spans="1:37">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row>
    <row r="939" spans="1:37">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row>
    <row r="940" spans="1:37">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row>
    <row r="941" spans="1:37">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row>
    <row r="942" spans="1:37">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row>
    <row r="943" spans="1:37">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row>
    <row r="944" spans="1:37">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row>
    <row r="945" spans="1:37">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row>
    <row r="946" spans="1:37">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row>
    <row r="947" spans="1:37">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row>
    <row r="948" spans="1:37">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row>
    <row r="949" spans="1:37">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row>
    <row r="950" spans="1:37">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row>
    <row r="951" spans="1:37">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row>
    <row r="952" spans="1:37">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row>
    <row r="953" spans="1:37">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row>
    <row r="954" spans="1:37">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row>
    <row r="955" spans="1:37">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row>
    <row r="956" spans="1:37">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row>
    <row r="957" spans="1:37">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row>
    <row r="958" spans="1:37">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row>
    <row r="959" spans="1:37">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row>
    <row r="960" spans="1:37">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row>
    <row r="961" spans="1:37">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row>
    <row r="962" spans="1:37">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row>
    <row r="963" spans="1:37">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row>
    <row r="964" spans="1:37">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row>
    <row r="965" spans="1:37">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row>
    <row r="966" spans="1:37">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row>
    <row r="967" spans="1:37">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row>
    <row r="968" spans="1:37">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row>
    <row r="969" spans="1:37">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row>
    <row r="970" spans="1:37">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row>
    <row r="971" spans="1:37">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row>
    <row r="972" spans="1:37">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35"/>
      <c r="AB972" s="35"/>
      <c r="AC972" s="35"/>
      <c r="AD972" s="35"/>
      <c r="AE972" s="35"/>
      <c r="AF972" s="35"/>
      <c r="AG972" s="35"/>
      <c r="AH972" s="35"/>
      <c r="AI972" s="35"/>
      <c r="AJ972" s="35"/>
      <c r="AK972" s="35"/>
    </row>
    <row r="973" spans="1:37">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row>
    <row r="974" spans="1:37">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AA974" s="35"/>
      <c r="AB974" s="35"/>
      <c r="AC974" s="35"/>
      <c r="AD974" s="35"/>
      <c r="AE974" s="35"/>
      <c r="AF974" s="35"/>
      <c r="AG974" s="35"/>
      <c r="AH974" s="35"/>
      <c r="AI974" s="35"/>
      <c r="AJ974" s="35"/>
      <c r="AK974" s="35"/>
    </row>
    <row r="975" spans="1:37">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AB975" s="35"/>
      <c r="AC975" s="35"/>
      <c r="AD975" s="35"/>
      <c r="AE975" s="35"/>
      <c r="AF975" s="35"/>
      <c r="AG975" s="35"/>
      <c r="AH975" s="35"/>
      <c r="AI975" s="35"/>
      <c r="AJ975" s="35"/>
      <c r="AK975" s="35"/>
    </row>
    <row r="976" spans="1:37">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row>
    <row r="977" spans="1:37">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row>
    <row r="978" spans="1:37">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row>
    <row r="979" spans="1:37">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row>
    <row r="980" spans="1:37">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row>
    <row r="981" spans="1:37">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row>
    <row r="982" spans="1:37">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c r="AA982" s="35"/>
      <c r="AB982" s="35"/>
      <c r="AC982" s="35"/>
      <c r="AD982" s="35"/>
      <c r="AE982" s="35"/>
      <c r="AF982" s="35"/>
      <c r="AG982" s="35"/>
      <c r="AH982" s="35"/>
      <c r="AI982" s="35"/>
      <c r="AJ982" s="35"/>
      <c r="AK982" s="35"/>
    </row>
    <row r="983" spans="1:37">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c r="AA983" s="35"/>
      <c r="AB983" s="35"/>
      <c r="AC983" s="35"/>
      <c r="AD983" s="35"/>
      <c r="AE983" s="35"/>
      <c r="AF983" s="35"/>
      <c r="AG983" s="35"/>
      <c r="AH983" s="35"/>
      <c r="AI983" s="35"/>
      <c r="AJ983" s="35"/>
      <c r="AK983" s="35"/>
    </row>
    <row r="984" spans="1:37">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c r="AA984" s="35"/>
      <c r="AB984" s="35"/>
      <c r="AC984" s="35"/>
      <c r="AD984" s="35"/>
      <c r="AE984" s="35"/>
      <c r="AF984" s="35"/>
      <c r="AG984" s="35"/>
      <c r="AH984" s="35"/>
      <c r="AI984" s="35"/>
      <c r="AJ984" s="35"/>
      <c r="AK984" s="35"/>
    </row>
    <row r="985" spans="1:37">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c r="AA985" s="35"/>
      <c r="AB985" s="35"/>
      <c r="AC985" s="35"/>
      <c r="AD985" s="35"/>
      <c r="AE985" s="35"/>
      <c r="AF985" s="35"/>
      <c r="AG985" s="35"/>
      <c r="AH985" s="35"/>
      <c r="AI985" s="35"/>
      <c r="AJ985" s="35"/>
      <c r="AK985" s="35"/>
    </row>
    <row r="986" spans="1:37">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c r="AA986" s="35"/>
      <c r="AB986" s="35"/>
      <c r="AC986" s="35"/>
      <c r="AD986" s="35"/>
      <c r="AE986" s="35"/>
      <c r="AF986" s="35"/>
      <c r="AG986" s="35"/>
      <c r="AH986" s="35"/>
      <c r="AI986" s="35"/>
      <c r="AJ986" s="35"/>
      <c r="AK986" s="35"/>
    </row>
    <row r="987" spans="1:37">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c r="AA987" s="35"/>
      <c r="AB987" s="35"/>
      <c r="AC987" s="35"/>
      <c r="AD987" s="35"/>
      <c r="AE987" s="35"/>
      <c r="AF987" s="35"/>
      <c r="AG987" s="35"/>
      <c r="AH987" s="35"/>
      <c r="AI987" s="35"/>
      <c r="AJ987" s="35"/>
      <c r="AK987" s="35"/>
    </row>
    <row r="988" spans="1:37">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c r="AA988" s="35"/>
      <c r="AB988" s="35"/>
      <c r="AC988" s="35"/>
      <c r="AD988" s="35"/>
      <c r="AE988" s="35"/>
      <c r="AF988" s="35"/>
      <c r="AG988" s="35"/>
      <c r="AH988" s="35"/>
      <c r="AI988" s="35"/>
      <c r="AJ988" s="35"/>
      <c r="AK988" s="35"/>
    </row>
    <row r="989" spans="1:37">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c r="AA989" s="35"/>
      <c r="AB989" s="35"/>
      <c r="AC989" s="35"/>
      <c r="AD989" s="35"/>
      <c r="AE989" s="35"/>
      <c r="AF989" s="35"/>
      <c r="AG989" s="35"/>
      <c r="AH989" s="35"/>
      <c r="AI989" s="35"/>
      <c r="AJ989" s="35"/>
      <c r="AK989" s="35"/>
    </row>
    <row r="990" spans="1:37">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c r="AA990" s="35"/>
      <c r="AB990" s="35"/>
      <c r="AC990" s="35"/>
      <c r="AD990" s="35"/>
      <c r="AE990" s="35"/>
      <c r="AF990" s="35"/>
      <c r="AG990" s="35"/>
      <c r="AH990" s="35"/>
      <c r="AI990" s="35"/>
      <c r="AJ990" s="35"/>
      <c r="AK990" s="35"/>
    </row>
    <row r="991" spans="1:37">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c r="AA991" s="35"/>
      <c r="AB991" s="35"/>
      <c r="AC991" s="35"/>
      <c r="AD991" s="35"/>
      <c r="AE991" s="35"/>
      <c r="AF991" s="35"/>
      <c r="AG991" s="35"/>
      <c r="AH991" s="35"/>
      <c r="AI991" s="35"/>
      <c r="AJ991" s="35"/>
      <c r="AK991" s="35"/>
    </row>
    <row r="992" spans="1:37">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c r="AA992" s="35"/>
      <c r="AB992" s="35"/>
      <c r="AC992" s="35"/>
      <c r="AD992" s="35"/>
      <c r="AE992" s="35"/>
      <c r="AF992" s="35"/>
      <c r="AG992" s="35"/>
      <c r="AH992" s="35"/>
      <c r="AI992" s="35"/>
      <c r="AJ992" s="35"/>
      <c r="AK992" s="35"/>
    </row>
    <row r="993" spans="1:37">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c r="AA993" s="35"/>
      <c r="AB993" s="35"/>
      <c r="AC993" s="35"/>
      <c r="AD993" s="35"/>
      <c r="AE993" s="35"/>
      <c r="AF993" s="35"/>
      <c r="AG993" s="35"/>
      <c r="AH993" s="35"/>
      <c r="AI993" s="35"/>
      <c r="AJ993" s="35"/>
      <c r="AK993" s="35"/>
    </row>
    <row r="994" spans="1:37">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c r="AA994" s="35"/>
      <c r="AB994" s="35"/>
      <c r="AC994" s="35"/>
      <c r="AD994" s="35"/>
      <c r="AE994" s="35"/>
      <c r="AF994" s="35"/>
      <c r="AG994" s="35"/>
      <c r="AH994" s="35"/>
      <c r="AI994" s="35"/>
      <c r="AJ994" s="35"/>
      <c r="AK994" s="35"/>
    </row>
    <row r="995" spans="1:37">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c r="AA995" s="35"/>
      <c r="AB995" s="35"/>
      <c r="AC995" s="35"/>
      <c r="AD995" s="35"/>
      <c r="AE995" s="35"/>
      <c r="AF995" s="35"/>
      <c r="AG995" s="35"/>
      <c r="AH995" s="35"/>
      <c r="AI995" s="35"/>
      <c r="AJ995" s="35"/>
      <c r="AK995" s="35"/>
    </row>
    <row r="996" spans="1:37">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c r="AA996" s="35"/>
      <c r="AB996" s="35"/>
      <c r="AC996" s="35"/>
      <c r="AD996" s="35"/>
      <c r="AE996" s="35"/>
      <c r="AF996" s="35"/>
      <c r="AG996" s="35"/>
      <c r="AH996" s="35"/>
      <c r="AI996" s="35"/>
      <c r="AJ996" s="35"/>
      <c r="AK996" s="35"/>
    </row>
    <row r="997" spans="1:37">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c r="AA997" s="35"/>
      <c r="AB997" s="35"/>
      <c r="AC997" s="35"/>
      <c r="AD997" s="35"/>
      <c r="AE997" s="35"/>
      <c r="AF997" s="35"/>
      <c r="AG997" s="35"/>
      <c r="AH997" s="35"/>
      <c r="AI997" s="35"/>
      <c r="AJ997" s="35"/>
      <c r="AK997" s="35"/>
    </row>
    <row r="998" spans="1:37">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c r="AA998" s="35"/>
      <c r="AB998" s="35"/>
      <c r="AC998" s="35"/>
      <c r="AD998" s="35"/>
      <c r="AE998" s="35"/>
      <c r="AF998" s="35"/>
      <c r="AG998" s="35"/>
      <c r="AH998" s="35"/>
      <c r="AI998" s="35"/>
      <c r="AJ998" s="35"/>
      <c r="AK998" s="35"/>
    </row>
    <row r="999" spans="1:37">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c r="AA999" s="35"/>
      <c r="AB999" s="35"/>
      <c r="AC999" s="35"/>
      <c r="AD999" s="35"/>
      <c r="AE999" s="35"/>
      <c r="AF999" s="35"/>
      <c r="AG999" s="35"/>
      <c r="AH999" s="35"/>
      <c r="AI999" s="35"/>
      <c r="AJ999" s="35"/>
      <c r="AK999" s="35"/>
    </row>
    <row r="1000" spans="1:37">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c r="AA1000" s="35"/>
      <c r="AB1000" s="35"/>
      <c r="AC1000" s="35"/>
      <c r="AD1000" s="35"/>
      <c r="AE1000" s="35"/>
      <c r="AF1000" s="35"/>
      <c r="AG1000" s="35"/>
      <c r="AH1000" s="35"/>
      <c r="AI1000" s="35"/>
      <c r="AJ1000" s="35"/>
      <c r="AK1000" s="35"/>
    </row>
    <row r="1001" spans="1:37">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c r="AA1001" s="35"/>
      <c r="AB1001" s="35"/>
      <c r="AC1001" s="35"/>
      <c r="AD1001" s="35"/>
      <c r="AE1001" s="35"/>
      <c r="AF1001" s="35"/>
      <c r="AG1001" s="35"/>
      <c r="AH1001" s="35"/>
      <c r="AI1001" s="35"/>
      <c r="AJ1001" s="35"/>
      <c r="AK1001" s="35"/>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K1001"/>
  <sheetViews>
    <sheetView workbookViewId="0"/>
  </sheetViews>
  <sheetFormatPr baseColWidth="10" defaultColWidth="12.625" defaultRowHeight="15" customHeight="1"/>
  <sheetData>
    <row r="1" spans="1:37" ht="15" customHeight="1">
      <c r="A1" s="1" t="s">
        <v>4</v>
      </c>
      <c r="B1" s="2" t="s">
        <v>5</v>
      </c>
      <c r="C1" s="2" t="s">
        <v>6</v>
      </c>
      <c r="D1" s="2" t="s">
        <v>7</v>
      </c>
      <c r="E1" s="3" t="s">
        <v>8</v>
      </c>
      <c r="F1" s="2" t="s">
        <v>9</v>
      </c>
      <c r="G1" s="2" t="s">
        <v>10</v>
      </c>
      <c r="H1" s="2" t="s">
        <v>11</v>
      </c>
      <c r="I1" s="3" t="s">
        <v>12</v>
      </c>
      <c r="J1" s="2" t="s">
        <v>13</v>
      </c>
      <c r="K1" s="4" t="s">
        <v>14</v>
      </c>
      <c r="L1" s="5" t="s">
        <v>15</v>
      </c>
      <c r="M1" s="6" t="s">
        <v>16</v>
      </c>
      <c r="N1" s="6" t="s">
        <v>17</v>
      </c>
      <c r="O1" s="6" t="s">
        <v>18</v>
      </c>
      <c r="P1" s="6" t="s">
        <v>19</v>
      </c>
      <c r="Q1" s="6" t="s">
        <v>20</v>
      </c>
      <c r="R1" s="7" t="s">
        <v>21</v>
      </c>
      <c r="S1" s="34" t="s">
        <v>22</v>
      </c>
      <c r="T1" s="8" t="s">
        <v>23</v>
      </c>
      <c r="U1" s="9" t="s">
        <v>25</v>
      </c>
      <c r="V1" s="10" t="s">
        <v>26</v>
      </c>
      <c r="W1" s="10" t="s">
        <v>27</v>
      </c>
      <c r="X1" s="10" t="s">
        <v>28</v>
      </c>
      <c r="Y1" s="10" t="s">
        <v>29</v>
      </c>
      <c r="Z1" s="10" t="s">
        <v>30</v>
      </c>
      <c r="AA1" s="10" t="s">
        <v>30</v>
      </c>
      <c r="AB1" s="35"/>
      <c r="AC1" s="35"/>
      <c r="AD1" s="35"/>
      <c r="AE1" s="35"/>
      <c r="AF1" s="35"/>
      <c r="AG1" s="35"/>
      <c r="AH1" s="35"/>
      <c r="AI1" s="35"/>
      <c r="AJ1" s="35"/>
      <c r="AK1" s="35"/>
    </row>
    <row r="2" spans="1:37" ht="15" customHeight="1">
      <c r="A2" s="35" t="str">
        <f ca="1">IFERROR(__xludf.DUMMYFUNCTION("FILTER('PA 2021'!A:A,'PA 2021'!AA:AA=""Trim 1"",'PA 2021'!AB:AB=""Trim 2"")"),"Secretaría General - GIT Gestión Administrativa")</f>
        <v>Secretaría General - GIT Gestión Administrativa</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row>
    <row r="3" spans="1:37" ht="15" customHeight="1">
      <c r="A3" s="35"/>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row>
    <row r="4" spans="1:37" ht="15" customHeight="1">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row>
    <row r="5" spans="1:37" ht="15" customHeight="1">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row>
    <row r="6" spans="1:37" ht="15" customHeight="1">
      <c r="A6" s="35"/>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row>
    <row r="7" spans="1:37" ht="15" customHeight="1">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row>
    <row r="8" spans="1:37" ht="15" customHeight="1">
      <c r="A8" s="35"/>
      <c r="B8" s="35"/>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row>
    <row r="9" spans="1:37" ht="15" customHeight="1">
      <c r="A9" s="35"/>
      <c r="B9" s="35"/>
      <c r="C9" s="35"/>
      <c r="D9" s="35"/>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row>
    <row r="10" spans="1:37" ht="15" customHeight="1">
      <c r="A10" s="3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row>
    <row r="11" spans="1:37" ht="15" customHeight="1">
      <c r="A11" s="35"/>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row>
    <row r="12" spans="1:37" ht="15" customHeight="1">
      <c r="A12" s="35"/>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row>
    <row r="13" spans="1:37" ht="15" customHeight="1">
      <c r="A13" s="35"/>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row>
    <row r="14" spans="1:37" ht="15" customHeight="1">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row>
    <row r="15" spans="1:37" ht="15" customHeight="1">
      <c r="A15" s="35"/>
      <c r="B15" s="35"/>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row>
    <row r="16" spans="1:37" ht="15" customHeight="1">
      <c r="A16" s="35"/>
      <c r="B16" s="35"/>
      <c r="C16" s="35"/>
      <c r="D16" s="35"/>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row>
    <row r="17" spans="1:37" ht="15" customHeight="1">
      <c r="A17" s="35"/>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row>
    <row r="18" spans="1:37" ht="15" customHeight="1">
      <c r="A18" s="35"/>
      <c r="B18" s="3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row>
    <row r="19" spans="1:37" ht="15" customHeight="1">
      <c r="A19" s="35"/>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row>
    <row r="20" spans="1:37" ht="15" customHeight="1">
      <c r="A20" s="35"/>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row>
    <row r="21" spans="1:37" ht="15" customHeight="1">
      <c r="A21" s="35"/>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row>
    <row r="22" spans="1:37" ht="15" customHeight="1">
      <c r="A22" s="35"/>
      <c r="B22" s="35"/>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row>
    <row r="23" spans="1:37">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row>
    <row r="24" spans="1:37">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row>
    <row r="25" spans="1:37">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row>
    <row r="26" spans="1:37">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row>
    <row r="27" spans="1:37">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row>
    <row r="28" spans="1:37">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row>
    <row r="29" spans="1:37">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row>
    <row r="30" spans="1:37">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row>
    <row r="31" spans="1:37">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row>
    <row r="32" spans="1:37">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row>
    <row r="33" spans="1:37">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row>
    <row r="34" spans="1:37">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row>
    <row r="35" spans="1:37">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row>
    <row r="36" spans="1:37">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row>
    <row r="37" spans="1:37">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row>
    <row r="38" spans="1:37">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row>
    <row r="39" spans="1:37">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row>
    <row r="40" spans="1:37">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row>
    <row r="41" spans="1:37">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row>
    <row r="42" spans="1:37">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row>
    <row r="43" spans="1:37">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row>
    <row r="44" spans="1:37">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row>
    <row r="45" spans="1:37">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row>
    <row r="46" spans="1:37">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row>
    <row r="47" spans="1:37">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row>
    <row r="48" spans="1:37">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row>
    <row r="49" spans="1:37">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row>
    <row r="50" spans="1:37">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row>
    <row r="51" spans="1:37">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row>
    <row r="52" spans="1:37">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row>
    <row r="53" spans="1:37">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row>
    <row r="54" spans="1:37">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row>
    <row r="55" spans="1:37">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row>
    <row r="56" spans="1:37">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row>
    <row r="57" spans="1:37">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row>
    <row r="58" spans="1:37">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row>
    <row r="59" spans="1:37">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row>
    <row r="60" spans="1:37">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row>
    <row r="61" spans="1:37">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row>
    <row r="62" spans="1:37">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row>
    <row r="63" spans="1:37">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row>
    <row r="64" spans="1:37">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row>
    <row r="65" spans="1:37">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row>
    <row r="66" spans="1:37">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row>
    <row r="67" spans="1:37">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row>
    <row r="68" spans="1:37">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row>
    <row r="69" spans="1:37">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row>
    <row r="70" spans="1:37">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row>
    <row r="71" spans="1:37">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row>
    <row r="72" spans="1:37">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row>
    <row r="73" spans="1:37">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row>
    <row r="74" spans="1:37">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row>
    <row r="75" spans="1:37">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row>
    <row r="76" spans="1:37">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row>
    <row r="77" spans="1:37">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row>
    <row r="78" spans="1:37">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row>
    <row r="79" spans="1:37">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row>
    <row r="80" spans="1:37">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row>
    <row r="81" spans="1:37">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row>
    <row r="82" spans="1:37">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row>
    <row r="83" spans="1:37">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row>
    <row r="84" spans="1:37">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row>
    <row r="85" spans="1:37">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row>
    <row r="86" spans="1:37">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row>
    <row r="87" spans="1:37">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row>
    <row r="88" spans="1:37">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row>
    <row r="89" spans="1:37">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row>
    <row r="90" spans="1:37">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row>
    <row r="91" spans="1:37">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row>
    <row r="92" spans="1:37">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row>
    <row r="93" spans="1:37">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row>
    <row r="94" spans="1:37">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row>
    <row r="95" spans="1:37">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row>
    <row r="96" spans="1:37">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row>
    <row r="97" spans="1:37">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row>
    <row r="98" spans="1:37">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row>
    <row r="99" spans="1:37">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row>
    <row r="100" spans="1:37">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row>
    <row r="101" spans="1:37">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row>
    <row r="102" spans="1:37">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row>
    <row r="103" spans="1:37">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row>
    <row r="104" spans="1:37">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row>
    <row r="105" spans="1:37">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row>
    <row r="106" spans="1:37">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row>
    <row r="107" spans="1:37">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row>
    <row r="108" spans="1:37">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row>
    <row r="109" spans="1:37">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row>
    <row r="110" spans="1:37">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row>
    <row r="111" spans="1:37">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row>
    <row r="112" spans="1:37">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row>
    <row r="113" spans="1:37">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row>
    <row r="114" spans="1:37">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row>
    <row r="115" spans="1:37">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row>
    <row r="116" spans="1:37">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row>
    <row r="117" spans="1:37">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row>
    <row r="118" spans="1:37">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row>
    <row r="119" spans="1:37">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row>
    <row r="120" spans="1:37">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row>
    <row r="121" spans="1:37">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row>
    <row r="122" spans="1:37">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row>
    <row r="123" spans="1:37">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row>
    <row r="124" spans="1:37">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row>
    <row r="125" spans="1:37">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row>
    <row r="126" spans="1:37">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row>
    <row r="127" spans="1:37">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row>
    <row r="128" spans="1:37">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row>
    <row r="129" spans="1:37">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row>
    <row r="130" spans="1:37">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row>
    <row r="131" spans="1:37">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row>
    <row r="132" spans="1:37">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row>
    <row r="133" spans="1:37">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row>
    <row r="134" spans="1:37">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row>
    <row r="135" spans="1:37">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row>
    <row r="136" spans="1:37">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row>
    <row r="137" spans="1:37">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row>
    <row r="138" spans="1:37">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row>
    <row r="139" spans="1:37">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row>
    <row r="140" spans="1:37">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row>
    <row r="141" spans="1:37">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row>
    <row r="142" spans="1:37">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row>
    <row r="143" spans="1:37">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row>
    <row r="144" spans="1:37">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row>
    <row r="145" spans="1:37">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row>
    <row r="146" spans="1:37">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row>
    <row r="147" spans="1:37">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row>
    <row r="148" spans="1:37">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row>
    <row r="149" spans="1:37">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row>
    <row r="150" spans="1:37">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row>
    <row r="151" spans="1:37">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row>
    <row r="152" spans="1:37">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row>
    <row r="153" spans="1:37">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row>
    <row r="154" spans="1:37">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row>
    <row r="155" spans="1:37">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row>
    <row r="156" spans="1:37">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row>
    <row r="157" spans="1:37">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row>
    <row r="158" spans="1:37">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row>
    <row r="159" spans="1:37">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row>
    <row r="160" spans="1:37">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row>
    <row r="161" spans="1:37">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row>
    <row r="162" spans="1:37">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row>
    <row r="163" spans="1:37">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row>
    <row r="164" spans="1:37">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row>
    <row r="165" spans="1:37">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row>
    <row r="166" spans="1:37">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row>
    <row r="167" spans="1:37">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row>
    <row r="168" spans="1:37">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row>
    <row r="169" spans="1:37">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row>
    <row r="170" spans="1:37">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row>
    <row r="171" spans="1:37">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row>
    <row r="172" spans="1:37">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row>
    <row r="173" spans="1:37">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row>
    <row r="174" spans="1:37">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row>
    <row r="175" spans="1:37">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row>
    <row r="176" spans="1:37">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row>
    <row r="177" spans="1:37">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row>
    <row r="178" spans="1:37">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row>
    <row r="179" spans="1:37">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row>
    <row r="180" spans="1:37">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row>
    <row r="181" spans="1:37">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row>
    <row r="182" spans="1:37">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row>
    <row r="183" spans="1:37">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row>
    <row r="184" spans="1:37">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row>
    <row r="185" spans="1:37">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row>
    <row r="186" spans="1:37">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row>
    <row r="187" spans="1:37">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row>
    <row r="188" spans="1:37">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row>
    <row r="189" spans="1:37">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row>
    <row r="190" spans="1:37">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row>
    <row r="191" spans="1:37">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row>
    <row r="192" spans="1:37">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row>
    <row r="193" spans="1:37">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row>
    <row r="194" spans="1:37">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row>
    <row r="195" spans="1:37">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row>
    <row r="196" spans="1:37">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row>
    <row r="197" spans="1:37">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row>
    <row r="198" spans="1:37">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row>
    <row r="199" spans="1:37">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row>
    <row r="200" spans="1:37">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row>
    <row r="201" spans="1:37">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row>
    <row r="202" spans="1:37">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row>
    <row r="203" spans="1:37">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row>
    <row r="204" spans="1:37">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row>
    <row r="205" spans="1:37">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row>
    <row r="206" spans="1:37">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row>
    <row r="207" spans="1:37">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row>
    <row r="208" spans="1:37">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row>
    <row r="209" spans="1:37">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row>
    <row r="210" spans="1:37">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row>
    <row r="211" spans="1:37">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row>
    <row r="212" spans="1:37">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row>
    <row r="213" spans="1:37">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row>
    <row r="214" spans="1:37">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row>
    <row r="215" spans="1:37">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row>
    <row r="216" spans="1:37">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row>
    <row r="217" spans="1:37">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row>
    <row r="218" spans="1:37">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row>
    <row r="219" spans="1:37">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row>
    <row r="220" spans="1:37">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row>
    <row r="221" spans="1:37">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row>
    <row r="222" spans="1:37">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row>
    <row r="223" spans="1:37">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row>
    <row r="224" spans="1:37">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row>
    <row r="225" spans="1:37">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row>
    <row r="226" spans="1:37">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row>
    <row r="227" spans="1:37">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row>
    <row r="228" spans="1:37">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row>
    <row r="229" spans="1:37">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row>
    <row r="230" spans="1:37">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row>
    <row r="231" spans="1:37">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row>
    <row r="232" spans="1:37">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row>
    <row r="233" spans="1:37">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row>
    <row r="234" spans="1:37">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row>
    <row r="235" spans="1:37">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row>
    <row r="236" spans="1:37">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row>
    <row r="237" spans="1:37">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row>
    <row r="238" spans="1:37">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row>
    <row r="239" spans="1:37">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row>
    <row r="240" spans="1:37">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row>
    <row r="241" spans="1:37">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row>
    <row r="242" spans="1:37">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row>
    <row r="243" spans="1:37">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row>
    <row r="244" spans="1:37">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row>
    <row r="245" spans="1:37">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row>
    <row r="246" spans="1:37">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row>
    <row r="247" spans="1:37">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row>
    <row r="248" spans="1:37">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row>
    <row r="249" spans="1:37">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row>
    <row r="250" spans="1:37">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row>
    <row r="251" spans="1:37">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row>
    <row r="252" spans="1:37">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row>
    <row r="253" spans="1:37">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row>
    <row r="254" spans="1:37">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row>
    <row r="255" spans="1:37">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row>
    <row r="256" spans="1:37">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row>
    <row r="257" spans="1:37">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row>
    <row r="258" spans="1:37">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row>
    <row r="259" spans="1:37">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row>
    <row r="260" spans="1:37">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row>
    <row r="261" spans="1:37">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row>
    <row r="262" spans="1:37">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row>
    <row r="263" spans="1:37">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row>
    <row r="264" spans="1:37">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row>
    <row r="265" spans="1:37">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row>
    <row r="266" spans="1:37">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row>
    <row r="267" spans="1:37">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row>
    <row r="268" spans="1:37">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row>
    <row r="269" spans="1:37">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row>
    <row r="270" spans="1:37">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row>
    <row r="271" spans="1:37">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row>
    <row r="272" spans="1:37">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row>
    <row r="273" spans="1:37">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row>
    <row r="274" spans="1:37">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row>
    <row r="275" spans="1:37">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row>
    <row r="276" spans="1:37">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row>
    <row r="277" spans="1:37">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row>
    <row r="278" spans="1:37">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row>
    <row r="279" spans="1:37">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row>
    <row r="280" spans="1:37">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row>
    <row r="281" spans="1:37">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row>
    <row r="282" spans="1:37">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row>
    <row r="283" spans="1:37">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row>
    <row r="284" spans="1:37">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row>
    <row r="285" spans="1:37">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row>
    <row r="286" spans="1:37">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row>
    <row r="287" spans="1:37">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row>
    <row r="288" spans="1:37">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row>
    <row r="289" spans="1:37">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row>
    <row r="290" spans="1:37">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row>
    <row r="291" spans="1:37">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row>
    <row r="292" spans="1:37">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row>
    <row r="293" spans="1:37">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row>
    <row r="294" spans="1:37">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row>
    <row r="295" spans="1:37">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row>
    <row r="296" spans="1:37">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row>
    <row r="297" spans="1:37">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row>
    <row r="298" spans="1:37">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row>
    <row r="299" spans="1:37">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row>
    <row r="300" spans="1:37">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row>
    <row r="301" spans="1:37">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row>
    <row r="302" spans="1:37">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row>
    <row r="303" spans="1:37">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row>
    <row r="304" spans="1:37">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row>
    <row r="305" spans="1:37">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row>
    <row r="306" spans="1:37">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row>
    <row r="307" spans="1:37">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row>
    <row r="308" spans="1:37">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row>
    <row r="309" spans="1:37">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row>
    <row r="310" spans="1:37">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row>
    <row r="311" spans="1:37">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row>
    <row r="312" spans="1:37">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row>
    <row r="313" spans="1:37">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row>
    <row r="314" spans="1:37">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row>
    <row r="315" spans="1:37">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row>
    <row r="316" spans="1:37">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row>
    <row r="317" spans="1:37">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row>
    <row r="318" spans="1:37">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row>
    <row r="319" spans="1:37">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row>
    <row r="320" spans="1:37">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row>
    <row r="321" spans="1:37">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row>
    <row r="322" spans="1:37">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row>
    <row r="323" spans="1:37">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row>
    <row r="324" spans="1:37">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row>
    <row r="325" spans="1:37">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row>
    <row r="326" spans="1:37">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row>
    <row r="327" spans="1:37">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row>
    <row r="328" spans="1:37">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row>
    <row r="329" spans="1:37">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row>
    <row r="330" spans="1:37">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row>
    <row r="331" spans="1:37">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row>
    <row r="332" spans="1:37">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row>
    <row r="333" spans="1:37">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row>
    <row r="334" spans="1:37">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row>
    <row r="335" spans="1:37">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row>
    <row r="336" spans="1:37">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row>
    <row r="337" spans="1:37">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row>
    <row r="338" spans="1:37">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row>
    <row r="339" spans="1:37">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row>
    <row r="340" spans="1:37">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row>
    <row r="341" spans="1:37">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row>
    <row r="342" spans="1:37">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row>
    <row r="343" spans="1:37">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row>
    <row r="344" spans="1:37">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row>
    <row r="345" spans="1:37">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row>
    <row r="346" spans="1:37">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row>
    <row r="347" spans="1:37">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row>
    <row r="348" spans="1:37">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row>
    <row r="349" spans="1:37">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row>
    <row r="350" spans="1:37">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row>
    <row r="351" spans="1:37">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row>
    <row r="352" spans="1:37">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row>
    <row r="353" spans="1:37">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row>
    <row r="354" spans="1:37">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row>
    <row r="355" spans="1:37">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row>
    <row r="356" spans="1:37">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row>
    <row r="357" spans="1:37">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row>
    <row r="358" spans="1:37">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row>
    <row r="359" spans="1:37">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row>
    <row r="360" spans="1:37">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row>
    <row r="361" spans="1:37">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row>
    <row r="362" spans="1:37">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row>
    <row r="363" spans="1:37">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row>
    <row r="364" spans="1:37">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row>
    <row r="365" spans="1:37">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row>
    <row r="366" spans="1:37">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row>
    <row r="367" spans="1:37">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row>
    <row r="368" spans="1:37">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row>
    <row r="369" spans="1:37">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row>
    <row r="370" spans="1:37">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row>
    <row r="371" spans="1:37">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row>
    <row r="372" spans="1:37">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row>
    <row r="373" spans="1:37">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row>
    <row r="374" spans="1:37">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row>
    <row r="375" spans="1:37">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row>
    <row r="376" spans="1:37">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row>
    <row r="377" spans="1:37">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row>
    <row r="378" spans="1:37">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row>
    <row r="379" spans="1:37">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row>
    <row r="380" spans="1:37">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row>
    <row r="381" spans="1:37">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row>
    <row r="382" spans="1:37">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row>
    <row r="383" spans="1:37">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row>
    <row r="384" spans="1:37">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row>
    <row r="385" spans="1:37">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row>
    <row r="386" spans="1:37">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row>
    <row r="387" spans="1:37">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row>
    <row r="388" spans="1:37">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row>
    <row r="389" spans="1:37">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row>
    <row r="390" spans="1:37">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row>
    <row r="391" spans="1:37">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row>
    <row r="392" spans="1:37">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row>
    <row r="393" spans="1:37">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row>
    <row r="394" spans="1:37">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row>
    <row r="395" spans="1:37">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row>
    <row r="396" spans="1:37">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row>
    <row r="397" spans="1:37">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row>
    <row r="398" spans="1:37">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row>
    <row r="399" spans="1:37">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row>
    <row r="400" spans="1:37">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row>
    <row r="401" spans="1:37">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row>
    <row r="402" spans="1:37">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row>
    <row r="403" spans="1:37">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row>
    <row r="404" spans="1:37">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row>
    <row r="405" spans="1:37">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row>
    <row r="406" spans="1:37">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row>
    <row r="407" spans="1:37">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row>
    <row r="408" spans="1:37">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row>
    <row r="409" spans="1:37">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row>
    <row r="410" spans="1:37">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row>
    <row r="411" spans="1:37">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row>
    <row r="412" spans="1:37">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row>
    <row r="413" spans="1:37">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row>
    <row r="414" spans="1:37">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row>
    <row r="415" spans="1:37">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row>
    <row r="416" spans="1:37">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row>
    <row r="417" spans="1:37">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row>
    <row r="418" spans="1:37">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row>
    <row r="419" spans="1:37">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row>
    <row r="420" spans="1:37">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row>
    <row r="421" spans="1:37">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row>
    <row r="422" spans="1:37">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row>
    <row r="423" spans="1:37">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row>
    <row r="424" spans="1:37">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row>
    <row r="425" spans="1:37">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row>
    <row r="426" spans="1:37">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row>
    <row r="427" spans="1:37">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row>
    <row r="428" spans="1:37">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row>
    <row r="429" spans="1:37">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row>
    <row r="430" spans="1:37">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row>
    <row r="431" spans="1:37">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row>
    <row r="432" spans="1:37">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row>
    <row r="433" spans="1:37">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row>
    <row r="434" spans="1:37">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row>
    <row r="435" spans="1:37">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row>
    <row r="436" spans="1:37">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row>
    <row r="437" spans="1:37">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row>
    <row r="438" spans="1:37">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row>
    <row r="439" spans="1:37">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row>
    <row r="440" spans="1:37">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row>
    <row r="441" spans="1:37">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row>
    <row r="442" spans="1:37">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row>
    <row r="443" spans="1:37">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row>
    <row r="444" spans="1:37">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row>
    <row r="445" spans="1:37">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row>
    <row r="446" spans="1:37">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row>
    <row r="447" spans="1:37">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row>
    <row r="448" spans="1:37">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row>
    <row r="449" spans="1:37">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row>
    <row r="450" spans="1:37">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row>
    <row r="451" spans="1:37">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row>
    <row r="452" spans="1:37">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row>
    <row r="453" spans="1:37">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row>
    <row r="454" spans="1:37">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row>
    <row r="455" spans="1:37">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row>
    <row r="456" spans="1:37">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row>
    <row r="457" spans="1:37">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row>
    <row r="458" spans="1:37">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row>
    <row r="459" spans="1:37">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row>
    <row r="460" spans="1:37">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row>
    <row r="461" spans="1:37">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row>
    <row r="462" spans="1:37">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row>
    <row r="463" spans="1:37">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row>
    <row r="464" spans="1:37">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row>
    <row r="465" spans="1:37">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row>
    <row r="466" spans="1:37">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row>
    <row r="467" spans="1:37">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row>
    <row r="468" spans="1:37">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row>
    <row r="469" spans="1:37">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row>
    <row r="470" spans="1:37">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row>
    <row r="471" spans="1:37">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row>
    <row r="472" spans="1:37">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row>
    <row r="473" spans="1:37">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row>
    <row r="474" spans="1:37">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row>
    <row r="475" spans="1:37">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row>
    <row r="476" spans="1:37">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row>
    <row r="477" spans="1:37">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row>
    <row r="478" spans="1:37">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row>
    <row r="479" spans="1:37">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row>
    <row r="480" spans="1:37">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row>
    <row r="481" spans="1:37">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row>
    <row r="482" spans="1:37">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row>
    <row r="483" spans="1:37">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row>
    <row r="484" spans="1:37">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row>
    <row r="485" spans="1:37">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row>
    <row r="486" spans="1:37">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row>
    <row r="487" spans="1:37">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row>
    <row r="488" spans="1:37">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row>
    <row r="489" spans="1:37">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row>
    <row r="490" spans="1:37">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row>
    <row r="491" spans="1:37">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row>
    <row r="492" spans="1:37">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row>
    <row r="493" spans="1:37">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row>
    <row r="494" spans="1:37">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row>
    <row r="495" spans="1:37">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row>
    <row r="496" spans="1:37">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row>
    <row r="497" spans="1:37">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row>
    <row r="498" spans="1:37">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row>
    <row r="499" spans="1:37">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row>
    <row r="500" spans="1:37">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row>
    <row r="501" spans="1:37">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row>
    <row r="502" spans="1:37">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row>
    <row r="503" spans="1:37">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row>
    <row r="504" spans="1:37">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row>
    <row r="505" spans="1:37">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row>
    <row r="506" spans="1:37">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row>
    <row r="507" spans="1:37">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row>
    <row r="508" spans="1:37">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row>
    <row r="509" spans="1:37">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row>
    <row r="510" spans="1:37">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row>
    <row r="511" spans="1:37">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row>
    <row r="512" spans="1:37">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row>
    <row r="513" spans="1:37">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row>
    <row r="514" spans="1:37">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row>
    <row r="515" spans="1:37">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row>
    <row r="516" spans="1:37">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row>
    <row r="517" spans="1:37">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row>
    <row r="518" spans="1:37">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row>
    <row r="519" spans="1:37">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row>
    <row r="520" spans="1:37">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row>
    <row r="521" spans="1:37">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row>
    <row r="522" spans="1:37">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row>
    <row r="523" spans="1:37">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row>
    <row r="524" spans="1:37">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row>
    <row r="525" spans="1:37">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row>
    <row r="526" spans="1:37">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row>
    <row r="527" spans="1:37">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row>
    <row r="528" spans="1:37">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row>
    <row r="529" spans="1:37">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row>
    <row r="530" spans="1:37">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row>
    <row r="531" spans="1:37">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row>
    <row r="532" spans="1:37">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row>
    <row r="533" spans="1:37">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row>
    <row r="534" spans="1:37">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row>
    <row r="535" spans="1:37">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row>
    <row r="536" spans="1:37">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row>
    <row r="537" spans="1:37">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row>
    <row r="538" spans="1:37">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row>
    <row r="539" spans="1:37">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row>
    <row r="540" spans="1:37">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row>
    <row r="541" spans="1:37">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row>
    <row r="542" spans="1:37">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row>
    <row r="543" spans="1:37">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row>
    <row r="544" spans="1:37">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row>
    <row r="545" spans="1:37">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row>
    <row r="546" spans="1:37">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row>
    <row r="547" spans="1:37">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row>
    <row r="548" spans="1:37">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row>
    <row r="549" spans="1:37">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row>
    <row r="550" spans="1:37">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row>
    <row r="551" spans="1:37">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row>
    <row r="552" spans="1:37">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row>
    <row r="553" spans="1:37">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row>
    <row r="554" spans="1:37">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row>
    <row r="555" spans="1:37">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row>
    <row r="556" spans="1:37">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row>
    <row r="557" spans="1:37">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row>
    <row r="558" spans="1:37">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row>
    <row r="559" spans="1:37">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row>
    <row r="560" spans="1:37">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row>
    <row r="561" spans="1:37">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row>
    <row r="562" spans="1:37">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row>
    <row r="563" spans="1:37">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row>
    <row r="564" spans="1:37">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row>
    <row r="565" spans="1:37">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row>
    <row r="566" spans="1:37">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row>
    <row r="567" spans="1:37">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row>
    <row r="568" spans="1:37">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row>
    <row r="569" spans="1:37">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row>
    <row r="570" spans="1:37">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row>
    <row r="571" spans="1:37">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row>
    <row r="572" spans="1:37">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row>
    <row r="573" spans="1:37">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row>
    <row r="574" spans="1:37">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row>
    <row r="575" spans="1:37">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row>
    <row r="576" spans="1:37">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row>
    <row r="577" spans="1:37">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row>
    <row r="578" spans="1:37">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row>
    <row r="579" spans="1:37">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row>
    <row r="580" spans="1:37">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row>
    <row r="581" spans="1:37">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row>
    <row r="582" spans="1:37">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row>
    <row r="583" spans="1:37">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row>
    <row r="584" spans="1:37">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row>
    <row r="585" spans="1:37">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row>
    <row r="586" spans="1:37">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row>
    <row r="587" spans="1:37">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row>
    <row r="588" spans="1:37">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row>
    <row r="589" spans="1:37">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row>
    <row r="590" spans="1:37">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row>
    <row r="591" spans="1:37">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row>
    <row r="592" spans="1:37">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row>
    <row r="593" spans="1:37">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row>
    <row r="594" spans="1:37">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row>
    <row r="595" spans="1:37">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row>
    <row r="596" spans="1:37">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row>
    <row r="597" spans="1:37">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row>
    <row r="598" spans="1:37">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row>
    <row r="599" spans="1:37">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row>
    <row r="600" spans="1:37">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row>
    <row r="601" spans="1:37">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row>
    <row r="602" spans="1:37">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row>
    <row r="603" spans="1:37">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row>
    <row r="604" spans="1:37">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row>
    <row r="605" spans="1:37">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row>
    <row r="606" spans="1:37">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row>
    <row r="607" spans="1:37">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row>
    <row r="608" spans="1:37">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row>
    <row r="609" spans="1:37">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row>
    <row r="610" spans="1:37">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row>
    <row r="611" spans="1:37">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row>
    <row r="612" spans="1:37">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row>
    <row r="613" spans="1:37">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row>
    <row r="614" spans="1:37">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row>
    <row r="615" spans="1:37">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row>
    <row r="616" spans="1:37">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row>
    <row r="617" spans="1:37">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row>
    <row r="618" spans="1:37">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row>
    <row r="619" spans="1:37">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row>
    <row r="620" spans="1:37">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row>
    <row r="621" spans="1:37">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row>
    <row r="622" spans="1:37">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row>
    <row r="623" spans="1:37">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row>
    <row r="624" spans="1:37">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row>
    <row r="625" spans="1:37">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row>
    <row r="626" spans="1:37">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row>
    <row r="627" spans="1:37">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row>
    <row r="628" spans="1:37">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row>
    <row r="629" spans="1:37">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row>
    <row r="630" spans="1:37">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row>
    <row r="631" spans="1:37">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row>
    <row r="632" spans="1:37">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row>
    <row r="633" spans="1:37">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row>
    <row r="634" spans="1:37">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row>
    <row r="635" spans="1:37">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row>
    <row r="636" spans="1:37">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row>
    <row r="637" spans="1:37">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row>
    <row r="638" spans="1:37">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row>
    <row r="639" spans="1:37">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row>
    <row r="640" spans="1:37">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row>
    <row r="641" spans="1:37">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row>
    <row r="642" spans="1:37">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row>
    <row r="643" spans="1:37">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row>
    <row r="644" spans="1:37">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row>
    <row r="645" spans="1:37">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row>
    <row r="646" spans="1:37">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row>
    <row r="647" spans="1:37">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row>
    <row r="648" spans="1:37">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row>
    <row r="649" spans="1:37">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row>
    <row r="650" spans="1:37">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row>
    <row r="651" spans="1:37">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row>
    <row r="652" spans="1:37">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row>
    <row r="653" spans="1:37">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row>
    <row r="654" spans="1:37">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row>
    <row r="655" spans="1:37">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row>
    <row r="656" spans="1:37">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row>
    <row r="657" spans="1:37">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row>
    <row r="658" spans="1:37">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row>
    <row r="659" spans="1:37">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row>
    <row r="660" spans="1:37">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row>
    <row r="661" spans="1:37">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row>
    <row r="662" spans="1:37">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row>
    <row r="663" spans="1:37">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row>
    <row r="664" spans="1:37">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row>
    <row r="665" spans="1:37">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row>
    <row r="666" spans="1:37">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row>
    <row r="667" spans="1:37">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row>
    <row r="668" spans="1:37">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row>
    <row r="669" spans="1:37">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row>
    <row r="670" spans="1:37">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row>
    <row r="671" spans="1:37">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row>
    <row r="672" spans="1:37">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row>
    <row r="673" spans="1:37">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row>
    <row r="674" spans="1:37">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row>
    <row r="675" spans="1:37">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row>
    <row r="676" spans="1:37">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row>
    <row r="677" spans="1:37">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row>
    <row r="678" spans="1:37">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row>
    <row r="679" spans="1:37">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row>
    <row r="680" spans="1:37">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row>
    <row r="681" spans="1:37">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row>
    <row r="682" spans="1:37">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row>
    <row r="683" spans="1:37">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row>
    <row r="684" spans="1:37">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row>
    <row r="685" spans="1:37">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row>
    <row r="686" spans="1:37">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row>
    <row r="687" spans="1:37">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row>
    <row r="688" spans="1:37">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row>
    <row r="689" spans="1:37">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row>
    <row r="690" spans="1:37">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row>
    <row r="691" spans="1:37">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row>
    <row r="692" spans="1:37">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row>
    <row r="693" spans="1:37">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row>
    <row r="694" spans="1:37">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row>
    <row r="695" spans="1:37">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row>
    <row r="696" spans="1:37">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row>
    <row r="697" spans="1:37">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row>
    <row r="698" spans="1:37">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row>
    <row r="699" spans="1:37">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row>
    <row r="700" spans="1:37">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row>
    <row r="701" spans="1:37">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row>
    <row r="702" spans="1:37">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row>
    <row r="703" spans="1:37">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row>
    <row r="704" spans="1:37">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row>
    <row r="705" spans="1:37">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row>
    <row r="706" spans="1:37">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row>
    <row r="707" spans="1:37">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row>
    <row r="708" spans="1:37">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row>
    <row r="709" spans="1:37">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row>
    <row r="710" spans="1:37">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row>
    <row r="711" spans="1:37">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row>
    <row r="712" spans="1:37">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row>
    <row r="713" spans="1:37">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row>
    <row r="714" spans="1:37">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row>
    <row r="715" spans="1:37">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row>
    <row r="716" spans="1:37">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row>
    <row r="717" spans="1:37">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row>
    <row r="718" spans="1:37">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row>
    <row r="719" spans="1:37">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row>
    <row r="720" spans="1:37">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row>
    <row r="721" spans="1:37">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row>
    <row r="722" spans="1:37">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row>
    <row r="723" spans="1:37">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row>
    <row r="724" spans="1:37">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row>
    <row r="725" spans="1:37">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row>
    <row r="726" spans="1:37">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row>
    <row r="727" spans="1:37">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row>
    <row r="728" spans="1:37">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row>
    <row r="729" spans="1:37">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row>
    <row r="730" spans="1:37">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row>
    <row r="731" spans="1:37">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row>
    <row r="732" spans="1:37">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row>
    <row r="733" spans="1:37">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row>
    <row r="734" spans="1:37">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row>
    <row r="735" spans="1:37">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row>
    <row r="736" spans="1:37">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row>
    <row r="737" spans="1:37">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row>
    <row r="738" spans="1:37">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row>
    <row r="739" spans="1:37">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row>
    <row r="740" spans="1:37">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row>
    <row r="741" spans="1:37">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row>
    <row r="742" spans="1:37">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row>
    <row r="743" spans="1:37">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row>
    <row r="744" spans="1:37">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row>
    <row r="745" spans="1:37">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row>
    <row r="746" spans="1:37">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row>
    <row r="747" spans="1:37">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row>
    <row r="748" spans="1:37">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row>
    <row r="749" spans="1:37">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row>
    <row r="750" spans="1:37">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row>
    <row r="751" spans="1:37">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row>
    <row r="752" spans="1:37">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row>
    <row r="753" spans="1:37">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row>
    <row r="754" spans="1:37">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row>
    <row r="755" spans="1:37">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row>
    <row r="756" spans="1:37">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row>
    <row r="757" spans="1:37">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row>
    <row r="758" spans="1:37">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row>
    <row r="759" spans="1:37">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row>
    <row r="760" spans="1:37">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row>
    <row r="761" spans="1:37">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row>
    <row r="762" spans="1:37">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row>
    <row r="763" spans="1:37">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row>
    <row r="764" spans="1:37">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row>
    <row r="765" spans="1:37">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row>
    <row r="766" spans="1:37">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row>
    <row r="767" spans="1:37">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row>
    <row r="768" spans="1:37">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row>
    <row r="769" spans="1:37">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row>
    <row r="770" spans="1:37">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row>
    <row r="771" spans="1:37">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row>
    <row r="772" spans="1:37">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row>
    <row r="773" spans="1:37">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row>
    <row r="774" spans="1:37">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row>
    <row r="775" spans="1:37">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row>
    <row r="776" spans="1:37">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row>
    <row r="777" spans="1:37">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row>
    <row r="778" spans="1:37">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row>
    <row r="779" spans="1:37">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row>
    <row r="780" spans="1:37">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row>
    <row r="781" spans="1:37">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row>
    <row r="782" spans="1:37">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row>
    <row r="783" spans="1:37">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row>
    <row r="784" spans="1:37">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row>
    <row r="785" spans="1:37">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row>
    <row r="786" spans="1:37">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row>
    <row r="787" spans="1:37">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row>
    <row r="788" spans="1:37">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row>
    <row r="789" spans="1:37">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row>
    <row r="790" spans="1:37">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row>
    <row r="791" spans="1:37">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row>
    <row r="792" spans="1:37">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row>
    <row r="793" spans="1:37">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row>
    <row r="794" spans="1:37">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row>
    <row r="795" spans="1:37">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row>
    <row r="796" spans="1:37">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row>
    <row r="797" spans="1:37">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row>
    <row r="798" spans="1:37">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row>
    <row r="799" spans="1:37">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row>
    <row r="800" spans="1:37">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row>
    <row r="801" spans="1:37">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row>
    <row r="802" spans="1:37">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row>
    <row r="803" spans="1:37">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row>
    <row r="804" spans="1:37">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row>
    <row r="805" spans="1:37">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row>
    <row r="806" spans="1:37">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row>
    <row r="807" spans="1:37">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row>
    <row r="808" spans="1:37">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row>
    <row r="809" spans="1:37">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row>
    <row r="810" spans="1:37">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row>
    <row r="811" spans="1:37">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row>
    <row r="812" spans="1:37">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row>
    <row r="813" spans="1:37">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row>
    <row r="814" spans="1:37">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row>
    <row r="815" spans="1:37">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row>
    <row r="816" spans="1:37">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row>
    <row r="817" spans="1:37">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row>
    <row r="818" spans="1:37">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row>
    <row r="819" spans="1:37">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row>
    <row r="820" spans="1:37">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row>
    <row r="821" spans="1:37">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row>
    <row r="822" spans="1:37">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row>
    <row r="823" spans="1:37">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row>
    <row r="824" spans="1:37">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row>
    <row r="825" spans="1:37">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row>
    <row r="826" spans="1:37">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row>
    <row r="827" spans="1:37">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row>
    <row r="828" spans="1:37">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row>
    <row r="829" spans="1:37">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row>
    <row r="830" spans="1:37">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row>
    <row r="831" spans="1:37">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row>
    <row r="832" spans="1:37">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row>
    <row r="833" spans="1:37">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row>
    <row r="834" spans="1:37">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row>
    <row r="835" spans="1:37">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row>
    <row r="836" spans="1:37">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row>
    <row r="837" spans="1:37">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row>
    <row r="838" spans="1:37">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row>
    <row r="839" spans="1:37">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row>
    <row r="840" spans="1:37">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row>
    <row r="841" spans="1:37">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row>
    <row r="842" spans="1:37">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row>
    <row r="843" spans="1:37">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row>
    <row r="844" spans="1:37">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row>
    <row r="845" spans="1:37">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row>
    <row r="846" spans="1:37">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row>
    <row r="847" spans="1:37">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row>
    <row r="848" spans="1:37">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row>
    <row r="849" spans="1:37">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row>
    <row r="850" spans="1:37">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row>
    <row r="851" spans="1:37">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row>
    <row r="852" spans="1:37">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row>
    <row r="853" spans="1:37">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row>
    <row r="854" spans="1:37">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row>
    <row r="855" spans="1:37">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row>
    <row r="856" spans="1:37">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row>
    <row r="857" spans="1:37">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row>
    <row r="858" spans="1:37">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row>
    <row r="859" spans="1:37">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row>
    <row r="860" spans="1:37">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row>
    <row r="861" spans="1:37">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row>
    <row r="862" spans="1:37">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row>
    <row r="863" spans="1:37">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row>
    <row r="864" spans="1:37">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row>
    <row r="865" spans="1:37">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row>
    <row r="866" spans="1:37">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row>
    <row r="867" spans="1:37">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row>
    <row r="868" spans="1:37">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row>
    <row r="869" spans="1:37">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row>
    <row r="870" spans="1:37">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row>
    <row r="871" spans="1:37">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row>
    <row r="872" spans="1:37">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row>
    <row r="873" spans="1:37">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row>
    <row r="874" spans="1:37">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row>
    <row r="875" spans="1:37">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row>
    <row r="876" spans="1:37">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row>
    <row r="877" spans="1:37">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row>
    <row r="878" spans="1:37">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row>
    <row r="879" spans="1:37">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row>
    <row r="880" spans="1:37">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row>
    <row r="881" spans="1:37">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row>
    <row r="882" spans="1:37">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row>
    <row r="883" spans="1:37">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row>
    <row r="884" spans="1:37">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row>
    <row r="885" spans="1:37">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row>
    <row r="886" spans="1:37">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row>
    <row r="887" spans="1:37">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row>
    <row r="888" spans="1:37">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row>
    <row r="889" spans="1:37">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row>
    <row r="890" spans="1:37">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row>
    <row r="891" spans="1:37">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row>
    <row r="892" spans="1:37">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row>
    <row r="893" spans="1:37">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row>
    <row r="894" spans="1:37">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row>
    <row r="895" spans="1:37">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row>
    <row r="896" spans="1:37">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row>
    <row r="897" spans="1:37">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row>
    <row r="898" spans="1:37">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row>
    <row r="899" spans="1:37">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row>
    <row r="900" spans="1:37">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row>
    <row r="901" spans="1:37">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row>
    <row r="902" spans="1:37">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row>
    <row r="903" spans="1:37">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row>
    <row r="904" spans="1:37">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row>
    <row r="905" spans="1:37">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row>
    <row r="906" spans="1:37">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row>
    <row r="907" spans="1:37">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row>
    <row r="908" spans="1:37">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row>
    <row r="909" spans="1:37">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row>
    <row r="910" spans="1:37">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row>
    <row r="911" spans="1:37">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row>
    <row r="912" spans="1:37">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row>
    <row r="913" spans="1:37">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row>
    <row r="914" spans="1:37">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row>
    <row r="915" spans="1:37">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row>
    <row r="916" spans="1:37">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row>
    <row r="917" spans="1:37">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row>
    <row r="918" spans="1:37">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row>
    <row r="919" spans="1:37">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row>
    <row r="920" spans="1:37">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row>
    <row r="921" spans="1:37">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row>
    <row r="922" spans="1:37">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row>
    <row r="923" spans="1:37">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row>
    <row r="924" spans="1:37">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row>
    <row r="925" spans="1:37">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row>
    <row r="926" spans="1:37">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row>
    <row r="927" spans="1:37">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row>
    <row r="928" spans="1:37">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row>
    <row r="929" spans="1:37">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row>
    <row r="930" spans="1:37">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row>
    <row r="931" spans="1:37">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row>
    <row r="932" spans="1:37">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row>
    <row r="933" spans="1:37">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row>
    <row r="934" spans="1:37">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row>
    <row r="935" spans="1:37">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row>
    <row r="936" spans="1:37">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row>
    <row r="937" spans="1:37">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row>
    <row r="938" spans="1:37">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row>
    <row r="939" spans="1:37">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row>
    <row r="940" spans="1:37">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row>
    <row r="941" spans="1:37">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row>
    <row r="942" spans="1:37">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row>
    <row r="943" spans="1:37">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row>
    <row r="944" spans="1:37">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row>
    <row r="945" spans="1:37">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row>
    <row r="946" spans="1:37">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row>
    <row r="947" spans="1:37">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row>
    <row r="948" spans="1:37">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row>
    <row r="949" spans="1:37">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row>
    <row r="950" spans="1:37">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row>
    <row r="951" spans="1:37">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row>
    <row r="952" spans="1:37">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row>
    <row r="953" spans="1:37">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row>
    <row r="954" spans="1:37">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row>
    <row r="955" spans="1:37">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row>
    <row r="956" spans="1:37">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row>
    <row r="957" spans="1:37">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row>
    <row r="958" spans="1:37">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row>
    <row r="959" spans="1:37">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row>
    <row r="960" spans="1:37">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row>
    <row r="961" spans="1:37">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row>
    <row r="962" spans="1:37">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row>
    <row r="963" spans="1:37">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row>
    <row r="964" spans="1:37">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row>
    <row r="965" spans="1:37">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row>
    <row r="966" spans="1:37">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row>
    <row r="967" spans="1:37">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row>
    <row r="968" spans="1:37">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row>
    <row r="969" spans="1:37">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row>
    <row r="970" spans="1:37">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row>
    <row r="971" spans="1:37">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row>
    <row r="972" spans="1:37">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35"/>
      <c r="AB972" s="35"/>
      <c r="AC972" s="35"/>
      <c r="AD972" s="35"/>
      <c r="AE972" s="35"/>
      <c r="AF972" s="35"/>
      <c r="AG972" s="35"/>
      <c r="AH972" s="35"/>
      <c r="AI972" s="35"/>
      <c r="AJ972" s="35"/>
      <c r="AK972" s="35"/>
    </row>
    <row r="973" spans="1:37">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row>
    <row r="974" spans="1:37">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AA974" s="35"/>
      <c r="AB974" s="35"/>
      <c r="AC974" s="35"/>
      <c r="AD974" s="35"/>
      <c r="AE974" s="35"/>
      <c r="AF974" s="35"/>
      <c r="AG974" s="35"/>
      <c r="AH974" s="35"/>
      <c r="AI974" s="35"/>
      <c r="AJ974" s="35"/>
      <c r="AK974" s="35"/>
    </row>
    <row r="975" spans="1:37">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AB975" s="35"/>
      <c r="AC975" s="35"/>
      <c r="AD975" s="35"/>
      <c r="AE975" s="35"/>
      <c r="AF975" s="35"/>
      <c r="AG975" s="35"/>
      <c r="AH975" s="35"/>
      <c r="AI975" s="35"/>
      <c r="AJ975" s="35"/>
      <c r="AK975" s="35"/>
    </row>
    <row r="976" spans="1:37">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row>
    <row r="977" spans="1:37">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row>
    <row r="978" spans="1:37">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row>
    <row r="979" spans="1:37">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row>
    <row r="980" spans="1:37">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row>
    <row r="981" spans="1:37">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row>
    <row r="982" spans="1:37">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c r="AA982" s="35"/>
      <c r="AB982" s="35"/>
      <c r="AC982" s="35"/>
      <c r="AD982" s="35"/>
      <c r="AE982" s="35"/>
      <c r="AF982" s="35"/>
      <c r="AG982" s="35"/>
      <c r="AH982" s="35"/>
      <c r="AI982" s="35"/>
      <c r="AJ982" s="35"/>
      <c r="AK982" s="35"/>
    </row>
    <row r="983" spans="1:37">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c r="AA983" s="35"/>
      <c r="AB983" s="35"/>
      <c r="AC983" s="35"/>
      <c r="AD983" s="35"/>
      <c r="AE983" s="35"/>
      <c r="AF983" s="35"/>
      <c r="AG983" s="35"/>
      <c r="AH983" s="35"/>
      <c r="AI983" s="35"/>
      <c r="AJ983" s="35"/>
      <c r="AK983" s="35"/>
    </row>
    <row r="984" spans="1:37">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c r="AA984" s="35"/>
      <c r="AB984" s="35"/>
      <c r="AC984" s="35"/>
      <c r="AD984" s="35"/>
      <c r="AE984" s="35"/>
      <c r="AF984" s="35"/>
      <c r="AG984" s="35"/>
      <c r="AH984" s="35"/>
      <c r="AI984" s="35"/>
      <c r="AJ984" s="35"/>
      <c r="AK984" s="35"/>
    </row>
    <row r="985" spans="1:37">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c r="AA985" s="35"/>
      <c r="AB985" s="35"/>
      <c r="AC985" s="35"/>
      <c r="AD985" s="35"/>
      <c r="AE985" s="35"/>
      <c r="AF985" s="35"/>
      <c r="AG985" s="35"/>
      <c r="AH985" s="35"/>
      <c r="AI985" s="35"/>
      <c r="AJ985" s="35"/>
      <c r="AK985" s="35"/>
    </row>
    <row r="986" spans="1:37">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c r="AA986" s="35"/>
      <c r="AB986" s="35"/>
      <c r="AC986" s="35"/>
      <c r="AD986" s="35"/>
      <c r="AE986" s="35"/>
      <c r="AF986" s="35"/>
      <c r="AG986" s="35"/>
      <c r="AH986" s="35"/>
      <c r="AI986" s="35"/>
      <c r="AJ986" s="35"/>
      <c r="AK986" s="35"/>
    </row>
    <row r="987" spans="1:37">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c r="AA987" s="35"/>
      <c r="AB987" s="35"/>
      <c r="AC987" s="35"/>
      <c r="AD987" s="35"/>
      <c r="AE987" s="35"/>
      <c r="AF987" s="35"/>
      <c r="AG987" s="35"/>
      <c r="AH987" s="35"/>
      <c r="AI987" s="35"/>
      <c r="AJ987" s="35"/>
      <c r="AK987" s="35"/>
    </row>
    <row r="988" spans="1:37">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c r="AA988" s="35"/>
      <c r="AB988" s="35"/>
      <c r="AC988" s="35"/>
      <c r="AD988" s="35"/>
      <c r="AE988" s="35"/>
      <c r="AF988" s="35"/>
      <c r="AG988" s="35"/>
      <c r="AH988" s="35"/>
      <c r="AI988" s="35"/>
      <c r="AJ988" s="35"/>
      <c r="AK988" s="35"/>
    </row>
    <row r="989" spans="1:37">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c r="AA989" s="35"/>
      <c r="AB989" s="35"/>
      <c r="AC989" s="35"/>
      <c r="AD989" s="35"/>
      <c r="AE989" s="35"/>
      <c r="AF989" s="35"/>
      <c r="AG989" s="35"/>
      <c r="AH989" s="35"/>
      <c r="AI989" s="35"/>
      <c r="AJ989" s="35"/>
      <c r="AK989" s="35"/>
    </row>
    <row r="990" spans="1:37">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c r="AA990" s="35"/>
      <c r="AB990" s="35"/>
      <c r="AC990" s="35"/>
      <c r="AD990" s="35"/>
      <c r="AE990" s="35"/>
      <c r="AF990" s="35"/>
      <c r="AG990" s="35"/>
      <c r="AH990" s="35"/>
      <c r="AI990" s="35"/>
      <c r="AJ990" s="35"/>
      <c r="AK990" s="35"/>
    </row>
    <row r="991" spans="1:37">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c r="AA991" s="35"/>
      <c r="AB991" s="35"/>
      <c r="AC991" s="35"/>
      <c r="AD991" s="35"/>
      <c r="AE991" s="35"/>
      <c r="AF991" s="35"/>
      <c r="AG991" s="35"/>
      <c r="AH991" s="35"/>
      <c r="AI991" s="35"/>
      <c r="AJ991" s="35"/>
      <c r="AK991" s="35"/>
    </row>
    <row r="992" spans="1:37">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c r="AA992" s="35"/>
      <c r="AB992" s="35"/>
      <c r="AC992" s="35"/>
      <c r="AD992" s="35"/>
      <c r="AE992" s="35"/>
      <c r="AF992" s="35"/>
      <c r="AG992" s="35"/>
      <c r="AH992" s="35"/>
      <c r="AI992" s="35"/>
      <c r="AJ992" s="35"/>
      <c r="AK992" s="35"/>
    </row>
    <row r="993" spans="1:37">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c r="AA993" s="35"/>
      <c r="AB993" s="35"/>
      <c r="AC993" s="35"/>
      <c r="AD993" s="35"/>
      <c r="AE993" s="35"/>
      <c r="AF993" s="35"/>
      <c r="AG993" s="35"/>
      <c r="AH993" s="35"/>
      <c r="AI993" s="35"/>
      <c r="AJ993" s="35"/>
      <c r="AK993" s="35"/>
    </row>
    <row r="994" spans="1:37">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c r="AA994" s="35"/>
      <c r="AB994" s="35"/>
      <c r="AC994" s="35"/>
      <c r="AD994" s="35"/>
      <c r="AE994" s="35"/>
      <c r="AF994" s="35"/>
      <c r="AG994" s="35"/>
      <c r="AH994" s="35"/>
      <c r="AI994" s="35"/>
      <c r="AJ994" s="35"/>
      <c r="AK994" s="35"/>
    </row>
    <row r="995" spans="1:37">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c r="AA995" s="35"/>
      <c r="AB995" s="35"/>
      <c r="AC995" s="35"/>
      <c r="AD995" s="35"/>
      <c r="AE995" s="35"/>
      <c r="AF995" s="35"/>
      <c r="AG995" s="35"/>
      <c r="AH995" s="35"/>
      <c r="AI995" s="35"/>
      <c r="AJ995" s="35"/>
      <c r="AK995" s="35"/>
    </row>
    <row r="996" spans="1:37">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c r="AA996" s="35"/>
      <c r="AB996" s="35"/>
      <c r="AC996" s="35"/>
      <c r="AD996" s="35"/>
      <c r="AE996" s="35"/>
      <c r="AF996" s="35"/>
      <c r="AG996" s="35"/>
      <c r="AH996" s="35"/>
      <c r="AI996" s="35"/>
      <c r="AJ996" s="35"/>
      <c r="AK996" s="35"/>
    </row>
    <row r="997" spans="1:37">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c r="AA997" s="35"/>
      <c r="AB997" s="35"/>
      <c r="AC997" s="35"/>
      <c r="AD997" s="35"/>
      <c r="AE997" s="35"/>
      <c r="AF997" s="35"/>
      <c r="AG997" s="35"/>
      <c r="AH997" s="35"/>
      <c r="AI997" s="35"/>
      <c r="AJ997" s="35"/>
      <c r="AK997" s="35"/>
    </row>
    <row r="998" spans="1:37">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c r="AA998" s="35"/>
      <c r="AB998" s="35"/>
      <c r="AC998" s="35"/>
      <c r="AD998" s="35"/>
      <c r="AE998" s="35"/>
      <c r="AF998" s="35"/>
      <c r="AG998" s="35"/>
      <c r="AH998" s="35"/>
      <c r="AI998" s="35"/>
      <c r="AJ998" s="35"/>
      <c r="AK998" s="35"/>
    </row>
    <row r="999" spans="1:37">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c r="AA999" s="35"/>
      <c r="AB999" s="35"/>
      <c r="AC999" s="35"/>
      <c r="AD999" s="35"/>
      <c r="AE999" s="35"/>
      <c r="AF999" s="35"/>
      <c r="AG999" s="35"/>
      <c r="AH999" s="35"/>
      <c r="AI999" s="35"/>
      <c r="AJ999" s="35"/>
      <c r="AK999" s="35"/>
    </row>
    <row r="1000" spans="1:37">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c r="AA1000" s="35"/>
      <c r="AB1000" s="35"/>
      <c r="AC1000" s="35"/>
      <c r="AD1000" s="35"/>
      <c r="AE1000" s="35"/>
      <c r="AF1000" s="35"/>
      <c r="AG1000" s="35"/>
      <c r="AH1000" s="35"/>
      <c r="AI1000" s="35"/>
      <c r="AJ1000" s="35"/>
      <c r="AK1000" s="35"/>
    </row>
    <row r="1001" spans="1:37">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c r="AA1001" s="35"/>
      <c r="AB1001" s="35"/>
      <c r="AC1001" s="35"/>
      <c r="AD1001" s="35"/>
      <c r="AE1001" s="35"/>
      <c r="AF1001" s="35"/>
      <c r="AG1001" s="35"/>
      <c r="AH1001" s="35"/>
      <c r="AI1001" s="35"/>
      <c r="AJ1001" s="35"/>
      <c r="AK1001" s="3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K1000"/>
  <sheetViews>
    <sheetView workbookViewId="0"/>
  </sheetViews>
  <sheetFormatPr baseColWidth="10" defaultColWidth="12.625" defaultRowHeight="15" customHeight="1"/>
  <cols>
    <col min="1" max="1" width="28" customWidth="1"/>
    <col min="2" max="2" width="12.375" customWidth="1"/>
    <col min="3" max="3" width="19.25" customWidth="1"/>
    <col min="4" max="4" width="28.375" customWidth="1"/>
    <col min="5" max="5" width="17.25" customWidth="1"/>
  </cols>
  <sheetData>
    <row r="1" spans="1:37" ht="15" customHeight="1">
      <c r="A1" s="35" t="str">
        <f ca="1">IFERROR(__xludf.DUMMYFUNCTION("QUERY('PA 2021'!$A$3:$AB$441,""SELECT A, B,E,AA"")"),"Dependencia")</f>
        <v>Dependencia</v>
      </c>
      <c r="B1" s="35" t="str">
        <f ca="1">IFERROR(__xludf.DUMMYFUNCTION("""COMPUTED_VALUE"""),"No consecutivo
Actividad")</f>
        <v>No consecutivo
Actividad</v>
      </c>
      <c r="C1" s="35" t="str">
        <f ca="1">IFERROR(__xludf.DUMMYFUNCTION("""COMPUTED_VALUE"""),"Número de Subactividad")</f>
        <v>Número de Subactividad</v>
      </c>
      <c r="D1" s="35" t="str">
        <f ca="1">IFERROR(__xludf.DUMMYFUNCTION("""COMPUTED_VALUE"""),"Trim")</f>
        <v>Trim</v>
      </c>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row>
    <row r="2" spans="1:37" ht="15" customHeight="1">
      <c r="A2" s="35" t="str">
        <f ca="1">IFERROR(__xludf.DUMMYFUNCTION("""COMPUTED_VALUE"""),"Dirección General - Asesoras")</f>
        <v>Dirección General - Asesoras</v>
      </c>
      <c r="B2" s="35">
        <f ca="1">IFERROR(__xludf.DUMMYFUNCTION("""COMPUTED_VALUE"""),1)</f>
        <v>1</v>
      </c>
      <c r="C2" s="35" t="str">
        <f ca="1">IFERROR(__xludf.DUMMYFUNCTION("""COMPUTED_VALUE"""),"1.1")</f>
        <v>1.1</v>
      </c>
      <c r="D2" s="35" t="str">
        <f ca="1">IFERROR(__xludf.DUMMYFUNCTION("""COMPUTED_VALUE"""),"Trim 4")</f>
        <v>Trim 4</v>
      </c>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row>
    <row r="3" spans="1:37" ht="15" customHeight="1">
      <c r="A3" s="35" t="str">
        <f ca="1">IFERROR(__xludf.DUMMYFUNCTION("""COMPUTED_VALUE"""),"Dirección General - Asesoras")</f>
        <v>Dirección General - Asesoras</v>
      </c>
      <c r="B3" s="35">
        <f ca="1">IFERROR(__xludf.DUMMYFUNCTION("""COMPUTED_VALUE"""),1)</f>
        <v>1</v>
      </c>
      <c r="C3" s="35" t="str">
        <f ca="1">IFERROR(__xludf.DUMMYFUNCTION("""COMPUTED_VALUE"""),"1.2")</f>
        <v>1.2</v>
      </c>
      <c r="D3" s="35" t="str">
        <f ca="1">IFERROR(__xludf.DUMMYFUNCTION("""COMPUTED_VALUE"""),"Trim 4")</f>
        <v>Trim 4</v>
      </c>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row>
    <row r="4" spans="1:37" ht="15" customHeight="1">
      <c r="A4" s="35" t="str">
        <f ca="1">IFERROR(__xludf.DUMMYFUNCTION("""COMPUTED_VALUE"""),"Dirección General - Asesoras")</f>
        <v>Dirección General - Asesoras</v>
      </c>
      <c r="B4" s="35">
        <f ca="1">IFERROR(__xludf.DUMMYFUNCTION("""COMPUTED_VALUE"""),1)</f>
        <v>1</v>
      </c>
      <c r="C4" s="35" t="str">
        <f ca="1">IFERROR(__xludf.DUMMYFUNCTION("""COMPUTED_VALUE"""),"1.3")</f>
        <v>1.3</v>
      </c>
      <c r="D4" s="35" t="str">
        <f ca="1">IFERROR(__xludf.DUMMYFUNCTION("""COMPUTED_VALUE"""),"Trim 4")</f>
        <v>Trim 4</v>
      </c>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row>
    <row r="5" spans="1:37" ht="15" customHeight="1">
      <c r="A5" s="35" t="str">
        <f ca="1">IFERROR(__xludf.DUMMYFUNCTION("""COMPUTED_VALUE"""),"Dirección General - Asesoras")</f>
        <v>Dirección General - Asesoras</v>
      </c>
      <c r="B5" s="35">
        <f ca="1">IFERROR(__xludf.DUMMYFUNCTION("""COMPUTED_VALUE"""),1)</f>
        <v>1</v>
      </c>
      <c r="C5" s="35" t="str">
        <f ca="1">IFERROR(__xludf.DUMMYFUNCTION("""COMPUTED_VALUE"""),"1.4")</f>
        <v>1.4</v>
      </c>
      <c r="D5" s="35" t="str">
        <f ca="1">IFERROR(__xludf.DUMMYFUNCTION("""COMPUTED_VALUE"""),"Trim 4")</f>
        <v>Trim 4</v>
      </c>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row>
    <row r="6" spans="1:37" ht="15" customHeight="1">
      <c r="A6" s="35" t="str">
        <f ca="1">IFERROR(__xludf.DUMMYFUNCTION("""COMPUTED_VALUE"""),"Dirección General - Asesoras")</f>
        <v>Dirección General - Asesoras</v>
      </c>
      <c r="B6" s="35">
        <f ca="1">IFERROR(__xludf.DUMMYFUNCTION("""COMPUTED_VALUE"""),2)</f>
        <v>2</v>
      </c>
      <c r="C6" s="35" t="str">
        <f ca="1">IFERROR(__xludf.DUMMYFUNCTION("""COMPUTED_VALUE"""),"2.1")</f>
        <v>2.1</v>
      </c>
      <c r="D6" s="35" t="str">
        <f ca="1">IFERROR(__xludf.DUMMYFUNCTION("""COMPUTED_VALUE"""),"Trim 4")</f>
        <v>Trim 4</v>
      </c>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row>
    <row r="7" spans="1:37" ht="15" customHeight="1">
      <c r="A7" s="35" t="str">
        <f ca="1">IFERROR(__xludf.DUMMYFUNCTION("""COMPUTED_VALUE"""),"Dirección General - Asesoras")</f>
        <v>Dirección General - Asesoras</v>
      </c>
      <c r="B7" s="35">
        <f ca="1">IFERROR(__xludf.DUMMYFUNCTION("""COMPUTED_VALUE"""),2)</f>
        <v>2</v>
      </c>
      <c r="C7" s="35" t="str">
        <f ca="1">IFERROR(__xludf.DUMMYFUNCTION("""COMPUTED_VALUE"""),"2.2")</f>
        <v>2.2</v>
      </c>
      <c r="D7" s="35" t="str">
        <f ca="1">IFERROR(__xludf.DUMMYFUNCTION("""COMPUTED_VALUE"""),"Trim 4")</f>
        <v>Trim 4</v>
      </c>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row>
    <row r="8" spans="1:37" ht="15" customHeight="1">
      <c r="A8" s="35" t="str">
        <f ca="1">IFERROR(__xludf.DUMMYFUNCTION("""COMPUTED_VALUE"""),"Dirección General - Asesoras")</f>
        <v>Dirección General - Asesoras</v>
      </c>
      <c r="B8" s="35">
        <f ca="1">IFERROR(__xludf.DUMMYFUNCTION("""COMPUTED_VALUE"""),2)</f>
        <v>2</v>
      </c>
      <c r="C8" s="35" t="str">
        <f ca="1">IFERROR(__xludf.DUMMYFUNCTION("""COMPUTED_VALUE"""),"2.3")</f>
        <v>2.3</v>
      </c>
      <c r="D8" s="35" t="str">
        <f ca="1">IFERROR(__xludf.DUMMYFUNCTION("""COMPUTED_VALUE"""),"Trim 4")</f>
        <v>Trim 4</v>
      </c>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row>
    <row r="9" spans="1:37" ht="15" customHeight="1">
      <c r="A9" s="35" t="str">
        <f ca="1">IFERROR(__xludf.DUMMYFUNCTION("""COMPUTED_VALUE"""),"Dirección General - Asesoras")</f>
        <v>Dirección General - Asesoras</v>
      </c>
      <c r="B9" s="35">
        <f ca="1">IFERROR(__xludf.DUMMYFUNCTION("""COMPUTED_VALUE"""),3)</f>
        <v>3</v>
      </c>
      <c r="C9" s="35" t="str">
        <f ca="1">IFERROR(__xludf.DUMMYFUNCTION("""COMPUTED_VALUE"""),"3.1")</f>
        <v>3.1</v>
      </c>
      <c r="D9" s="35" t="str">
        <f ca="1">IFERROR(__xludf.DUMMYFUNCTION("""COMPUTED_VALUE"""),"Trim 4")</f>
        <v>Trim 4</v>
      </c>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row>
    <row r="10" spans="1:37" ht="15" customHeight="1">
      <c r="A10" s="35" t="str">
        <f ca="1">IFERROR(__xludf.DUMMYFUNCTION("""COMPUTED_VALUE"""),"Dirección General - Asesoras")</f>
        <v>Dirección General - Asesoras</v>
      </c>
      <c r="B10" s="35">
        <f ca="1">IFERROR(__xludf.DUMMYFUNCTION("""COMPUTED_VALUE"""),3)</f>
        <v>3</v>
      </c>
      <c r="C10" s="35" t="str">
        <f ca="1">IFERROR(__xludf.DUMMYFUNCTION("""COMPUTED_VALUE"""),"3.2")</f>
        <v>3.2</v>
      </c>
      <c r="D10" s="35" t="str">
        <f ca="1">IFERROR(__xludf.DUMMYFUNCTION("""COMPUTED_VALUE"""),"Trim 4")</f>
        <v>Trim 4</v>
      </c>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row>
    <row r="11" spans="1:37" ht="15" customHeight="1">
      <c r="A11" s="35" t="str">
        <f ca="1">IFERROR(__xludf.DUMMYFUNCTION("""COMPUTED_VALUE"""),"Dirección General - Asesoras")</f>
        <v>Dirección General - Asesoras</v>
      </c>
      <c r="B11" s="35">
        <f ca="1">IFERROR(__xludf.DUMMYFUNCTION("""COMPUTED_VALUE"""),3)</f>
        <v>3</v>
      </c>
      <c r="C11" s="35" t="str">
        <f ca="1">IFERROR(__xludf.DUMMYFUNCTION("""COMPUTED_VALUE"""),"3.3")</f>
        <v>3.3</v>
      </c>
      <c r="D11" s="35" t="str">
        <f ca="1">IFERROR(__xludf.DUMMYFUNCTION("""COMPUTED_VALUE"""),"Trim 4")</f>
        <v>Trim 4</v>
      </c>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row>
    <row r="12" spans="1:37" ht="15" customHeight="1">
      <c r="A12" s="35" t="str">
        <f ca="1">IFERROR(__xludf.DUMMYFUNCTION("""COMPUTED_VALUE"""),"Dirección General - Asesoras")</f>
        <v>Dirección General - Asesoras</v>
      </c>
      <c r="B12" s="35">
        <f ca="1">IFERROR(__xludf.DUMMYFUNCTION("""COMPUTED_VALUE"""),4)</f>
        <v>4</v>
      </c>
      <c r="C12" s="35" t="str">
        <f ca="1">IFERROR(__xludf.DUMMYFUNCTION("""COMPUTED_VALUE"""),"4.1")</f>
        <v>4.1</v>
      </c>
      <c r="D12" s="35" t="str">
        <f ca="1">IFERROR(__xludf.DUMMYFUNCTION("""COMPUTED_VALUE"""),"Trim 4")</f>
        <v>Trim 4</v>
      </c>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row>
    <row r="13" spans="1:37" ht="15" customHeight="1">
      <c r="A13" s="35" t="str">
        <f ca="1">IFERROR(__xludf.DUMMYFUNCTION("""COMPUTED_VALUE"""),"Dirección General - Asesoras")</f>
        <v>Dirección General - Asesoras</v>
      </c>
      <c r="B13" s="35">
        <f ca="1">IFERROR(__xludf.DUMMYFUNCTION("""COMPUTED_VALUE"""),4)</f>
        <v>4</v>
      </c>
      <c r="C13" s="35" t="str">
        <f ca="1">IFERROR(__xludf.DUMMYFUNCTION("""COMPUTED_VALUE"""),"4.2")</f>
        <v>4.2</v>
      </c>
      <c r="D13" s="35" t="str">
        <f ca="1">IFERROR(__xludf.DUMMYFUNCTION("""COMPUTED_VALUE"""),"Trim 4")</f>
        <v>Trim 4</v>
      </c>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row>
    <row r="14" spans="1:37" ht="15" customHeight="1">
      <c r="A14" s="35" t="str">
        <f ca="1">IFERROR(__xludf.DUMMYFUNCTION("""COMPUTED_VALUE"""),"Dirección General - Asesoras")</f>
        <v>Dirección General - Asesoras</v>
      </c>
      <c r="B14" s="35">
        <f ca="1">IFERROR(__xludf.DUMMYFUNCTION("""COMPUTED_VALUE"""),4)</f>
        <v>4</v>
      </c>
      <c r="C14" s="35" t="str">
        <f ca="1">IFERROR(__xludf.DUMMYFUNCTION("""COMPUTED_VALUE"""),"4.3")</f>
        <v>4.3</v>
      </c>
      <c r="D14" s="35" t="str">
        <f ca="1">IFERROR(__xludf.DUMMYFUNCTION("""COMPUTED_VALUE"""),"Trim 4")</f>
        <v>Trim 4</v>
      </c>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row>
    <row r="15" spans="1:37" ht="15" customHeight="1">
      <c r="A15" s="35" t="str">
        <f ca="1">IFERROR(__xludf.DUMMYFUNCTION("""COMPUTED_VALUE"""),"Dirección General - Asesoras")</f>
        <v>Dirección General - Asesoras</v>
      </c>
      <c r="B15" s="35">
        <f ca="1">IFERROR(__xludf.DUMMYFUNCTION("""COMPUTED_VALUE"""),4)</f>
        <v>4</v>
      </c>
      <c r="C15" s="35" t="str">
        <f ca="1">IFERROR(__xludf.DUMMYFUNCTION("""COMPUTED_VALUE"""),"4.4")</f>
        <v>4.4</v>
      </c>
      <c r="D15" s="35" t="str">
        <f ca="1">IFERROR(__xludf.DUMMYFUNCTION("""COMPUTED_VALUE"""),"Trim 4")</f>
        <v>Trim 4</v>
      </c>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row>
    <row r="16" spans="1:37" ht="15" customHeight="1">
      <c r="A16" s="35" t="str">
        <f ca="1">IFERROR(__xludf.DUMMYFUNCTION("""COMPUTED_VALUE"""),"Dirección General - Control Interno")</f>
        <v>Dirección General - Control Interno</v>
      </c>
      <c r="B16" s="35">
        <f ca="1">IFERROR(__xludf.DUMMYFUNCTION("""COMPUTED_VALUE"""),1)</f>
        <v>1</v>
      </c>
      <c r="C16" s="35" t="str">
        <f ca="1">IFERROR(__xludf.DUMMYFUNCTION("""COMPUTED_VALUE"""),"1.1")</f>
        <v>1.1</v>
      </c>
      <c r="D16" s="35" t="str">
        <f ca="1">IFERROR(__xludf.DUMMYFUNCTION("""COMPUTED_VALUE"""),"Trim 1")</f>
        <v>Trim 1</v>
      </c>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row>
    <row r="17" spans="1:37" ht="15" customHeight="1">
      <c r="A17" s="35" t="str">
        <f ca="1">IFERROR(__xludf.DUMMYFUNCTION("""COMPUTED_VALUE"""),"Dirección General - Control Interno")</f>
        <v>Dirección General - Control Interno</v>
      </c>
      <c r="B17" s="35">
        <f ca="1">IFERROR(__xludf.DUMMYFUNCTION("""COMPUTED_VALUE"""),1)</f>
        <v>1</v>
      </c>
      <c r="C17" s="35" t="str">
        <f ca="1">IFERROR(__xludf.DUMMYFUNCTION("""COMPUTED_VALUE"""),"1.2")</f>
        <v>1.2</v>
      </c>
      <c r="D17" s="35" t="str">
        <f ca="1">IFERROR(__xludf.DUMMYFUNCTION("""COMPUTED_VALUE"""),"Trim 1")</f>
        <v>Trim 1</v>
      </c>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row>
    <row r="18" spans="1:37" ht="15" customHeight="1">
      <c r="A18" s="35" t="str">
        <f ca="1">IFERROR(__xludf.DUMMYFUNCTION("""COMPUTED_VALUE"""),"Dirección General - Control Interno")</f>
        <v>Dirección General - Control Interno</v>
      </c>
      <c r="B18" s="35">
        <f ca="1">IFERROR(__xludf.DUMMYFUNCTION("""COMPUTED_VALUE"""),2)</f>
        <v>2</v>
      </c>
      <c r="C18" s="35" t="str">
        <f ca="1">IFERROR(__xludf.DUMMYFUNCTION("""COMPUTED_VALUE"""),"2.1")</f>
        <v>2.1</v>
      </c>
      <c r="D18" s="35" t="str">
        <f ca="1">IFERROR(__xludf.DUMMYFUNCTION("""COMPUTED_VALUE"""),"Trim 1")</f>
        <v>Trim 1</v>
      </c>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row>
    <row r="19" spans="1:37" ht="15" customHeight="1">
      <c r="A19" s="35" t="str">
        <f ca="1">IFERROR(__xludf.DUMMYFUNCTION("""COMPUTED_VALUE"""),"Dirección General - Control Interno")</f>
        <v>Dirección General - Control Interno</v>
      </c>
      <c r="B19" s="35">
        <f ca="1">IFERROR(__xludf.DUMMYFUNCTION("""COMPUTED_VALUE"""),2)</f>
        <v>2</v>
      </c>
      <c r="C19" s="35" t="str">
        <f ca="1">IFERROR(__xludf.DUMMYFUNCTION("""COMPUTED_VALUE"""),"2.2")</f>
        <v>2.2</v>
      </c>
      <c r="D19" s="35" t="str">
        <f ca="1">IFERROR(__xludf.DUMMYFUNCTION("""COMPUTED_VALUE"""),"Trim 1")</f>
        <v>Trim 1</v>
      </c>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row>
    <row r="20" spans="1:37" ht="15" customHeight="1">
      <c r="A20" s="35" t="str">
        <f ca="1">IFERROR(__xludf.DUMMYFUNCTION("""COMPUTED_VALUE"""),"Dirección General - Control Interno")</f>
        <v>Dirección General - Control Interno</v>
      </c>
      <c r="B20" s="35">
        <f ca="1">IFERROR(__xludf.DUMMYFUNCTION("""COMPUTED_VALUE"""),2)</f>
        <v>2</v>
      </c>
      <c r="C20" s="35" t="str">
        <f ca="1">IFERROR(__xludf.DUMMYFUNCTION("""COMPUTED_VALUE"""),"2.3")</f>
        <v>2.3</v>
      </c>
      <c r="D20" s="35" t="str">
        <f ca="1">IFERROR(__xludf.DUMMYFUNCTION("""COMPUTED_VALUE"""),"Trim 2")</f>
        <v>Trim 2</v>
      </c>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row>
    <row r="21" spans="1:37" ht="15" customHeight="1">
      <c r="A21" s="35" t="str">
        <f ca="1">IFERROR(__xludf.DUMMYFUNCTION("""COMPUTED_VALUE"""),"Dirección General - Control Interno")</f>
        <v>Dirección General - Control Interno</v>
      </c>
      <c r="B21" s="35">
        <f ca="1">IFERROR(__xludf.DUMMYFUNCTION("""COMPUTED_VALUE"""),2)</f>
        <v>2</v>
      </c>
      <c r="C21" s="35" t="str">
        <f ca="1">IFERROR(__xludf.DUMMYFUNCTION("""COMPUTED_VALUE"""),"2.4")</f>
        <v>2.4</v>
      </c>
      <c r="D21" s="35" t="str">
        <f ca="1">IFERROR(__xludf.DUMMYFUNCTION("""COMPUTED_VALUE"""),"Trim 2")</f>
        <v>Trim 2</v>
      </c>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row>
    <row r="22" spans="1:37" ht="15" customHeight="1">
      <c r="A22" s="35" t="str">
        <f ca="1">IFERROR(__xludf.DUMMYFUNCTION("""COMPUTED_VALUE"""),"Dirección General - Control Interno")</f>
        <v>Dirección General - Control Interno</v>
      </c>
      <c r="B22" s="35">
        <f ca="1">IFERROR(__xludf.DUMMYFUNCTION("""COMPUTED_VALUE"""),2)</f>
        <v>2</v>
      </c>
      <c r="C22" s="35" t="str">
        <f ca="1">IFERROR(__xludf.DUMMYFUNCTION("""COMPUTED_VALUE"""),"2.5")</f>
        <v>2.5</v>
      </c>
      <c r="D22" s="35" t="str">
        <f ca="1">IFERROR(__xludf.DUMMYFUNCTION("""COMPUTED_VALUE"""),"Trim 3")</f>
        <v>Trim 3</v>
      </c>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row>
    <row r="23" spans="1:37" ht="30">
      <c r="A23" s="35" t="str">
        <f ca="1">IFERROR(__xludf.DUMMYFUNCTION("""COMPUTED_VALUE"""),"Dirección General - Control Interno")</f>
        <v>Dirección General - Control Interno</v>
      </c>
      <c r="B23" s="35">
        <f ca="1">IFERROR(__xludf.DUMMYFUNCTION("""COMPUTED_VALUE"""),2)</f>
        <v>2</v>
      </c>
      <c r="C23" s="35" t="str">
        <f ca="1">IFERROR(__xludf.DUMMYFUNCTION("""COMPUTED_VALUE"""),"2.6")</f>
        <v>2.6</v>
      </c>
      <c r="D23" s="35" t="str">
        <f ca="1">IFERROR(__xludf.DUMMYFUNCTION("""COMPUTED_VALUE"""),"Trim 3")</f>
        <v>Trim 3</v>
      </c>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row>
    <row r="24" spans="1:37" ht="30">
      <c r="A24" s="35" t="str">
        <f ca="1">IFERROR(__xludf.DUMMYFUNCTION("""COMPUTED_VALUE"""),"Dirección General - Control Interno")</f>
        <v>Dirección General - Control Interno</v>
      </c>
      <c r="B24" s="35">
        <f ca="1">IFERROR(__xludf.DUMMYFUNCTION("""COMPUTED_VALUE"""),2)</f>
        <v>2</v>
      </c>
      <c r="C24" s="35" t="str">
        <f ca="1">IFERROR(__xludf.DUMMYFUNCTION("""COMPUTED_VALUE"""),"2.7")</f>
        <v>2.7</v>
      </c>
      <c r="D24" s="35" t="str">
        <f ca="1">IFERROR(__xludf.DUMMYFUNCTION("""COMPUTED_VALUE"""),"Trim 4")</f>
        <v>Trim 4</v>
      </c>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row>
    <row r="25" spans="1:37" ht="30">
      <c r="A25" s="35" t="str">
        <f ca="1">IFERROR(__xludf.DUMMYFUNCTION("""COMPUTED_VALUE"""),"Dirección General - Control Interno")</f>
        <v>Dirección General - Control Interno</v>
      </c>
      <c r="B25" s="35">
        <f ca="1">IFERROR(__xludf.DUMMYFUNCTION("""COMPUTED_VALUE"""),2)</f>
        <v>2</v>
      </c>
      <c r="C25" s="35" t="str">
        <f ca="1">IFERROR(__xludf.DUMMYFUNCTION("""COMPUTED_VALUE"""),"2.8")</f>
        <v>2.8</v>
      </c>
      <c r="D25" s="35" t="str">
        <f ca="1">IFERROR(__xludf.DUMMYFUNCTION("""COMPUTED_VALUE"""),"Trim 1")</f>
        <v>Trim 1</v>
      </c>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row>
    <row r="26" spans="1:37" ht="30">
      <c r="A26" s="35" t="str">
        <f ca="1">IFERROR(__xludf.DUMMYFUNCTION("""COMPUTED_VALUE"""),"Dirección General - Control Interno")</f>
        <v>Dirección General - Control Interno</v>
      </c>
      <c r="B26" s="35">
        <f ca="1">IFERROR(__xludf.DUMMYFUNCTION("""COMPUTED_VALUE"""),2)</f>
        <v>2</v>
      </c>
      <c r="C26" s="35" t="str">
        <f ca="1">IFERROR(__xludf.DUMMYFUNCTION("""COMPUTED_VALUE"""),"2.9")</f>
        <v>2.9</v>
      </c>
      <c r="D26" s="35" t="str">
        <f ca="1">IFERROR(__xludf.DUMMYFUNCTION("""COMPUTED_VALUE"""),"Trim 1")</f>
        <v>Trim 1</v>
      </c>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row>
    <row r="27" spans="1:37" ht="30">
      <c r="A27" s="35" t="str">
        <f ca="1">IFERROR(__xludf.DUMMYFUNCTION("""COMPUTED_VALUE"""),"Dirección General - Control Interno")</f>
        <v>Dirección General - Control Interno</v>
      </c>
      <c r="B27" s="35">
        <f ca="1">IFERROR(__xludf.DUMMYFUNCTION("""COMPUTED_VALUE"""),2)</f>
        <v>2</v>
      </c>
      <c r="C27" s="35" t="str">
        <f ca="1">IFERROR(__xludf.DUMMYFUNCTION("""COMPUTED_VALUE"""),"2.10")</f>
        <v>2.10</v>
      </c>
      <c r="D27" s="35" t="str">
        <f ca="1">IFERROR(__xludf.DUMMYFUNCTION("""COMPUTED_VALUE"""),"Trim 1")</f>
        <v>Trim 1</v>
      </c>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row>
    <row r="28" spans="1:37" ht="30">
      <c r="A28" s="35" t="str">
        <f ca="1">IFERROR(__xludf.DUMMYFUNCTION("""COMPUTED_VALUE"""),"Dirección General - Control Interno")</f>
        <v>Dirección General - Control Interno</v>
      </c>
      <c r="B28" s="35">
        <f ca="1">IFERROR(__xludf.DUMMYFUNCTION("""COMPUTED_VALUE"""),2)</f>
        <v>2</v>
      </c>
      <c r="C28" s="35" t="str">
        <f ca="1">IFERROR(__xludf.DUMMYFUNCTION("""COMPUTED_VALUE"""),"2.11")</f>
        <v>2.11</v>
      </c>
      <c r="D28" s="35" t="str">
        <f ca="1">IFERROR(__xludf.DUMMYFUNCTION("""COMPUTED_VALUE"""),"Trim 2")</f>
        <v>Trim 2</v>
      </c>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row>
    <row r="29" spans="1:37" ht="30">
      <c r="A29" s="35" t="str">
        <f ca="1">IFERROR(__xludf.DUMMYFUNCTION("""COMPUTED_VALUE"""),"Dirección General - Control Interno")</f>
        <v>Dirección General - Control Interno</v>
      </c>
      <c r="B29" s="35">
        <f ca="1">IFERROR(__xludf.DUMMYFUNCTION("""COMPUTED_VALUE"""),2)</f>
        <v>2</v>
      </c>
      <c r="C29" s="35" t="str">
        <f ca="1">IFERROR(__xludf.DUMMYFUNCTION("""COMPUTED_VALUE"""),"2.12")</f>
        <v>2.12</v>
      </c>
      <c r="D29" s="35" t="str">
        <f ca="1">IFERROR(__xludf.DUMMYFUNCTION("""COMPUTED_VALUE"""),"Trim 2")</f>
        <v>Trim 2</v>
      </c>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row>
    <row r="30" spans="1:37" ht="30">
      <c r="A30" s="35" t="str">
        <f ca="1">IFERROR(__xludf.DUMMYFUNCTION("""COMPUTED_VALUE"""),"Dirección General - Control Interno")</f>
        <v>Dirección General - Control Interno</v>
      </c>
      <c r="B30" s="35">
        <f ca="1">IFERROR(__xludf.DUMMYFUNCTION("""COMPUTED_VALUE"""),2)</f>
        <v>2</v>
      </c>
      <c r="C30" s="35" t="str">
        <f ca="1">IFERROR(__xludf.DUMMYFUNCTION("""COMPUTED_VALUE"""),"2.13")</f>
        <v>2.13</v>
      </c>
      <c r="D30" s="35" t="str">
        <f ca="1">IFERROR(__xludf.DUMMYFUNCTION("""COMPUTED_VALUE"""),"Trim 2")</f>
        <v>Trim 2</v>
      </c>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row>
    <row r="31" spans="1:37" ht="30">
      <c r="A31" s="35" t="str">
        <f ca="1">IFERROR(__xludf.DUMMYFUNCTION("""COMPUTED_VALUE"""),"Dirección General - Control Interno")</f>
        <v>Dirección General - Control Interno</v>
      </c>
      <c r="B31" s="35">
        <f ca="1">IFERROR(__xludf.DUMMYFUNCTION("""COMPUTED_VALUE"""),2)</f>
        <v>2</v>
      </c>
      <c r="C31" s="35" t="str">
        <f ca="1">IFERROR(__xludf.DUMMYFUNCTION("""COMPUTED_VALUE"""),"2.14")</f>
        <v>2.14</v>
      </c>
      <c r="D31" s="35" t="str">
        <f ca="1">IFERROR(__xludf.DUMMYFUNCTION("""COMPUTED_VALUE"""),"Trim 3")</f>
        <v>Trim 3</v>
      </c>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row>
    <row r="32" spans="1:37" ht="30">
      <c r="A32" s="35" t="str">
        <f ca="1">IFERROR(__xludf.DUMMYFUNCTION("""COMPUTED_VALUE"""),"Dirección General - Control Interno")</f>
        <v>Dirección General - Control Interno</v>
      </c>
      <c r="B32" s="35">
        <f ca="1">IFERROR(__xludf.DUMMYFUNCTION("""COMPUTED_VALUE"""),2)</f>
        <v>2</v>
      </c>
      <c r="C32" s="35" t="str">
        <f ca="1">IFERROR(__xludf.DUMMYFUNCTION("""COMPUTED_VALUE"""),"2.15")</f>
        <v>2.15</v>
      </c>
      <c r="D32" s="35" t="str">
        <f ca="1">IFERROR(__xludf.DUMMYFUNCTION("""COMPUTED_VALUE"""),"Trim 3")</f>
        <v>Trim 3</v>
      </c>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row>
    <row r="33" spans="1:37" ht="30">
      <c r="A33" s="35" t="str">
        <f ca="1">IFERROR(__xludf.DUMMYFUNCTION("""COMPUTED_VALUE"""),"Dirección General - Control Interno")</f>
        <v>Dirección General - Control Interno</v>
      </c>
      <c r="B33" s="35">
        <f ca="1">IFERROR(__xludf.DUMMYFUNCTION("""COMPUTED_VALUE"""),2)</f>
        <v>2</v>
      </c>
      <c r="C33" s="35" t="str">
        <f ca="1">IFERROR(__xludf.DUMMYFUNCTION("""COMPUTED_VALUE"""),"2.16")</f>
        <v>2.16</v>
      </c>
      <c r="D33" s="35" t="str">
        <f ca="1">IFERROR(__xludf.DUMMYFUNCTION("""COMPUTED_VALUE"""),"Trim 3")</f>
        <v>Trim 3</v>
      </c>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row>
    <row r="34" spans="1:37" ht="30">
      <c r="A34" s="35" t="str">
        <f ca="1">IFERROR(__xludf.DUMMYFUNCTION("""COMPUTED_VALUE"""),"Dirección General - Control Interno")</f>
        <v>Dirección General - Control Interno</v>
      </c>
      <c r="B34" s="35">
        <f ca="1">IFERROR(__xludf.DUMMYFUNCTION("""COMPUTED_VALUE"""),2)</f>
        <v>2</v>
      </c>
      <c r="C34" s="35" t="str">
        <f ca="1">IFERROR(__xludf.DUMMYFUNCTION("""COMPUTED_VALUE"""),"2.17")</f>
        <v>2.17</v>
      </c>
      <c r="D34" s="35" t="str">
        <f ca="1">IFERROR(__xludf.DUMMYFUNCTION("""COMPUTED_VALUE"""),"Trim 4")</f>
        <v>Trim 4</v>
      </c>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row>
    <row r="35" spans="1:37" ht="30">
      <c r="A35" s="35" t="str">
        <f ca="1">IFERROR(__xludf.DUMMYFUNCTION("""COMPUTED_VALUE"""),"Dirección General - Control Interno")</f>
        <v>Dirección General - Control Interno</v>
      </c>
      <c r="B35" s="35">
        <f ca="1">IFERROR(__xludf.DUMMYFUNCTION("""COMPUTED_VALUE"""),2)</f>
        <v>2</v>
      </c>
      <c r="C35" s="35" t="str">
        <f ca="1">IFERROR(__xludf.DUMMYFUNCTION("""COMPUTED_VALUE"""),"2.18")</f>
        <v>2.18</v>
      </c>
      <c r="D35" s="35" t="str">
        <f ca="1">IFERROR(__xludf.DUMMYFUNCTION("""COMPUTED_VALUE"""),"Trim 4")</f>
        <v>Trim 4</v>
      </c>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row>
    <row r="36" spans="1:37" ht="30">
      <c r="A36" s="35" t="str">
        <f ca="1">IFERROR(__xludf.DUMMYFUNCTION("""COMPUTED_VALUE"""),"Dirección General - Control Interno")</f>
        <v>Dirección General - Control Interno</v>
      </c>
      <c r="B36" s="35">
        <f ca="1">IFERROR(__xludf.DUMMYFUNCTION("""COMPUTED_VALUE"""),2)</f>
        <v>2</v>
      </c>
      <c r="C36" s="35" t="str">
        <f ca="1">IFERROR(__xludf.DUMMYFUNCTION("""COMPUTED_VALUE"""),"2.19")</f>
        <v>2.19</v>
      </c>
      <c r="D36" s="35" t="str">
        <f ca="1">IFERROR(__xludf.DUMMYFUNCTION("""COMPUTED_VALUE"""),"Trim 4")</f>
        <v>Trim 4</v>
      </c>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row>
    <row r="37" spans="1:37" ht="30">
      <c r="A37" s="35" t="str">
        <f ca="1">IFERROR(__xludf.DUMMYFUNCTION("""COMPUTED_VALUE"""),"Dirección General - Control Interno")</f>
        <v>Dirección General - Control Interno</v>
      </c>
      <c r="B37" s="35">
        <f ca="1">IFERROR(__xludf.DUMMYFUNCTION("""COMPUTED_VALUE"""),2)</f>
        <v>2</v>
      </c>
      <c r="C37" s="35" t="str">
        <f ca="1">IFERROR(__xludf.DUMMYFUNCTION("""COMPUTED_VALUE"""),"2.20")</f>
        <v>2.20</v>
      </c>
      <c r="D37" s="35" t="str">
        <f ca="1">IFERROR(__xludf.DUMMYFUNCTION("""COMPUTED_VALUE"""),"Trim 1")</f>
        <v>Trim 1</v>
      </c>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row>
    <row r="38" spans="1:37" ht="30">
      <c r="A38" s="35" t="str">
        <f ca="1">IFERROR(__xludf.DUMMYFUNCTION("""COMPUTED_VALUE"""),"Dirección General - Control Interno")</f>
        <v>Dirección General - Control Interno</v>
      </c>
      <c r="B38" s="35">
        <f ca="1">IFERROR(__xludf.DUMMYFUNCTION("""COMPUTED_VALUE"""),2)</f>
        <v>2</v>
      </c>
      <c r="C38" s="35" t="str">
        <f ca="1">IFERROR(__xludf.DUMMYFUNCTION("""COMPUTED_VALUE"""),"2.21")</f>
        <v>2.21</v>
      </c>
      <c r="D38" s="35" t="str">
        <f ca="1">IFERROR(__xludf.DUMMYFUNCTION("""COMPUTED_VALUE"""),"Trim 1")</f>
        <v>Trim 1</v>
      </c>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row>
    <row r="39" spans="1:37" ht="30">
      <c r="A39" s="35" t="str">
        <f ca="1">IFERROR(__xludf.DUMMYFUNCTION("""COMPUTED_VALUE"""),"Dirección General - Control Interno")</f>
        <v>Dirección General - Control Interno</v>
      </c>
      <c r="B39" s="35">
        <f ca="1">IFERROR(__xludf.DUMMYFUNCTION("""COMPUTED_VALUE"""),2)</f>
        <v>2</v>
      </c>
      <c r="C39" s="35" t="str">
        <f ca="1">IFERROR(__xludf.DUMMYFUNCTION("""COMPUTED_VALUE"""),"2.22")</f>
        <v>2.22</v>
      </c>
      <c r="D39" s="35" t="str">
        <f ca="1">IFERROR(__xludf.DUMMYFUNCTION("""COMPUTED_VALUE"""),"Trim 1")</f>
        <v>Trim 1</v>
      </c>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row>
    <row r="40" spans="1:37" ht="30">
      <c r="A40" s="35" t="str">
        <f ca="1">IFERROR(__xludf.DUMMYFUNCTION("""COMPUTED_VALUE"""),"Dirección General - Control Interno")</f>
        <v>Dirección General - Control Interno</v>
      </c>
      <c r="B40" s="35">
        <f ca="1">IFERROR(__xludf.DUMMYFUNCTION("""COMPUTED_VALUE"""),2)</f>
        <v>2</v>
      </c>
      <c r="C40" s="35" t="str">
        <f ca="1">IFERROR(__xludf.DUMMYFUNCTION("""COMPUTED_VALUE"""),"2.23")</f>
        <v>2.23</v>
      </c>
      <c r="D40" s="35" t="str">
        <f ca="1">IFERROR(__xludf.DUMMYFUNCTION("""COMPUTED_VALUE"""),"Trim 2")</f>
        <v>Trim 2</v>
      </c>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row>
    <row r="41" spans="1:37" ht="30">
      <c r="A41" s="35" t="str">
        <f ca="1">IFERROR(__xludf.DUMMYFUNCTION("""COMPUTED_VALUE"""),"Dirección General - Control Interno")</f>
        <v>Dirección General - Control Interno</v>
      </c>
      <c r="B41" s="35">
        <f ca="1">IFERROR(__xludf.DUMMYFUNCTION("""COMPUTED_VALUE"""),2)</f>
        <v>2</v>
      </c>
      <c r="C41" s="35" t="str">
        <f ca="1">IFERROR(__xludf.DUMMYFUNCTION("""COMPUTED_VALUE"""),"2.24")</f>
        <v>2.24</v>
      </c>
      <c r="D41" s="35" t="str">
        <f ca="1">IFERROR(__xludf.DUMMYFUNCTION("""COMPUTED_VALUE"""),"Trim 2")</f>
        <v>Trim 2</v>
      </c>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row>
    <row r="42" spans="1:37" ht="30">
      <c r="A42" s="35" t="str">
        <f ca="1">IFERROR(__xludf.DUMMYFUNCTION("""COMPUTED_VALUE"""),"Dirección General - Control Interno")</f>
        <v>Dirección General - Control Interno</v>
      </c>
      <c r="B42" s="35">
        <f ca="1">IFERROR(__xludf.DUMMYFUNCTION("""COMPUTED_VALUE"""),2)</f>
        <v>2</v>
      </c>
      <c r="C42" s="35" t="str">
        <f ca="1">IFERROR(__xludf.DUMMYFUNCTION("""COMPUTED_VALUE"""),"2.25")</f>
        <v>2.25</v>
      </c>
      <c r="D42" s="35" t="str">
        <f ca="1">IFERROR(__xludf.DUMMYFUNCTION("""COMPUTED_VALUE"""),"Trim 2")</f>
        <v>Trim 2</v>
      </c>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row>
    <row r="43" spans="1:37" ht="30">
      <c r="A43" s="35" t="str">
        <f ca="1">IFERROR(__xludf.DUMMYFUNCTION("""COMPUTED_VALUE"""),"Dirección General - Control Interno")</f>
        <v>Dirección General - Control Interno</v>
      </c>
      <c r="B43" s="35">
        <f ca="1">IFERROR(__xludf.DUMMYFUNCTION("""COMPUTED_VALUE"""),2)</f>
        <v>2</v>
      </c>
      <c r="C43" s="35" t="str">
        <f ca="1">IFERROR(__xludf.DUMMYFUNCTION("""COMPUTED_VALUE"""),"2.26")</f>
        <v>2.26</v>
      </c>
      <c r="D43" s="35" t="str">
        <f ca="1">IFERROR(__xludf.DUMMYFUNCTION("""COMPUTED_VALUE"""),"Trim 3")</f>
        <v>Trim 3</v>
      </c>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row>
    <row r="44" spans="1:37" ht="30">
      <c r="A44" s="35" t="str">
        <f ca="1">IFERROR(__xludf.DUMMYFUNCTION("""COMPUTED_VALUE"""),"Dirección General - Control Interno")</f>
        <v>Dirección General - Control Interno</v>
      </c>
      <c r="B44" s="35">
        <f ca="1">IFERROR(__xludf.DUMMYFUNCTION("""COMPUTED_VALUE"""),2)</f>
        <v>2</v>
      </c>
      <c r="C44" s="35" t="str">
        <f ca="1">IFERROR(__xludf.DUMMYFUNCTION("""COMPUTED_VALUE"""),"2.27")</f>
        <v>2.27</v>
      </c>
      <c r="D44" s="35" t="str">
        <f ca="1">IFERROR(__xludf.DUMMYFUNCTION("""COMPUTED_VALUE"""),"Trim 3")</f>
        <v>Trim 3</v>
      </c>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row>
    <row r="45" spans="1:37" ht="30">
      <c r="A45" s="35" t="str">
        <f ca="1">IFERROR(__xludf.DUMMYFUNCTION("""COMPUTED_VALUE"""),"Dirección General - Control Interno")</f>
        <v>Dirección General - Control Interno</v>
      </c>
      <c r="B45" s="35">
        <f ca="1">IFERROR(__xludf.DUMMYFUNCTION("""COMPUTED_VALUE"""),2)</f>
        <v>2</v>
      </c>
      <c r="C45" s="35" t="str">
        <f ca="1">IFERROR(__xludf.DUMMYFUNCTION("""COMPUTED_VALUE"""),"2.28")</f>
        <v>2.28</v>
      </c>
      <c r="D45" s="35" t="str">
        <f ca="1">IFERROR(__xludf.DUMMYFUNCTION("""COMPUTED_VALUE"""),"Trim 3")</f>
        <v>Trim 3</v>
      </c>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row>
    <row r="46" spans="1:37" ht="30">
      <c r="A46" s="35" t="str">
        <f ca="1">IFERROR(__xludf.DUMMYFUNCTION("""COMPUTED_VALUE"""),"Dirección General - Control Interno")</f>
        <v>Dirección General - Control Interno</v>
      </c>
      <c r="B46" s="35">
        <f ca="1">IFERROR(__xludf.DUMMYFUNCTION("""COMPUTED_VALUE"""),2)</f>
        <v>2</v>
      </c>
      <c r="C46" s="35" t="str">
        <f ca="1">IFERROR(__xludf.DUMMYFUNCTION("""COMPUTED_VALUE"""),"2.29")</f>
        <v>2.29</v>
      </c>
      <c r="D46" s="35" t="str">
        <f ca="1">IFERROR(__xludf.DUMMYFUNCTION("""COMPUTED_VALUE"""),"Trim 4")</f>
        <v>Trim 4</v>
      </c>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row>
    <row r="47" spans="1:37" ht="30">
      <c r="A47" s="35" t="str">
        <f ca="1">IFERROR(__xludf.DUMMYFUNCTION("""COMPUTED_VALUE"""),"Dirección General - Control Interno")</f>
        <v>Dirección General - Control Interno</v>
      </c>
      <c r="B47" s="35">
        <f ca="1">IFERROR(__xludf.DUMMYFUNCTION("""COMPUTED_VALUE"""),2)</f>
        <v>2</v>
      </c>
      <c r="C47" s="35" t="str">
        <f ca="1">IFERROR(__xludf.DUMMYFUNCTION("""COMPUTED_VALUE"""),"2.30")</f>
        <v>2.30</v>
      </c>
      <c r="D47" s="35" t="str">
        <f ca="1">IFERROR(__xludf.DUMMYFUNCTION("""COMPUTED_VALUE"""),"Trim 4")</f>
        <v>Trim 4</v>
      </c>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row>
    <row r="48" spans="1:37" ht="30">
      <c r="A48" s="35" t="str">
        <f ca="1">IFERROR(__xludf.DUMMYFUNCTION("""COMPUTED_VALUE"""),"Dirección General - Control Interno")</f>
        <v>Dirección General - Control Interno</v>
      </c>
      <c r="B48" s="35">
        <f ca="1">IFERROR(__xludf.DUMMYFUNCTION("""COMPUTED_VALUE"""),2)</f>
        <v>2</v>
      </c>
      <c r="C48" s="35" t="str">
        <f ca="1">IFERROR(__xludf.DUMMYFUNCTION("""COMPUTED_VALUE"""),"2.31")</f>
        <v>2.31</v>
      </c>
      <c r="D48" s="35" t="str">
        <f ca="1">IFERROR(__xludf.DUMMYFUNCTION("""COMPUTED_VALUE"""),"Trim 2")</f>
        <v>Trim 2</v>
      </c>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row>
    <row r="49" spans="1:37" ht="30">
      <c r="A49" s="35" t="str">
        <f ca="1">IFERROR(__xludf.DUMMYFUNCTION("""COMPUTED_VALUE"""),"Dirección General - Control Interno")</f>
        <v>Dirección General - Control Interno</v>
      </c>
      <c r="B49" s="35">
        <f ca="1">IFERROR(__xludf.DUMMYFUNCTION("""COMPUTED_VALUE"""),3)</f>
        <v>3</v>
      </c>
      <c r="C49" s="35" t="str">
        <f ca="1">IFERROR(__xludf.DUMMYFUNCTION("""COMPUTED_VALUE"""),"3.1")</f>
        <v>3.1</v>
      </c>
      <c r="D49" s="35" t="str">
        <f ca="1">IFERROR(__xludf.DUMMYFUNCTION("""COMPUTED_VALUE"""),"Trim 4")</f>
        <v>Trim 4</v>
      </c>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row>
    <row r="50" spans="1:37" ht="30">
      <c r="A50" s="35" t="str">
        <f ca="1">IFERROR(__xludf.DUMMYFUNCTION("""COMPUTED_VALUE"""),"Dirección General - Control Interno")</f>
        <v>Dirección General - Control Interno</v>
      </c>
      <c r="B50" s="35">
        <f ca="1">IFERROR(__xludf.DUMMYFUNCTION("""COMPUTED_VALUE"""),4)</f>
        <v>4</v>
      </c>
      <c r="C50" s="35" t="str">
        <f ca="1">IFERROR(__xludf.DUMMYFUNCTION("""COMPUTED_VALUE"""),"4.1")</f>
        <v>4.1</v>
      </c>
      <c r="D50" s="35" t="str">
        <f ca="1">IFERROR(__xludf.DUMMYFUNCTION("""COMPUTED_VALUE"""),"Trim 1")</f>
        <v>Trim 1</v>
      </c>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row>
    <row r="51" spans="1:37" ht="30">
      <c r="A51" s="35" t="str">
        <f ca="1">IFERROR(__xludf.DUMMYFUNCTION("""COMPUTED_VALUE"""),"Dirección General - Control Interno")</f>
        <v>Dirección General - Control Interno</v>
      </c>
      <c r="B51" s="35">
        <f ca="1">IFERROR(__xludf.DUMMYFUNCTION("""COMPUTED_VALUE"""),4)</f>
        <v>4</v>
      </c>
      <c r="C51" s="35" t="str">
        <f ca="1">IFERROR(__xludf.DUMMYFUNCTION("""COMPUTED_VALUE"""),"4.2")</f>
        <v>4.2</v>
      </c>
      <c r="D51" s="35" t="str">
        <f ca="1">IFERROR(__xludf.DUMMYFUNCTION("""COMPUTED_VALUE"""),"Trim 2")</f>
        <v>Trim 2</v>
      </c>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row>
    <row r="52" spans="1:37" ht="30">
      <c r="A52" s="35" t="str">
        <f ca="1">IFERROR(__xludf.DUMMYFUNCTION("""COMPUTED_VALUE"""),"Dirección General - Control Interno")</f>
        <v>Dirección General - Control Interno</v>
      </c>
      <c r="B52" s="35">
        <f ca="1">IFERROR(__xludf.DUMMYFUNCTION("""COMPUTED_VALUE"""),4)</f>
        <v>4</v>
      </c>
      <c r="C52" s="35" t="str">
        <f ca="1">IFERROR(__xludf.DUMMYFUNCTION("""COMPUTED_VALUE"""),"4.3")</f>
        <v>4.3</v>
      </c>
      <c r="D52" s="35" t="str">
        <f ca="1">IFERROR(__xludf.DUMMYFUNCTION("""COMPUTED_VALUE"""),"Trim 3")</f>
        <v>Trim 3</v>
      </c>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row>
    <row r="53" spans="1:37" ht="30">
      <c r="A53" s="35" t="str">
        <f ca="1">IFERROR(__xludf.DUMMYFUNCTION("""COMPUTED_VALUE"""),"Dirección General - Control Interno")</f>
        <v>Dirección General - Control Interno</v>
      </c>
      <c r="B53" s="35">
        <f ca="1">IFERROR(__xludf.DUMMYFUNCTION("""COMPUTED_VALUE"""),4)</f>
        <v>4</v>
      </c>
      <c r="C53" s="35" t="str">
        <f ca="1">IFERROR(__xludf.DUMMYFUNCTION("""COMPUTED_VALUE"""),"4.4")</f>
        <v>4.4</v>
      </c>
      <c r="D53" s="35" t="str">
        <f ca="1">IFERROR(__xludf.DUMMYFUNCTION("""COMPUTED_VALUE"""),"Trim 4")</f>
        <v>Trim 4</v>
      </c>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row>
    <row r="54" spans="1:37" ht="30">
      <c r="A54" s="35" t="str">
        <f ca="1">IFERROR(__xludf.DUMMYFUNCTION("""COMPUTED_VALUE"""),"Dirección General - GIT Planeación")</f>
        <v>Dirección General - GIT Planeación</v>
      </c>
      <c r="B54" s="35">
        <f ca="1">IFERROR(__xludf.DUMMYFUNCTION("""COMPUTED_VALUE"""),1)</f>
        <v>1</v>
      </c>
      <c r="C54" s="35" t="str">
        <f ca="1">IFERROR(__xludf.DUMMYFUNCTION("""COMPUTED_VALUE"""),"1.1")</f>
        <v>1.1</v>
      </c>
      <c r="D54" s="35" t="str">
        <f ca="1">IFERROR(__xludf.DUMMYFUNCTION("""COMPUTED_VALUE"""),"Trim 3")</f>
        <v>Trim 3</v>
      </c>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row>
    <row r="55" spans="1:37" ht="30">
      <c r="A55" s="35" t="str">
        <f ca="1">IFERROR(__xludf.DUMMYFUNCTION("""COMPUTED_VALUE"""),"Dirección General - GIT Planeación")</f>
        <v>Dirección General - GIT Planeación</v>
      </c>
      <c r="B55" s="35">
        <f ca="1">IFERROR(__xludf.DUMMYFUNCTION("""COMPUTED_VALUE"""),1)</f>
        <v>1</v>
      </c>
      <c r="C55" s="35" t="str">
        <f ca="1">IFERROR(__xludf.DUMMYFUNCTION("""COMPUTED_VALUE"""),"1.2")</f>
        <v>1.2</v>
      </c>
      <c r="D55" s="35" t="str">
        <f ca="1">IFERROR(__xludf.DUMMYFUNCTION("""COMPUTED_VALUE"""),"Trim 3")</f>
        <v>Trim 3</v>
      </c>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row>
    <row r="56" spans="1:37" ht="30">
      <c r="A56" s="35" t="str">
        <f ca="1">IFERROR(__xludf.DUMMYFUNCTION("""COMPUTED_VALUE"""),"Dirección General - GIT Planeación")</f>
        <v>Dirección General - GIT Planeación</v>
      </c>
      <c r="B56" s="35">
        <f ca="1">IFERROR(__xludf.DUMMYFUNCTION("""COMPUTED_VALUE"""),1)</f>
        <v>1</v>
      </c>
      <c r="C56" s="35" t="str">
        <f ca="1">IFERROR(__xludf.DUMMYFUNCTION("""COMPUTED_VALUE"""),"1.3")</f>
        <v>1.3</v>
      </c>
      <c r="D56" s="35" t="str">
        <f ca="1">IFERROR(__xludf.DUMMYFUNCTION("""COMPUTED_VALUE"""),"Trim 4")</f>
        <v>Trim 4</v>
      </c>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row>
    <row r="57" spans="1:37" ht="30">
      <c r="A57" s="35" t="str">
        <f ca="1">IFERROR(__xludf.DUMMYFUNCTION("""COMPUTED_VALUE"""),"Dirección General - GIT Planeación")</f>
        <v>Dirección General - GIT Planeación</v>
      </c>
      <c r="B57" s="35">
        <f ca="1">IFERROR(__xludf.DUMMYFUNCTION("""COMPUTED_VALUE"""),1)</f>
        <v>1</v>
      </c>
      <c r="C57" s="35" t="str">
        <f ca="1">IFERROR(__xludf.DUMMYFUNCTION("""COMPUTED_VALUE"""),"1.4")</f>
        <v>1.4</v>
      </c>
      <c r="D57" s="35" t="str">
        <f ca="1">IFERROR(__xludf.DUMMYFUNCTION("""COMPUTED_VALUE"""),"Trim 3")</f>
        <v>Trim 3</v>
      </c>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row>
    <row r="58" spans="1:37" ht="30">
      <c r="A58" s="35" t="str">
        <f ca="1">IFERROR(__xludf.DUMMYFUNCTION("""COMPUTED_VALUE"""),"Dirección General - GIT Planeación")</f>
        <v>Dirección General - GIT Planeación</v>
      </c>
      <c r="B58" s="35">
        <f ca="1">IFERROR(__xludf.DUMMYFUNCTION("""COMPUTED_VALUE"""),1)</f>
        <v>1</v>
      </c>
      <c r="C58" s="35" t="str">
        <f ca="1">IFERROR(__xludf.DUMMYFUNCTION("""COMPUTED_VALUE"""),"1.5")</f>
        <v>1.5</v>
      </c>
      <c r="D58" s="35" t="str">
        <f ca="1">IFERROR(__xludf.DUMMYFUNCTION("""COMPUTED_VALUE"""),"Trim 4")</f>
        <v>Trim 4</v>
      </c>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row>
    <row r="59" spans="1:37" ht="30">
      <c r="A59" s="35" t="str">
        <f ca="1">IFERROR(__xludf.DUMMYFUNCTION("""COMPUTED_VALUE"""),"Dirección General - GIT Planeación")</f>
        <v>Dirección General - GIT Planeación</v>
      </c>
      <c r="B59" s="35">
        <f ca="1">IFERROR(__xludf.DUMMYFUNCTION("""COMPUTED_VALUE"""),1)</f>
        <v>1</v>
      </c>
      <c r="C59" s="35" t="str">
        <f ca="1">IFERROR(__xludf.DUMMYFUNCTION("""COMPUTED_VALUE"""),"1.6")</f>
        <v>1.6</v>
      </c>
      <c r="D59" s="35" t="str">
        <f ca="1">IFERROR(__xludf.DUMMYFUNCTION("""COMPUTED_VALUE"""),"Trim 4")</f>
        <v>Trim 4</v>
      </c>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row>
    <row r="60" spans="1:37" ht="30">
      <c r="A60" s="35" t="str">
        <f ca="1">IFERROR(__xludf.DUMMYFUNCTION("""COMPUTED_VALUE"""),"Dirección General - GIT Planeación")</f>
        <v>Dirección General - GIT Planeación</v>
      </c>
      <c r="B60" s="35">
        <f ca="1">IFERROR(__xludf.DUMMYFUNCTION("""COMPUTED_VALUE"""),1)</f>
        <v>1</v>
      </c>
      <c r="C60" s="35" t="str">
        <f ca="1">IFERROR(__xludf.DUMMYFUNCTION("""COMPUTED_VALUE"""),"1.7")</f>
        <v>1.7</v>
      </c>
      <c r="D60" s="35" t="str">
        <f ca="1">IFERROR(__xludf.DUMMYFUNCTION("""COMPUTED_VALUE"""),"Trim 1")</f>
        <v>Trim 1</v>
      </c>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row>
    <row r="61" spans="1:37" ht="30">
      <c r="A61" s="35" t="str">
        <f ca="1">IFERROR(__xludf.DUMMYFUNCTION("""COMPUTED_VALUE"""),"Dirección General - GIT Planeación")</f>
        <v>Dirección General - GIT Planeación</v>
      </c>
      <c r="B61" s="35">
        <f ca="1">IFERROR(__xludf.DUMMYFUNCTION("""COMPUTED_VALUE"""),1)</f>
        <v>1</v>
      </c>
      <c r="C61" s="35" t="str">
        <f ca="1">IFERROR(__xludf.DUMMYFUNCTION("""COMPUTED_VALUE"""),"1.8")</f>
        <v>1.8</v>
      </c>
      <c r="D61" s="35" t="str">
        <f ca="1">IFERROR(__xludf.DUMMYFUNCTION("""COMPUTED_VALUE"""),"Trim 2")</f>
        <v>Trim 2</v>
      </c>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row>
    <row r="62" spans="1:37" ht="30">
      <c r="A62" s="35" t="str">
        <f ca="1">IFERROR(__xludf.DUMMYFUNCTION("""COMPUTED_VALUE"""),"Dirección General - GIT Planeación")</f>
        <v>Dirección General - GIT Planeación</v>
      </c>
      <c r="B62" s="35">
        <f ca="1">IFERROR(__xludf.DUMMYFUNCTION("""COMPUTED_VALUE"""),1)</f>
        <v>1</v>
      </c>
      <c r="C62" s="35" t="str">
        <f ca="1">IFERROR(__xludf.DUMMYFUNCTION("""COMPUTED_VALUE"""),"1.9")</f>
        <v>1.9</v>
      </c>
      <c r="D62" s="35" t="str">
        <f ca="1">IFERROR(__xludf.DUMMYFUNCTION("""COMPUTED_VALUE"""),"Trim 3")</f>
        <v>Trim 3</v>
      </c>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row>
    <row r="63" spans="1:37" ht="30">
      <c r="A63" s="35" t="str">
        <f ca="1">IFERROR(__xludf.DUMMYFUNCTION("""COMPUTED_VALUE"""),"Dirección General - GIT Planeación")</f>
        <v>Dirección General - GIT Planeación</v>
      </c>
      <c r="B63" s="35">
        <f ca="1">IFERROR(__xludf.DUMMYFUNCTION("""COMPUTED_VALUE"""),1)</f>
        <v>1</v>
      </c>
      <c r="C63" s="35" t="str">
        <f ca="1">IFERROR(__xludf.DUMMYFUNCTION("""COMPUTED_VALUE"""),"1.10")</f>
        <v>1.10</v>
      </c>
      <c r="D63" s="35" t="str">
        <f ca="1">IFERROR(__xludf.DUMMYFUNCTION("""COMPUTED_VALUE"""),"Trim 4")</f>
        <v>Trim 4</v>
      </c>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row>
    <row r="64" spans="1:37" ht="30">
      <c r="A64" s="35" t="str">
        <f ca="1">IFERROR(__xludf.DUMMYFUNCTION("""COMPUTED_VALUE"""),"Dirección General - GIT Planeación")</f>
        <v>Dirección General - GIT Planeación</v>
      </c>
      <c r="B64" s="35">
        <f ca="1">IFERROR(__xludf.DUMMYFUNCTION("""COMPUTED_VALUE"""),1)</f>
        <v>1</v>
      </c>
      <c r="C64" s="35" t="str">
        <f ca="1">IFERROR(__xludf.DUMMYFUNCTION("""COMPUTED_VALUE"""),"1.11")</f>
        <v>1.11</v>
      </c>
      <c r="D64" s="35" t="str">
        <f ca="1">IFERROR(__xludf.DUMMYFUNCTION("""COMPUTED_VALUE"""),"Trim 2")</f>
        <v>Trim 2</v>
      </c>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row>
    <row r="65" spans="1:37" ht="30">
      <c r="A65" s="35" t="str">
        <f ca="1">IFERROR(__xludf.DUMMYFUNCTION("""COMPUTED_VALUE"""),"Dirección General - GIT Planeación")</f>
        <v>Dirección General - GIT Planeación</v>
      </c>
      <c r="B65" s="35">
        <f ca="1">IFERROR(__xludf.DUMMYFUNCTION("""COMPUTED_VALUE"""),1)</f>
        <v>1</v>
      </c>
      <c r="C65" s="35" t="str">
        <f ca="1">IFERROR(__xludf.DUMMYFUNCTION("""COMPUTED_VALUE"""),"1.12")</f>
        <v>1.12</v>
      </c>
      <c r="D65" s="35" t="str">
        <f ca="1">IFERROR(__xludf.DUMMYFUNCTION("""COMPUTED_VALUE"""),"Trim 3")</f>
        <v>Trim 3</v>
      </c>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row>
    <row r="66" spans="1:37" ht="30">
      <c r="A66" s="35" t="str">
        <f ca="1">IFERROR(__xludf.DUMMYFUNCTION("""COMPUTED_VALUE"""),"Dirección General - GIT Planeación")</f>
        <v>Dirección General - GIT Planeación</v>
      </c>
      <c r="B66" s="35">
        <f ca="1">IFERROR(__xludf.DUMMYFUNCTION("""COMPUTED_VALUE"""),1)</f>
        <v>1</v>
      </c>
      <c r="C66" s="35" t="str">
        <f ca="1">IFERROR(__xludf.DUMMYFUNCTION("""COMPUTED_VALUE"""),"1.13")</f>
        <v>1.13</v>
      </c>
      <c r="D66" s="35" t="str">
        <f ca="1">IFERROR(__xludf.DUMMYFUNCTION("""COMPUTED_VALUE"""),"Trim 4")</f>
        <v>Trim 4</v>
      </c>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row>
    <row r="67" spans="1:37" ht="30">
      <c r="A67" s="35" t="str">
        <f ca="1">IFERROR(__xludf.DUMMYFUNCTION("""COMPUTED_VALUE"""),"Dirección General - GIT Planeación")</f>
        <v>Dirección General - GIT Planeación</v>
      </c>
      <c r="B67" s="35">
        <f ca="1">IFERROR(__xludf.DUMMYFUNCTION("""COMPUTED_VALUE"""),1)</f>
        <v>1</v>
      </c>
      <c r="C67" s="35" t="str">
        <f ca="1">IFERROR(__xludf.DUMMYFUNCTION("""COMPUTED_VALUE"""),"1.14")</f>
        <v>1.14</v>
      </c>
      <c r="D67" s="35" t="str">
        <f ca="1">IFERROR(__xludf.DUMMYFUNCTION("""COMPUTED_VALUE"""),"Trim 1")</f>
        <v>Trim 1</v>
      </c>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row>
    <row r="68" spans="1:37" ht="30">
      <c r="A68" s="35" t="str">
        <f ca="1">IFERROR(__xludf.DUMMYFUNCTION("""COMPUTED_VALUE"""),"Dirección General - GIT Planeación")</f>
        <v>Dirección General - GIT Planeación</v>
      </c>
      <c r="B68" s="35">
        <f ca="1">IFERROR(__xludf.DUMMYFUNCTION("""COMPUTED_VALUE"""),1)</f>
        <v>1</v>
      </c>
      <c r="C68" s="35" t="str">
        <f ca="1">IFERROR(__xludf.DUMMYFUNCTION("""COMPUTED_VALUE"""),"1.15")</f>
        <v>1.15</v>
      </c>
      <c r="D68" s="35" t="str">
        <f ca="1">IFERROR(__xludf.DUMMYFUNCTION("""COMPUTED_VALUE"""),"Trim 4")</f>
        <v>Trim 4</v>
      </c>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row>
    <row r="69" spans="1:37" ht="30">
      <c r="A69" s="35" t="str">
        <f ca="1">IFERROR(__xludf.DUMMYFUNCTION("""COMPUTED_VALUE"""),"Dirección General - GIT Planeación")</f>
        <v>Dirección General - GIT Planeación</v>
      </c>
      <c r="B69" s="35">
        <f ca="1">IFERROR(__xludf.DUMMYFUNCTION("""COMPUTED_VALUE"""),1)</f>
        <v>1</v>
      </c>
      <c r="C69" s="35" t="str">
        <f ca="1">IFERROR(__xludf.DUMMYFUNCTION("""COMPUTED_VALUE"""),"1.16")</f>
        <v>1.16</v>
      </c>
      <c r="D69" s="35" t="str">
        <f ca="1">IFERROR(__xludf.DUMMYFUNCTION("""COMPUTED_VALUE"""),"Trim 2")</f>
        <v>Trim 2</v>
      </c>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row>
    <row r="70" spans="1:37" ht="30">
      <c r="A70" s="35" t="str">
        <f ca="1">IFERROR(__xludf.DUMMYFUNCTION("""COMPUTED_VALUE"""),"Dirección General - GIT Planeación")</f>
        <v>Dirección General - GIT Planeación</v>
      </c>
      <c r="B70" s="35">
        <f ca="1">IFERROR(__xludf.DUMMYFUNCTION("""COMPUTED_VALUE"""),1)</f>
        <v>1</v>
      </c>
      <c r="C70" s="35" t="str">
        <f ca="1">IFERROR(__xludf.DUMMYFUNCTION("""COMPUTED_VALUE"""),"1.17")</f>
        <v>1.17</v>
      </c>
      <c r="D70" s="35" t="str">
        <f ca="1">IFERROR(__xludf.DUMMYFUNCTION("""COMPUTED_VALUE"""),"Trim 4")</f>
        <v>Trim 4</v>
      </c>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row>
    <row r="71" spans="1:37" ht="30">
      <c r="A71" s="35" t="str">
        <f ca="1">IFERROR(__xludf.DUMMYFUNCTION("""COMPUTED_VALUE"""),"Dirección General - GIT Planeación")</f>
        <v>Dirección General - GIT Planeación</v>
      </c>
      <c r="B71" s="35">
        <f ca="1">IFERROR(__xludf.DUMMYFUNCTION("""COMPUTED_VALUE"""),1)</f>
        <v>1</v>
      </c>
      <c r="C71" s="35" t="str">
        <f ca="1">IFERROR(__xludf.DUMMYFUNCTION("""COMPUTED_VALUE"""),"1.18")</f>
        <v>1.18</v>
      </c>
      <c r="D71" s="35" t="str">
        <f ca="1">IFERROR(__xludf.DUMMYFUNCTION("""COMPUTED_VALUE"""),"Trim 4")</f>
        <v>Trim 4</v>
      </c>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row>
    <row r="72" spans="1:37" ht="30">
      <c r="A72" s="35" t="str">
        <f ca="1">IFERROR(__xludf.DUMMYFUNCTION("""COMPUTED_VALUE"""),"Dirección General - GIT Planeación")</f>
        <v>Dirección General - GIT Planeación</v>
      </c>
      <c r="B72" s="35">
        <f ca="1">IFERROR(__xludf.DUMMYFUNCTION("""COMPUTED_VALUE"""),1)</f>
        <v>1</v>
      </c>
      <c r="C72" s="35" t="str">
        <f ca="1">IFERROR(__xludf.DUMMYFUNCTION("""COMPUTED_VALUE"""),"1.19")</f>
        <v>1.19</v>
      </c>
      <c r="D72" s="35" t="str">
        <f ca="1">IFERROR(__xludf.DUMMYFUNCTION("""COMPUTED_VALUE"""),"Trim 4")</f>
        <v>Trim 4</v>
      </c>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row>
    <row r="73" spans="1:37" ht="30">
      <c r="A73" s="35" t="str">
        <f ca="1">IFERROR(__xludf.DUMMYFUNCTION("""COMPUTED_VALUE"""),"Dirección General - GIT Planeación")</f>
        <v>Dirección General - GIT Planeación</v>
      </c>
      <c r="B73" s="35">
        <f ca="1">IFERROR(__xludf.DUMMYFUNCTION("""COMPUTED_VALUE"""),1)</f>
        <v>1</v>
      </c>
      <c r="C73" s="35" t="str">
        <f ca="1">IFERROR(__xludf.DUMMYFUNCTION("""COMPUTED_VALUE"""),"1.20")</f>
        <v>1.20</v>
      </c>
      <c r="D73" s="35" t="str">
        <f ca="1">IFERROR(__xludf.DUMMYFUNCTION("""COMPUTED_VALUE"""),"Trim 3")</f>
        <v>Trim 3</v>
      </c>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row>
    <row r="74" spans="1:37" ht="30">
      <c r="A74" s="35" t="str">
        <f ca="1">IFERROR(__xludf.DUMMYFUNCTION("""COMPUTED_VALUE"""),"Dirección General - GIT Planeación")</f>
        <v>Dirección General - GIT Planeación</v>
      </c>
      <c r="B74" s="35">
        <f ca="1">IFERROR(__xludf.DUMMYFUNCTION("""COMPUTED_VALUE"""),1)</f>
        <v>1</v>
      </c>
      <c r="C74" s="35" t="str">
        <f ca="1">IFERROR(__xludf.DUMMYFUNCTION("""COMPUTED_VALUE"""),"1.21")</f>
        <v>1.21</v>
      </c>
      <c r="D74" s="35" t="str">
        <f ca="1">IFERROR(__xludf.DUMMYFUNCTION("""COMPUTED_VALUE"""),"Trim 4")</f>
        <v>Trim 4</v>
      </c>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row>
    <row r="75" spans="1:37" ht="30">
      <c r="A75" s="35" t="str">
        <f ca="1">IFERROR(__xludf.DUMMYFUNCTION("""COMPUTED_VALUE"""),"Dirección General - GIT Planeación")</f>
        <v>Dirección General - GIT Planeación</v>
      </c>
      <c r="B75" s="35">
        <f ca="1">IFERROR(__xludf.DUMMYFUNCTION("""COMPUTED_VALUE"""),1)</f>
        <v>1</v>
      </c>
      <c r="C75" s="35" t="str">
        <f ca="1">IFERROR(__xludf.DUMMYFUNCTION("""COMPUTED_VALUE"""),"1.22")</f>
        <v>1.22</v>
      </c>
      <c r="D75" s="35" t="str">
        <f ca="1">IFERROR(__xludf.DUMMYFUNCTION("""COMPUTED_VALUE"""),"Trim 1")</f>
        <v>Trim 1</v>
      </c>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row>
    <row r="76" spans="1:37" ht="30">
      <c r="A76" s="35" t="str">
        <f ca="1">IFERROR(__xludf.DUMMYFUNCTION("""COMPUTED_VALUE"""),"Dirección General - GIT Planeación")</f>
        <v>Dirección General - GIT Planeación</v>
      </c>
      <c r="B76" s="35">
        <f ca="1">IFERROR(__xludf.DUMMYFUNCTION("""COMPUTED_VALUE"""),2)</f>
        <v>2</v>
      </c>
      <c r="C76" s="35" t="str">
        <f ca="1">IFERROR(__xludf.DUMMYFUNCTION("""COMPUTED_VALUE"""),"2.1")</f>
        <v>2.1</v>
      </c>
      <c r="D76" s="35" t="str">
        <f ca="1">IFERROR(__xludf.DUMMYFUNCTION("""COMPUTED_VALUE"""),"Trim 1")</f>
        <v>Trim 1</v>
      </c>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row>
    <row r="77" spans="1:37" ht="30">
      <c r="A77" s="35" t="str">
        <f ca="1">IFERROR(__xludf.DUMMYFUNCTION("""COMPUTED_VALUE"""),"Dirección General - GIT Planeación")</f>
        <v>Dirección General - GIT Planeación</v>
      </c>
      <c r="B77" s="35">
        <f ca="1">IFERROR(__xludf.DUMMYFUNCTION("""COMPUTED_VALUE"""),2)</f>
        <v>2</v>
      </c>
      <c r="C77" s="35" t="str">
        <f ca="1">IFERROR(__xludf.DUMMYFUNCTION("""COMPUTED_VALUE"""),"2.2")</f>
        <v>2.2</v>
      </c>
      <c r="D77" s="35" t="str">
        <f ca="1">IFERROR(__xludf.DUMMYFUNCTION("""COMPUTED_VALUE"""),"Trim 1")</f>
        <v>Trim 1</v>
      </c>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row>
    <row r="78" spans="1:37" ht="30">
      <c r="A78" s="35" t="str">
        <f ca="1">IFERROR(__xludf.DUMMYFUNCTION("""COMPUTED_VALUE"""),"Dirección General - GIT Planeación")</f>
        <v>Dirección General - GIT Planeación</v>
      </c>
      <c r="B78" s="35">
        <f ca="1">IFERROR(__xludf.DUMMYFUNCTION("""COMPUTED_VALUE"""),2)</f>
        <v>2</v>
      </c>
      <c r="C78" s="35" t="str">
        <f ca="1">IFERROR(__xludf.DUMMYFUNCTION("""COMPUTED_VALUE"""),"2.3")</f>
        <v>2.3</v>
      </c>
      <c r="D78" s="35" t="str">
        <f ca="1">IFERROR(__xludf.DUMMYFUNCTION("""COMPUTED_VALUE"""),"Trim 2")</f>
        <v>Trim 2</v>
      </c>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row>
    <row r="79" spans="1:37" ht="30">
      <c r="A79" s="35" t="str">
        <f ca="1">IFERROR(__xludf.DUMMYFUNCTION("""COMPUTED_VALUE"""),"Dirección General - GIT Planeación")</f>
        <v>Dirección General - GIT Planeación</v>
      </c>
      <c r="B79" s="35">
        <f ca="1">IFERROR(__xludf.DUMMYFUNCTION("""COMPUTED_VALUE"""),2)</f>
        <v>2</v>
      </c>
      <c r="C79" s="35" t="str">
        <f ca="1">IFERROR(__xludf.DUMMYFUNCTION("""COMPUTED_VALUE"""),"2.4")</f>
        <v>2.4</v>
      </c>
      <c r="D79" s="35" t="str">
        <f ca="1">IFERROR(__xludf.DUMMYFUNCTION("""COMPUTED_VALUE"""),"Trim 2")</f>
        <v>Trim 2</v>
      </c>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row>
    <row r="80" spans="1:37" ht="30">
      <c r="A80" s="35" t="str">
        <f ca="1">IFERROR(__xludf.DUMMYFUNCTION("""COMPUTED_VALUE"""),"Dirección General - GIT Planeación")</f>
        <v>Dirección General - GIT Planeación</v>
      </c>
      <c r="B80" s="35">
        <f ca="1">IFERROR(__xludf.DUMMYFUNCTION("""COMPUTED_VALUE"""),2)</f>
        <v>2</v>
      </c>
      <c r="C80" s="35" t="str">
        <f ca="1">IFERROR(__xludf.DUMMYFUNCTION("""COMPUTED_VALUE"""),"2.5")</f>
        <v>2.5</v>
      </c>
      <c r="D80" s="35" t="str">
        <f ca="1">IFERROR(__xludf.DUMMYFUNCTION("""COMPUTED_VALUE"""),"Trim 2")</f>
        <v>Trim 2</v>
      </c>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row>
    <row r="81" spans="1:37" ht="30">
      <c r="A81" s="35" t="str">
        <f ca="1">IFERROR(__xludf.DUMMYFUNCTION("""COMPUTED_VALUE"""),"Dirección General - GIT Planeación")</f>
        <v>Dirección General - GIT Planeación</v>
      </c>
      <c r="B81" s="35">
        <f ca="1">IFERROR(__xludf.DUMMYFUNCTION("""COMPUTED_VALUE"""),2)</f>
        <v>2</v>
      </c>
      <c r="C81" s="35" t="str">
        <f ca="1">IFERROR(__xludf.DUMMYFUNCTION("""COMPUTED_VALUE"""),"2.6")</f>
        <v>2.6</v>
      </c>
      <c r="D81" s="35" t="str">
        <f ca="1">IFERROR(__xludf.DUMMYFUNCTION("""COMPUTED_VALUE"""),"Trim 3")</f>
        <v>Trim 3</v>
      </c>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row>
    <row r="82" spans="1:37" ht="30">
      <c r="A82" s="35" t="str">
        <f ca="1">IFERROR(__xludf.DUMMYFUNCTION("""COMPUTED_VALUE"""),"Dirección General - GIT Planeación")</f>
        <v>Dirección General - GIT Planeación</v>
      </c>
      <c r="B82" s="35">
        <f ca="1">IFERROR(__xludf.DUMMYFUNCTION("""COMPUTED_VALUE"""),2)</f>
        <v>2</v>
      </c>
      <c r="C82" s="35" t="str">
        <f ca="1">IFERROR(__xludf.DUMMYFUNCTION("""COMPUTED_VALUE"""),"2.7")</f>
        <v>2.7</v>
      </c>
      <c r="D82" s="35" t="str">
        <f ca="1">IFERROR(__xludf.DUMMYFUNCTION("""COMPUTED_VALUE"""),"Trim 4")</f>
        <v>Trim 4</v>
      </c>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row>
    <row r="83" spans="1:37" ht="30">
      <c r="A83" s="35" t="str">
        <f ca="1">IFERROR(__xludf.DUMMYFUNCTION("""COMPUTED_VALUE"""),"Dirección General - GIT Planeación")</f>
        <v>Dirección General - GIT Planeación</v>
      </c>
      <c r="B83" s="35">
        <f ca="1">IFERROR(__xludf.DUMMYFUNCTION("""COMPUTED_VALUE"""),3)</f>
        <v>3</v>
      </c>
      <c r="C83" s="35" t="str">
        <f ca="1">IFERROR(__xludf.DUMMYFUNCTION("""COMPUTED_VALUE"""),"3.1")</f>
        <v>3.1</v>
      </c>
      <c r="D83" s="35" t="str">
        <f ca="1">IFERROR(__xludf.DUMMYFUNCTION("""COMPUTED_VALUE"""),"Trim 2")</f>
        <v>Trim 2</v>
      </c>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row>
    <row r="84" spans="1:37" ht="30">
      <c r="A84" s="35" t="str">
        <f ca="1">IFERROR(__xludf.DUMMYFUNCTION("""COMPUTED_VALUE"""),"Dirección General - GIT Planeación")</f>
        <v>Dirección General - GIT Planeación</v>
      </c>
      <c r="B84" s="35">
        <f ca="1">IFERROR(__xludf.DUMMYFUNCTION("""COMPUTED_VALUE"""),3)</f>
        <v>3</v>
      </c>
      <c r="C84" s="35" t="str">
        <f ca="1">IFERROR(__xludf.DUMMYFUNCTION("""COMPUTED_VALUE"""),"3.2")</f>
        <v>3.2</v>
      </c>
      <c r="D84" s="35" t="str">
        <f ca="1">IFERROR(__xludf.DUMMYFUNCTION("""COMPUTED_VALUE"""),"Trim 2")</f>
        <v>Trim 2</v>
      </c>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row>
    <row r="85" spans="1:37" ht="30">
      <c r="A85" s="35" t="str">
        <f ca="1">IFERROR(__xludf.DUMMYFUNCTION("""COMPUTED_VALUE"""),"Dirección General - GIT Planeación")</f>
        <v>Dirección General - GIT Planeación</v>
      </c>
      <c r="B85" s="35">
        <f ca="1">IFERROR(__xludf.DUMMYFUNCTION("""COMPUTED_VALUE"""),3)</f>
        <v>3</v>
      </c>
      <c r="C85" s="35" t="str">
        <f ca="1">IFERROR(__xludf.DUMMYFUNCTION("""COMPUTED_VALUE"""),"3.3")</f>
        <v>3.3</v>
      </c>
      <c r="D85" s="35" t="str">
        <f ca="1">IFERROR(__xludf.DUMMYFUNCTION("""COMPUTED_VALUE"""),"Trim 3")</f>
        <v>Trim 3</v>
      </c>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row>
    <row r="86" spans="1:37" ht="30">
      <c r="A86" s="35" t="str">
        <f ca="1">IFERROR(__xludf.DUMMYFUNCTION("""COMPUTED_VALUE"""),"Dirección General - GIT Planeación")</f>
        <v>Dirección General - GIT Planeación</v>
      </c>
      <c r="B86" s="35">
        <f ca="1">IFERROR(__xludf.DUMMYFUNCTION("""COMPUTED_VALUE"""),3)</f>
        <v>3</v>
      </c>
      <c r="C86" s="35" t="str">
        <f ca="1">IFERROR(__xludf.DUMMYFUNCTION("""COMPUTED_VALUE"""),"3.4")</f>
        <v>3.4</v>
      </c>
      <c r="D86" s="35" t="str">
        <f ca="1">IFERROR(__xludf.DUMMYFUNCTION("""COMPUTED_VALUE"""),"Trim 4")</f>
        <v>Trim 4</v>
      </c>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row>
    <row r="87" spans="1:37" ht="30">
      <c r="A87" s="35" t="str">
        <f ca="1">IFERROR(__xludf.DUMMYFUNCTION("""COMPUTED_VALUE"""),"Dirección General - GIT Planeación")</f>
        <v>Dirección General - GIT Planeación</v>
      </c>
      <c r="B87" s="35">
        <f ca="1">IFERROR(__xludf.DUMMYFUNCTION("""COMPUTED_VALUE"""),3)</f>
        <v>3</v>
      </c>
      <c r="C87" s="35" t="str">
        <f ca="1">IFERROR(__xludf.DUMMYFUNCTION("""COMPUTED_VALUE"""),"3.5")</f>
        <v>3.5</v>
      </c>
      <c r="D87" s="35" t="str">
        <f ca="1">IFERROR(__xludf.DUMMYFUNCTION("""COMPUTED_VALUE"""),"Trim 4")</f>
        <v>Trim 4</v>
      </c>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row>
    <row r="88" spans="1:37" ht="30">
      <c r="A88" s="35" t="str">
        <f ca="1">IFERROR(__xludf.DUMMYFUNCTION("""COMPUTED_VALUE"""),"Dirección General - GIT Planeación")</f>
        <v>Dirección General - GIT Planeación</v>
      </c>
      <c r="B88" s="35">
        <f ca="1">IFERROR(__xludf.DUMMYFUNCTION("""COMPUTED_VALUE"""),3)</f>
        <v>3</v>
      </c>
      <c r="C88" s="35" t="str">
        <f ca="1">IFERROR(__xludf.DUMMYFUNCTION("""COMPUTED_VALUE"""),"3.6")</f>
        <v>3.6</v>
      </c>
      <c r="D88" s="35" t="str">
        <f ca="1">IFERROR(__xludf.DUMMYFUNCTION("""COMPUTED_VALUE"""),"Trim 4")</f>
        <v>Trim 4</v>
      </c>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row>
    <row r="89" spans="1:37" ht="30">
      <c r="A89" s="35" t="str">
        <f ca="1">IFERROR(__xludf.DUMMYFUNCTION("""COMPUTED_VALUE"""),"Dirección General - GIT Planeación")</f>
        <v>Dirección General - GIT Planeación</v>
      </c>
      <c r="B89" s="35">
        <f ca="1">IFERROR(__xludf.DUMMYFUNCTION("""COMPUTED_VALUE"""),3)</f>
        <v>3</v>
      </c>
      <c r="C89" s="35" t="str">
        <f ca="1">IFERROR(__xludf.DUMMYFUNCTION("""COMPUTED_VALUE"""),"3.7")</f>
        <v>3.7</v>
      </c>
      <c r="D89" s="35" t="str">
        <f ca="1">IFERROR(__xludf.DUMMYFUNCTION("""COMPUTED_VALUE"""),"Trim 4")</f>
        <v>Trim 4</v>
      </c>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row>
    <row r="90" spans="1:37" ht="30">
      <c r="A90" s="35" t="str">
        <f ca="1">IFERROR(__xludf.DUMMYFUNCTION("""COMPUTED_VALUE"""),"Dirección General - GIT Planeación")</f>
        <v>Dirección General - GIT Planeación</v>
      </c>
      <c r="B90" s="35">
        <f ca="1">IFERROR(__xludf.DUMMYFUNCTION("""COMPUTED_VALUE"""),3)</f>
        <v>3</v>
      </c>
      <c r="C90" s="35" t="str">
        <f ca="1">IFERROR(__xludf.DUMMYFUNCTION("""COMPUTED_VALUE"""),"3.8")</f>
        <v>3.8</v>
      </c>
      <c r="D90" s="35" t="str">
        <f ca="1">IFERROR(__xludf.DUMMYFUNCTION("""COMPUTED_VALUE"""),"Trim 4")</f>
        <v>Trim 4</v>
      </c>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row>
    <row r="91" spans="1:37" ht="30">
      <c r="A91" s="35" t="str">
        <f ca="1">IFERROR(__xludf.DUMMYFUNCTION("""COMPUTED_VALUE"""),"Dirección General - GIT Planeación")</f>
        <v>Dirección General - GIT Planeación</v>
      </c>
      <c r="B91" s="35">
        <f ca="1">IFERROR(__xludf.DUMMYFUNCTION("""COMPUTED_VALUE"""),3)</f>
        <v>3</v>
      </c>
      <c r="C91" s="35" t="str">
        <f ca="1">IFERROR(__xludf.DUMMYFUNCTION("""COMPUTED_VALUE"""),"3.9")</f>
        <v>3.9</v>
      </c>
      <c r="D91" s="35" t="str">
        <f ca="1">IFERROR(__xludf.DUMMYFUNCTION("""COMPUTED_VALUE"""),"Trim 4")</f>
        <v>Trim 4</v>
      </c>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row>
    <row r="92" spans="1:37" ht="30">
      <c r="A92" s="35" t="str">
        <f ca="1">IFERROR(__xludf.DUMMYFUNCTION("""COMPUTED_VALUE"""),"Dirección General - GIT Planeación")</f>
        <v>Dirección General - GIT Planeación</v>
      </c>
      <c r="B92" s="35">
        <f ca="1">IFERROR(__xludf.DUMMYFUNCTION("""COMPUTED_VALUE"""),3)</f>
        <v>3</v>
      </c>
      <c r="C92" s="35" t="str">
        <f ca="1">IFERROR(__xludf.DUMMYFUNCTION("""COMPUTED_VALUE"""),"3.10")</f>
        <v>3.10</v>
      </c>
      <c r="D92" s="35" t="str">
        <f ca="1">IFERROR(__xludf.DUMMYFUNCTION("""COMPUTED_VALUE"""),"Trim 4")</f>
        <v>Trim 4</v>
      </c>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row>
    <row r="93" spans="1:37" ht="30">
      <c r="A93" s="35" t="str">
        <f ca="1">IFERROR(__xludf.DUMMYFUNCTION("""COMPUTED_VALUE"""),"Dirección General - GIT Planeación")</f>
        <v>Dirección General - GIT Planeación</v>
      </c>
      <c r="B93" s="35">
        <f ca="1">IFERROR(__xludf.DUMMYFUNCTION("""COMPUTED_VALUE"""),4)</f>
        <v>4</v>
      </c>
      <c r="C93" s="35" t="str">
        <f ca="1">IFERROR(__xludf.DUMMYFUNCTION("""COMPUTED_VALUE"""),"4.1")</f>
        <v>4.1</v>
      </c>
      <c r="D93" s="35" t="str">
        <f ca="1">IFERROR(__xludf.DUMMYFUNCTION("""COMPUTED_VALUE"""),"Trim 1")</f>
        <v>Trim 1</v>
      </c>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row>
    <row r="94" spans="1:37" ht="30">
      <c r="A94" s="35" t="str">
        <f ca="1">IFERROR(__xludf.DUMMYFUNCTION("""COMPUTED_VALUE"""),"Dirección General - GIT Planeación")</f>
        <v>Dirección General - GIT Planeación</v>
      </c>
      <c r="B94" s="35">
        <f ca="1">IFERROR(__xludf.DUMMYFUNCTION("""COMPUTED_VALUE"""),4)</f>
        <v>4</v>
      </c>
      <c r="C94" s="35" t="str">
        <f ca="1">IFERROR(__xludf.DUMMYFUNCTION("""COMPUTED_VALUE"""),"4.2")</f>
        <v>4.2</v>
      </c>
      <c r="D94" s="35" t="str">
        <f ca="1">IFERROR(__xludf.DUMMYFUNCTION("""COMPUTED_VALUE"""),"Trim 2")</f>
        <v>Trim 2</v>
      </c>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row>
    <row r="95" spans="1:37" ht="30">
      <c r="A95" s="35" t="str">
        <f ca="1">IFERROR(__xludf.DUMMYFUNCTION("""COMPUTED_VALUE"""),"Dirección General - GIT Planeación")</f>
        <v>Dirección General - GIT Planeación</v>
      </c>
      <c r="B95" s="35">
        <f ca="1">IFERROR(__xludf.DUMMYFUNCTION("""COMPUTED_VALUE"""),4)</f>
        <v>4</v>
      </c>
      <c r="C95" s="35" t="str">
        <f ca="1">IFERROR(__xludf.DUMMYFUNCTION("""COMPUTED_VALUE"""),"4.3")</f>
        <v>4.3</v>
      </c>
      <c r="D95" s="35" t="str">
        <f ca="1">IFERROR(__xludf.DUMMYFUNCTION("""COMPUTED_VALUE"""),"Trim 1")</f>
        <v>Trim 1</v>
      </c>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row>
    <row r="96" spans="1:37" ht="30">
      <c r="A96" s="35" t="str">
        <f ca="1">IFERROR(__xludf.DUMMYFUNCTION("""COMPUTED_VALUE"""),"Dirección General - GIT Planeación")</f>
        <v>Dirección General - GIT Planeación</v>
      </c>
      <c r="B96" s="35">
        <f ca="1">IFERROR(__xludf.DUMMYFUNCTION("""COMPUTED_VALUE"""),4)</f>
        <v>4</v>
      </c>
      <c r="C96" s="35" t="str">
        <f ca="1">IFERROR(__xludf.DUMMYFUNCTION("""COMPUTED_VALUE"""),"4.4")</f>
        <v>4.4</v>
      </c>
      <c r="D96" s="35" t="str">
        <f ca="1">IFERROR(__xludf.DUMMYFUNCTION("""COMPUTED_VALUE"""),"Trim 2")</f>
        <v>Trim 2</v>
      </c>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row>
    <row r="97" spans="1:37" ht="30">
      <c r="A97" s="35" t="str">
        <f ca="1">IFERROR(__xludf.DUMMYFUNCTION("""COMPUTED_VALUE"""),"Dirección General - GIT Planeación")</f>
        <v>Dirección General - GIT Planeación</v>
      </c>
      <c r="B97" s="35">
        <f ca="1">IFERROR(__xludf.DUMMYFUNCTION("""COMPUTED_VALUE"""),4)</f>
        <v>4</v>
      </c>
      <c r="C97" s="35" t="str">
        <f ca="1">IFERROR(__xludf.DUMMYFUNCTION("""COMPUTED_VALUE"""),"4.5")</f>
        <v>4.5</v>
      </c>
      <c r="D97" s="35" t="str">
        <f ca="1">IFERROR(__xludf.DUMMYFUNCTION("""COMPUTED_VALUE"""),"Trim 3")</f>
        <v>Trim 3</v>
      </c>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row>
    <row r="98" spans="1:37" ht="30">
      <c r="A98" s="35" t="str">
        <f ca="1">IFERROR(__xludf.DUMMYFUNCTION("""COMPUTED_VALUE"""),"Dirección General - GIT Planeación")</f>
        <v>Dirección General - GIT Planeación</v>
      </c>
      <c r="B98" s="35">
        <f ca="1">IFERROR(__xludf.DUMMYFUNCTION("""COMPUTED_VALUE"""),4)</f>
        <v>4</v>
      </c>
      <c r="C98" s="35" t="str">
        <f ca="1">IFERROR(__xludf.DUMMYFUNCTION("""COMPUTED_VALUE"""),"4.6")</f>
        <v>4.6</v>
      </c>
      <c r="D98" s="35" t="str">
        <f ca="1">IFERROR(__xludf.DUMMYFUNCTION("""COMPUTED_VALUE"""),"Trim 2")</f>
        <v>Trim 2</v>
      </c>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row>
    <row r="99" spans="1:37" ht="30">
      <c r="A99" s="35" t="str">
        <f ca="1">IFERROR(__xludf.DUMMYFUNCTION("""COMPUTED_VALUE"""),"Secretaría General - GIT Gestión Financiera")</f>
        <v>Secretaría General - GIT Gestión Financiera</v>
      </c>
      <c r="B99" s="35">
        <f ca="1">IFERROR(__xludf.DUMMYFUNCTION("""COMPUTED_VALUE"""),1)</f>
        <v>1</v>
      </c>
      <c r="C99" s="35" t="str">
        <f ca="1">IFERROR(__xludf.DUMMYFUNCTION("""COMPUTED_VALUE"""),"1.1.")</f>
        <v>1.1.</v>
      </c>
      <c r="D99" s="35" t="str">
        <f ca="1">IFERROR(__xludf.DUMMYFUNCTION("""COMPUTED_VALUE"""),"Trim 3")</f>
        <v>Trim 3</v>
      </c>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row>
    <row r="100" spans="1:37" ht="30">
      <c r="A100" s="35" t="str">
        <f ca="1">IFERROR(__xludf.DUMMYFUNCTION("""COMPUTED_VALUE"""),"Secretaría General - GIT Gestión Financiera")</f>
        <v>Secretaría General - GIT Gestión Financiera</v>
      </c>
      <c r="B100" s="35">
        <f ca="1">IFERROR(__xludf.DUMMYFUNCTION("""COMPUTED_VALUE"""),2)</f>
        <v>2</v>
      </c>
      <c r="C100" s="35" t="str">
        <f ca="1">IFERROR(__xludf.DUMMYFUNCTION("""COMPUTED_VALUE"""),"2.1.")</f>
        <v>2.1.</v>
      </c>
      <c r="D100" s="35" t="str">
        <f ca="1">IFERROR(__xludf.DUMMYFUNCTION("""COMPUTED_VALUE"""),"Trim 4")</f>
        <v>Trim 4</v>
      </c>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row>
    <row r="101" spans="1:37" ht="30">
      <c r="A101" s="35" t="str">
        <f ca="1">IFERROR(__xludf.DUMMYFUNCTION("""COMPUTED_VALUE"""),"Secretaría General - GIT Gestión Financiera")</f>
        <v>Secretaría General - GIT Gestión Financiera</v>
      </c>
      <c r="B101" s="35">
        <f ca="1">IFERROR(__xludf.DUMMYFUNCTION("""COMPUTED_VALUE"""),3)</f>
        <v>3</v>
      </c>
      <c r="C101" s="35" t="str">
        <f ca="1">IFERROR(__xludf.DUMMYFUNCTION("""COMPUTED_VALUE"""),"3.1.")</f>
        <v>3.1.</v>
      </c>
      <c r="D101" s="35" t="str">
        <f ca="1">IFERROR(__xludf.DUMMYFUNCTION("""COMPUTED_VALUE"""),"Trim 1")</f>
        <v>Trim 1</v>
      </c>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row>
    <row r="102" spans="1:37" ht="30">
      <c r="A102" s="35" t="str">
        <f ca="1">IFERROR(__xludf.DUMMYFUNCTION("""COMPUTED_VALUE"""),"Secretaría General - GIT Gestión Financiera")</f>
        <v>Secretaría General - GIT Gestión Financiera</v>
      </c>
      <c r="B102" s="35">
        <f ca="1">IFERROR(__xludf.DUMMYFUNCTION("""COMPUTED_VALUE"""),3)</f>
        <v>3</v>
      </c>
      <c r="C102" s="35" t="str">
        <f ca="1">IFERROR(__xludf.DUMMYFUNCTION("""COMPUTED_VALUE"""),"3.2.")</f>
        <v>3.2.</v>
      </c>
      <c r="D102" s="35" t="str">
        <f ca="1">IFERROR(__xludf.DUMMYFUNCTION("""COMPUTED_VALUE"""),"Trim 4")</f>
        <v>Trim 4</v>
      </c>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row>
    <row r="103" spans="1:37" ht="30">
      <c r="A103" s="35" t="str">
        <f ca="1">IFERROR(__xludf.DUMMYFUNCTION("""COMPUTED_VALUE"""),"Secretaría General - GIT Gestión Financiera")</f>
        <v>Secretaría General - GIT Gestión Financiera</v>
      </c>
      <c r="B103" s="35">
        <f ca="1">IFERROR(__xludf.DUMMYFUNCTION("""COMPUTED_VALUE"""),4)</f>
        <v>4</v>
      </c>
      <c r="C103" s="35" t="str">
        <f ca="1">IFERROR(__xludf.DUMMYFUNCTION("""COMPUTED_VALUE"""),"4.1.")</f>
        <v>4.1.</v>
      </c>
      <c r="D103" s="35" t="str">
        <f ca="1">IFERROR(__xludf.DUMMYFUNCTION("""COMPUTED_VALUE"""),"Trim 2")</f>
        <v>Trim 2</v>
      </c>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row>
    <row r="104" spans="1:37" ht="30">
      <c r="A104" s="35" t="str">
        <f ca="1">IFERROR(__xludf.DUMMYFUNCTION("""COMPUTED_VALUE"""),"Secretaría General - GIT Gestión Financiera")</f>
        <v>Secretaría General - GIT Gestión Financiera</v>
      </c>
      <c r="B104" s="35">
        <f ca="1">IFERROR(__xludf.DUMMYFUNCTION("""COMPUTED_VALUE"""),5)</f>
        <v>5</v>
      </c>
      <c r="C104" s="35" t="str">
        <f ca="1">IFERROR(__xludf.DUMMYFUNCTION("""COMPUTED_VALUE"""),"5.1.")</f>
        <v>5.1.</v>
      </c>
      <c r="D104" s="35" t="str">
        <f ca="1">IFERROR(__xludf.DUMMYFUNCTION("""COMPUTED_VALUE"""),"Trim 4")</f>
        <v>Trim 4</v>
      </c>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row>
    <row r="105" spans="1:37" ht="30">
      <c r="A105" s="35" t="str">
        <f ca="1">IFERROR(__xludf.DUMMYFUNCTION("""COMPUTED_VALUE"""),"Secretaría General - GIT Gestión Financiera")</f>
        <v>Secretaría General - GIT Gestión Financiera</v>
      </c>
      <c r="B105" s="35">
        <f ca="1">IFERROR(__xludf.DUMMYFUNCTION("""COMPUTED_VALUE"""),5)</f>
        <v>5</v>
      </c>
      <c r="C105" s="35" t="str">
        <f ca="1">IFERROR(__xludf.DUMMYFUNCTION("""COMPUTED_VALUE"""),"5.2.")</f>
        <v>5.2.</v>
      </c>
      <c r="D105" s="35" t="str">
        <f ca="1">IFERROR(__xludf.DUMMYFUNCTION("""COMPUTED_VALUE"""),"Trim 4")</f>
        <v>Trim 4</v>
      </c>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row>
    <row r="106" spans="1:37" ht="30">
      <c r="A106" s="35" t="str">
        <f ca="1">IFERROR(__xludf.DUMMYFUNCTION("""COMPUTED_VALUE"""),"Secretaría General - GIT Gestión Financiera")</f>
        <v>Secretaría General - GIT Gestión Financiera</v>
      </c>
      <c r="B106" s="35">
        <f ca="1">IFERROR(__xludf.DUMMYFUNCTION("""COMPUTED_VALUE"""),5)</f>
        <v>5</v>
      </c>
      <c r="C106" s="35" t="str">
        <f ca="1">IFERROR(__xludf.DUMMYFUNCTION("""COMPUTED_VALUE"""),"5.3.")</f>
        <v>5.3.</v>
      </c>
      <c r="D106" s="35" t="str">
        <f ca="1">IFERROR(__xludf.DUMMYFUNCTION("""COMPUTED_VALUE"""),"Trim 4")</f>
        <v>Trim 4</v>
      </c>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row>
    <row r="107" spans="1:37" ht="30">
      <c r="A107" s="35" t="str">
        <f ca="1">IFERROR(__xludf.DUMMYFUNCTION("""COMPUTED_VALUE"""),"Secretaría General - GIT Gestión Financiera")</f>
        <v>Secretaría General - GIT Gestión Financiera</v>
      </c>
      <c r="B107" s="35">
        <f ca="1">IFERROR(__xludf.DUMMYFUNCTION("""COMPUTED_VALUE"""),5)</f>
        <v>5</v>
      </c>
      <c r="C107" s="35" t="str">
        <f ca="1">IFERROR(__xludf.DUMMYFUNCTION("""COMPUTED_VALUE"""),"5.4.")</f>
        <v>5.4.</v>
      </c>
      <c r="D107" s="35" t="str">
        <f ca="1">IFERROR(__xludf.DUMMYFUNCTION("""COMPUTED_VALUE"""),"Trim 4")</f>
        <v>Trim 4</v>
      </c>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row>
    <row r="108" spans="1:37" ht="30">
      <c r="A108" s="35" t="str">
        <f ca="1">IFERROR(__xludf.DUMMYFUNCTION("""COMPUTED_VALUE"""),"Secretaría General - GIT Gestión Financiera")</f>
        <v>Secretaría General - GIT Gestión Financiera</v>
      </c>
      <c r="B108" s="35">
        <f ca="1">IFERROR(__xludf.DUMMYFUNCTION("""COMPUTED_VALUE"""),5)</f>
        <v>5</v>
      </c>
      <c r="C108" s="35" t="str">
        <f ca="1">IFERROR(__xludf.DUMMYFUNCTION("""COMPUTED_VALUE"""),"5.5.")</f>
        <v>5.5.</v>
      </c>
      <c r="D108" s="35" t="str">
        <f ca="1">IFERROR(__xludf.DUMMYFUNCTION("""COMPUTED_VALUE"""),"Trim 4")</f>
        <v>Trim 4</v>
      </c>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row>
    <row r="109" spans="1:37" ht="30">
      <c r="A109" s="35" t="str">
        <f ca="1">IFERROR(__xludf.DUMMYFUNCTION("""COMPUTED_VALUE"""),"Secretaría General - GIT Gestión Financiera")</f>
        <v>Secretaría General - GIT Gestión Financiera</v>
      </c>
      <c r="B109" s="35">
        <f ca="1">IFERROR(__xludf.DUMMYFUNCTION("""COMPUTED_VALUE"""),5)</f>
        <v>5</v>
      </c>
      <c r="C109" s="35" t="str">
        <f ca="1">IFERROR(__xludf.DUMMYFUNCTION("""COMPUTED_VALUE"""),"5.6.")</f>
        <v>5.6.</v>
      </c>
      <c r="D109" s="35" t="str">
        <f ca="1">IFERROR(__xludf.DUMMYFUNCTION("""COMPUTED_VALUE"""),"Trim 4")</f>
        <v>Trim 4</v>
      </c>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row>
    <row r="110" spans="1:37" ht="30">
      <c r="A110" s="35" t="str">
        <f ca="1">IFERROR(__xludf.DUMMYFUNCTION("""COMPUTED_VALUE"""),"Secretaría General - GIT Gestión Jurídica y Contractual")</f>
        <v>Secretaría General - GIT Gestión Jurídica y Contractual</v>
      </c>
      <c r="B110" s="35">
        <f ca="1">IFERROR(__xludf.DUMMYFUNCTION("""COMPUTED_VALUE"""),1)</f>
        <v>1</v>
      </c>
      <c r="C110" s="35" t="str">
        <f ca="1">IFERROR(__xludf.DUMMYFUNCTION("""COMPUTED_VALUE"""),"1.1")</f>
        <v>1.1</v>
      </c>
      <c r="D110" s="35" t="str">
        <f ca="1">IFERROR(__xludf.DUMMYFUNCTION("""COMPUTED_VALUE"""),"Trim 3")</f>
        <v>Trim 3</v>
      </c>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row>
    <row r="111" spans="1:37" ht="30">
      <c r="A111" s="35" t="str">
        <f ca="1">IFERROR(__xludf.DUMMYFUNCTION("""COMPUTED_VALUE"""),"Secretaría General - GIT Gestión Jurídica y Contractual")</f>
        <v>Secretaría General - GIT Gestión Jurídica y Contractual</v>
      </c>
      <c r="B111" s="35">
        <f ca="1">IFERROR(__xludf.DUMMYFUNCTION("""COMPUTED_VALUE"""),2)</f>
        <v>2</v>
      </c>
      <c r="C111" s="35" t="str">
        <f ca="1">IFERROR(__xludf.DUMMYFUNCTION("""COMPUTED_VALUE"""),"2.2")</f>
        <v>2.2</v>
      </c>
      <c r="D111" s="35" t="str">
        <f ca="1">IFERROR(__xludf.DUMMYFUNCTION("""COMPUTED_VALUE"""),"Trim 4")</f>
        <v>Trim 4</v>
      </c>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row>
    <row r="112" spans="1:37" ht="30">
      <c r="A112" s="35" t="str">
        <f ca="1">IFERROR(__xludf.DUMMYFUNCTION("""COMPUTED_VALUE"""),"Secretaría General - GIT Gestión Jurídica y Contractual")</f>
        <v>Secretaría General - GIT Gestión Jurídica y Contractual</v>
      </c>
      <c r="B112" s="35">
        <f ca="1">IFERROR(__xludf.DUMMYFUNCTION("""COMPUTED_VALUE"""),3)</f>
        <v>3</v>
      </c>
      <c r="C112" s="35" t="str">
        <f ca="1">IFERROR(__xludf.DUMMYFUNCTION("""COMPUTED_VALUE"""),"3.3")</f>
        <v>3.3</v>
      </c>
      <c r="D112" s="35" t="str">
        <f ca="1">IFERROR(__xludf.DUMMYFUNCTION("""COMPUTED_VALUE"""),"Trim 4")</f>
        <v>Trim 4</v>
      </c>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row>
    <row r="113" spans="1:37" ht="30">
      <c r="A113" s="35" t="str">
        <f ca="1">IFERROR(__xludf.DUMMYFUNCTION("""COMPUTED_VALUE"""),"Secretaría General - GIT Gestión Jurídica y Contractual")</f>
        <v>Secretaría General - GIT Gestión Jurídica y Contractual</v>
      </c>
      <c r="B113" s="35">
        <f ca="1">IFERROR(__xludf.DUMMYFUNCTION("""COMPUTED_VALUE"""),4)</f>
        <v>4</v>
      </c>
      <c r="C113" s="35" t="str">
        <f ca="1">IFERROR(__xludf.DUMMYFUNCTION("""COMPUTED_VALUE"""),"4,1")</f>
        <v>4,1</v>
      </c>
      <c r="D113" s="35" t="str">
        <f ca="1">IFERROR(__xludf.DUMMYFUNCTION("""COMPUTED_VALUE"""),"Trim 1")</f>
        <v>Trim 1</v>
      </c>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row>
    <row r="114" spans="1:37" ht="30">
      <c r="A114" s="35" t="str">
        <f ca="1">IFERROR(__xludf.DUMMYFUNCTION("""COMPUTED_VALUE"""),"Secretaría General - GIT Gestión Jurídica y Contractual")</f>
        <v>Secretaría General - GIT Gestión Jurídica y Contractual</v>
      </c>
      <c r="B114" s="35">
        <f ca="1">IFERROR(__xludf.DUMMYFUNCTION("""COMPUTED_VALUE"""),4)</f>
        <v>4</v>
      </c>
      <c r="C114" s="35" t="str">
        <f ca="1">IFERROR(__xludf.DUMMYFUNCTION("""COMPUTED_VALUE"""),"4,2")</f>
        <v>4,2</v>
      </c>
      <c r="D114" s="35" t="str">
        <f ca="1">IFERROR(__xludf.DUMMYFUNCTION("""COMPUTED_VALUE"""),"Trim 2")</f>
        <v>Trim 2</v>
      </c>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row>
    <row r="115" spans="1:37" ht="30">
      <c r="A115" s="35" t="str">
        <f ca="1">IFERROR(__xludf.DUMMYFUNCTION("""COMPUTED_VALUE"""),"Secretaría General - GIT Gestión Jurídica y Contractual")</f>
        <v>Secretaría General - GIT Gestión Jurídica y Contractual</v>
      </c>
      <c r="B115" s="35">
        <f ca="1">IFERROR(__xludf.DUMMYFUNCTION("""COMPUTED_VALUE"""),4)</f>
        <v>4</v>
      </c>
      <c r="C115" s="35" t="str">
        <f ca="1">IFERROR(__xludf.DUMMYFUNCTION("""COMPUTED_VALUE"""),"4,3")</f>
        <v>4,3</v>
      </c>
      <c r="D115" s="35" t="str">
        <f ca="1">IFERROR(__xludf.DUMMYFUNCTION("""COMPUTED_VALUE"""),"Trim 3")</f>
        <v>Trim 3</v>
      </c>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row>
    <row r="116" spans="1:37" ht="30">
      <c r="A116" s="35" t="str">
        <f ca="1">IFERROR(__xludf.DUMMYFUNCTION("""COMPUTED_VALUE"""),"Secretaría General - GIT Gestión Jurídica y Contractual")</f>
        <v>Secretaría General - GIT Gestión Jurídica y Contractual</v>
      </c>
      <c r="B116" s="35">
        <f ca="1">IFERROR(__xludf.DUMMYFUNCTION("""COMPUTED_VALUE"""),4)</f>
        <v>4</v>
      </c>
      <c r="C116" s="35" t="str">
        <f ca="1">IFERROR(__xludf.DUMMYFUNCTION("""COMPUTED_VALUE"""),"4,4")</f>
        <v>4,4</v>
      </c>
      <c r="D116" s="35" t="str">
        <f ca="1">IFERROR(__xludf.DUMMYFUNCTION("""COMPUTED_VALUE"""),"Trim 3")</f>
        <v>Trim 3</v>
      </c>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row>
    <row r="117" spans="1:37" ht="30">
      <c r="A117" s="35" t="str">
        <f ca="1">IFERROR(__xludf.DUMMYFUNCTION("""COMPUTED_VALUE"""),"Secretaría General - GIT Gestión Jurídica y Contractual")</f>
        <v>Secretaría General - GIT Gestión Jurídica y Contractual</v>
      </c>
      <c r="B117" s="35">
        <f ca="1">IFERROR(__xludf.DUMMYFUNCTION("""COMPUTED_VALUE"""),5)</f>
        <v>5</v>
      </c>
      <c r="C117" s="35" t="str">
        <f ca="1">IFERROR(__xludf.DUMMYFUNCTION("""COMPUTED_VALUE"""),"5.5")</f>
        <v>5.5</v>
      </c>
      <c r="D117" s="35" t="str">
        <f ca="1">IFERROR(__xludf.DUMMYFUNCTION("""COMPUTED_VALUE"""),"Trim 4")</f>
        <v>Trim 4</v>
      </c>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row>
    <row r="118" spans="1:37" ht="30">
      <c r="A118" s="35" t="str">
        <f ca="1">IFERROR(__xludf.DUMMYFUNCTION("""COMPUTED_VALUE"""),"Secretaría General - GIT Gestión Jurídica y Contractual")</f>
        <v>Secretaría General - GIT Gestión Jurídica y Contractual</v>
      </c>
      <c r="B118" s="35">
        <f ca="1">IFERROR(__xludf.DUMMYFUNCTION("""COMPUTED_VALUE"""),5)</f>
        <v>5</v>
      </c>
      <c r="C118" s="35" t="str">
        <f ca="1">IFERROR(__xludf.DUMMYFUNCTION("""COMPUTED_VALUE"""),"5.6")</f>
        <v>5.6</v>
      </c>
      <c r="D118" s="35" t="str">
        <f ca="1">IFERROR(__xludf.DUMMYFUNCTION("""COMPUTED_VALUE"""),"Trim 4")</f>
        <v>Trim 4</v>
      </c>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row>
    <row r="119" spans="1:37" ht="30">
      <c r="A119" s="35" t="str">
        <f ca="1">IFERROR(__xludf.DUMMYFUNCTION("""COMPUTED_VALUE"""),"Secretaría General - GIT Gestión Jurídica y Contractual")</f>
        <v>Secretaría General - GIT Gestión Jurídica y Contractual</v>
      </c>
      <c r="B119" s="35">
        <f ca="1">IFERROR(__xludf.DUMMYFUNCTION("""COMPUTED_VALUE"""),5)</f>
        <v>5</v>
      </c>
      <c r="C119" s="35" t="str">
        <f ca="1">IFERROR(__xludf.DUMMYFUNCTION("""COMPUTED_VALUE"""),"5.7")</f>
        <v>5.7</v>
      </c>
      <c r="D119" s="35" t="str">
        <f ca="1">IFERROR(__xludf.DUMMYFUNCTION("""COMPUTED_VALUE"""),"Trim 3")</f>
        <v>Trim 3</v>
      </c>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row>
    <row r="120" spans="1:37" ht="30">
      <c r="A120" s="35" t="str">
        <f ca="1">IFERROR(__xludf.DUMMYFUNCTION("""COMPUTED_VALUE"""),"Secretaría General - GIT Gestión Jurídica y Contractual")</f>
        <v>Secretaría General - GIT Gestión Jurídica y Contractual</v>
      </c>
      <c r="B120" s="35">
        <f ca="1">IFERROR(__xludf.DUMMYFUNCTION("""COMPUTED_VALUE"""),6)</f>
        <v>6</v>
      </c>
      <c r="C120" s="35" t="str">
        <f ca="1">IFERROR(__xludf.DUMMYFUNCTION("""COMPUTED_VALUE"""),"6.8")</f>
        <v>6.8</v>
      </c>
      <c r="D120" s="35" t="str">
        <f ca="1">IFERROR(__xludf.DUMMYFUNCTION("""COMPUTED_VALUE"""),"Trim 4")</f>
        <v>Trim 4</v>
      </c>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row>
    <row r="121" spans="1:37">
      <c r="A121" s="35" t="str">
        <f ca="1">IFERROR(__xludf.DUMMYFUNCTION("""COMPUTED_VALUE"""),"Subdirección de Demanda")</f>
        <v>Subdirección de Demanda</v>
      </c>
      <c r="B121" s="35">
        <f ca="1">IFERROR(__xludf.DUMMYFUNCTION("""COMPUTED_VALUE"""),1)</f>
        <v>1</v>
      </c>
      <c r="C121" s="35" t="str">
        <f ca="1">IFERROR(__xludf.DUMMYFUNCTION("""COMPUTED_VALUE"""),"1.1")</f>
        <v>1.1</v>
      </c>
      <c r="D121" s="35" t="str">
        <f ca="1">IFERROR(__xludf.DUMMYFUNCTION("""COMPUTED_VALUE"""),"Trim 2")</f>
        <v>Trim 2</v>
      </c>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row>
    <row r="122" spans="1:37">
      <c r="A122" s="35" t="str">
        <f ca="1">IFERROR(__xludf.DUMMYFUNCTION("""COMPUTED_VALUE"""),"Subdirección de Demanda")</f>
        <v>Subdirección de Demanda</v>
      </c>
      <c r="B122" s="35">
        <f ca="1">IFERROR(__xludf.DUMMYFUNCTION("""COMPUTED_VALUE"""),1)</f>
        <v>1</v>
      </c>
      <c r="C122" s="35" t="str">
        <f ca="1">IFERROR(__xludf.DUMMYFUNCTION("""COMPUTED_VALUE"""),"1.2")</f>
        <v>1.2</v>
      </c>
      <c r="D122" s="35" t="str">
        <f ca="1">IFERROR(__xludf.DUMMYFUNCTION("""COMPUTED_VALUE"""),"Trim 2")</f>
        <v>Trim 2</v>
      </c>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row>
    <row r="123" spans="1:37">
      <c r="A123" s="35" t="str">
        <f ca="1">IFERROR(__xludf.DUMMYFUNCTION("""COMPUTED_VALUE"""),"Subdirección de Demanda")</f>
        <v>Subdirección de Demanda</v>
      </c>
      <c r="B123" s="35">
        <f ca="1">IFERROR(__xludf.DUMMYFUNCTION("""COMPUTED_VALUE"""),1)</f>
        <v>1</v>
      </c>
      <c r="C123" s="35" t="str">
        <f ca="1">IFERROR(__xludf.DUMMYFUNCTION("""COMPUTED_VALUE"""),"1.3")</f>
        <v>1.3</v>
      </c>
      <c r="D123" s="35" t="str">
        <f ca="1">IFERROR(__xludf.DUMMYFUNCTION("""COMPUTED_VALUE"""),"Trim 4")</f>
        <v>Trim 4</v>
      </c>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row>
    <row r="124" spans="1:37">
      <c r="A124" s="35" t="str">
        <f ca="1">IFERROR(__xludf.DUMMYFUNCTION("""COMPUTED_VALUE"""),"Subdirección de Demanda")</f>
        <v>Subdirección de Demanda</v>
      </c>
      <c r="B124" s="35">
        <f ca="1">IFERROR(__xludf.DUMMYFUNCTION("""COMPUTED_VALUE"""),2)</f>
        <v>2</v>
      </c>
      <c r="C124" s="35" t="str">
        <f ca="1">IFERROR(__xludf.DUMMYFUNCTION("""COMPUTED_VALUE"""),"2.1")</f>
        <v>2.1</v>
      </c>
      <c r="D124" s="35" t="str">
        <f ca="1">IFERROR(__xludf.DUMMYFUNCTION("""COMPUTED_VALUE"""),"Trim 2")</f>
        <v>Trim 2</v>
      </c>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row>
    <row r="125" spans="1:37">
      <c r="A125" s="35" t="str">
        <f ca="1">IFERROR(__xludf.DUMMYFUNCTION("""COMPUTED_VALUE"""),"Subdirección de Demanda")</f>
        <v>Subdirección de Demanda</v>
      </c>
      <c r="B125" s="35">
        <f ca="1">IFERROR(__xludf.DUMMYFUNCTION("""COMPUTED_VALUE"""),2)</f>
        <v>2</v>
      </c>
      <c r="C125" s="35" t="str">
        <f ca="1">IFERROR(__xludf.DUMMYFUNCTION("""COMPUTED_VALUE"""),"2.2")</f>
        <v>2.2</v>
      </c>
      <c r="D125" s="35" t="str">
        <f ca="1">IFERROR(__xludf.DUMMYFUNCTION("""COMPUTED_VALUE"""),"Trim 3")</f>
        <v>Trim 3</v>
      </c>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row>
    <row r="126" spans="1:37">
      <c r="A126" s="35" t="str">
        <f ca="1">IFERROR(__xludf.DUMMYFUNCTION("""COMPUTED_VALUE"""),"Subdirección de Demanda")</f>
        <v>Subdirección de Demanda</v>
      </c>
      <c r="B126" s="35">
        <f ca="1">IFERROR(__xludf.DUMMYFUNCTION("""COMPUTED_VALUE"""),3)</f>
        <v>3</v>
      </c>
      <c r="C126" s="35" t="str">
        <f ca="1">IFERROR(__xludf.DUMMYFUNCTION("""COMPUTED_VALUE"""),"3.1")</f>
        <v>3.1</v>
      </c>
      <c r="D126" s="35" t="str">
        <f ca="1">IFERROR(__xludf.DUMMYFUNCTION("""COMPUTED_VALUE"""),"Trim 3")</f>
        <v>Trim 3</v>
      </c>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row>
    <row r="127" spans="1:37">
      <c r="A127" s="35" t="str">
        <f ca="1">IFERROR(__xludf.DUMMYFUNCTION("""COMPUTED_VALUE"""),"Subdirección de Demanda")</f>
        <v>Subdirección de Demanda</v>
      </c>
      <c r="B127" s="35">
        <f ca="1">IFERROR(__xludf.DUMMYFUNCTION("""COMPUTED_VALUE"""),3)</f>
        <v>3</v>
      </c>
      <c r="C127" s="35" t="str">
        <f ca="1">IFERROR(__xludf.DUMMYFUNCTION("""COMPUTED_VALUE"""),"3.2")</f>
        <v>3.2</v>
      </c>
      <c r="D127" s="35" t="str">
        <f ca="1">IFERROR(__xludf.DUMMYFUNCTION("""COMPUTED_VALUE"""),"Trim 3")</f>
        <v>Trim 3</v>
      </c>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row>
    <row r="128" spans="1:37">
      <c r="A128" s="35" t="str">
        <f ca="1">IFERROR(__xludf.DUMMYFUNCTION("""COMPUTED_VALUE"""),"Subdirección de Demanda")</f>
        <v>Subdirección de Demanda</v>
      </c>
      <c r="B128" s="35">
        <f ca="1">IFERROR(__xludf.DUMMYFUNCTION("""COMPUTED_VALUE"""),4)</f>
        <v>4</v>
      </c>
      <c r="C128" s="35" t="str">
        <f ca="1">IFERROR(__xludf.DUMMYFUNCTION("""COMPUTED_VALUE"""),"4.1")</f>
        <v>4.1</v>
      </c>
      <c r="D128" s="35" t="str">
        <f ca="1">IFERROR(__xludf.DUMMYFUNCTION("""COMPUTED_VALUE"""),"Trim 1")</f>
        <v>Trim 1</v>
      </c>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row>
    <row r="129" spans="1:37">
      <c r="A129" s="35" t="str">
        <f ca="1">IFERROR(__xludf.DUMMYFUNCTION("""COMPUTED_VALUE"""),"Subdirección de Demanda")</f>
        <v>Subdirección de Demanda</v>
      </c>
      <c r="B129" s="35">
        <f ca="1">IFERROR(__xludf.DUMMYFUNCTION("""COMPUTED_VALUE"""),4)</f>
        <v>4</v>
      </c>
      <c r="C129" s="35" t="str">
        <f ca="1">IFERROR(__xludf.DUMMYFUNCTION("""COMPUTED_VALUE"""),"4.2")</f>
        <v>4.2</v>
      </c>
      <c r="D129" s="35" t="str">
        <f ca="1">IFERROR(__xludf.DUMMYFUNCTION("""COMPUTED_VALUE"""),"Trim 4")</f>
        <v>Trim 4</v>
      </c>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row>
    <row r="130" spans="1:37">
      <c r="A130" s="35" t="str">
        <f ca="1">IFERROR(__xludf.DUMMYFUNCTION("""COMPUTED_VALUE"""),"Subdirección de Demanda")</f>
        <v>Subdirección de Demanda</v>
      </c>
      <c r="B130" s="35">
        <f ca="1">IFERROR(__xludf.DUMMYFUNCTION("""COMPUTED_VALUE"""),4)</f>
        <v>4</v>
      </c>
      <c r="C130" s="35" t="str">
        <f ca="1">IFERROR(__xludf.DUMMYFUNCTION("""COMPUTED_VALUE"""),"4.3")</f>
        <v>4.3</v>
      </c>
      <c r="D130" s="35" t="str">
        <f ca="1">IFERROR(__xludf.DUMMYFUNCTION("""COMPUTED_VALUE"""),"Trim 4")</f>
        <v>Trim 4</v>
      </c>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row>
    <row r="131" spans="1:37">
      <c r="A131" s="35" t="str">
        <f ca="1">IFERROR(__xludf.DUMMYFUNCTION("""COMPUTED_VALUE"""),"Subdirección de Demanda")</f>
        <v>Subdirección de Demanda</v>
      </c>
      <c r="B131" s="35">
        <f ca="1">IFERROR(__xludf.DUMMYFUNCTION("""COMPUTED_VALUE"""),4)</f>
        <v>4</v>
      </c>
      <c r="C131" s="35" t="str">
        <f ca="1">IFERROR(__xludf.DUMMYFUNCTION("""COMPUTED_VALUE"""),"4.4")</f>
        <v>4.4</v>
      </c>
      <c r="D131" s="35" t="str">
        <f ca="1">IFERROR(__xludf.DUMMYFUNCTION("""COMPUTED_VALUE"""),"Trim 4")</f>
        <v>Trim 4</v>
      </c>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row>
    <row r="132" spans="1:37">
      <c r="A132" s="35" t="str">
        <f ca="1">IFERROR(__xludf.DUMMYFUNCTION("""COMPUTED_VALUE"""),"Subdirección de Demanda")</f>
        <v>Subdirección de Demanda</v>
      </c>
      <c r="B132" s="35">
        <f ca="1">IFERROR(__xludf.DUMMYFUNCTION("""COMPUTED_VALUE"""),5)</f>
        <v>5</v>
      </c>
      <c r="C132" s="35" t="str">
        <f ca="1">IFERROR(__xludf.DUMMYFUNCTION("""COMPUTED_VALUE"""),"5.1")</f>
        <v>5.1</v>
      </c>
      <c r="D132" s="35" t="str">
        <f ca="1">IFERROR(__xludf.DUMMYFUNCTION("""COMPUTED_VALUE"""),"Trim 4")</f>
        <v>Trim 4</v>
      </c>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row>
    <row r="133" spans="1:37">
      <c r="A133" s="35" t="str">
        <f ca="1">IFERROR(__xludf.DUMMYFUNCTION("""COMPUTED_VALUE"""),"Subdirección de Demanda")</f>
        <v>Subdirección de Demanda</v>
      </c>
      <c r="B133" s="35">
        <f ca="1">IFERROR(__xludf.DUMMYFUNCTION("""COMPUTED_VALUE"""),5)</f>
        <v>5</v>
      </c>
      <c r="C133" s="35" t="str">
        <f ca="1">IFERROR(__xludf.DUMMYFUNCTION("""COMPUTED_VALUE"""),"5.2")</f>
        <v>5.2</v>
      </c>
      <c r="D133" s="35" t="str">
        <f ca="1">IFERROR(__xludf.DUMMYFUNCTION("""COMPUTED_VALUE"""),"Trim 3")</f>
        <v>Trim 3</v>
      </c>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row>
    <row r="134" spans="1:37">
      <c r="A134" s="35" t="str">
        <f ca="1">IFERROR(__xludf.DUMMYFUNCTION("""COMPUTED_VALUE"""),"Subdirección de Demanda")</f>
        <v>Subdirección de Demanda</v>
      </c>
      <c r="B134" s="35">
        <f ca="1">IFERROR(__xludf.DUMMYFUNCTION("""COMPUTED_VALUE"""),5)</f>
        <v>5</v>
      </c>
      <c r="C134" s="35" t="str">
        <f ca="1">IFERROR(__xludf.DUMMYFUNCTION("""COMPUTED_VALUE"""),"5.3")</f>
        <v>5.3</v>
      </c>
      <c r="D134" s="35" t="str">
        <f ca="1">IFERROR(__xludf.DUMMYFUNCTION("""COMPUTED_VALUE"""),"Trim 3")</f>
        <v>Trim 3</v>
      </c>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row>
    <row r="135" spans="1:37">
      <c r="A135" s="35" t="str">
        <f ca="1">IFERROR(__xludf.DUMMYFUNCTION("""COMPUTED_VALUE"""),"Subdirección de Minería")</f>
        <v>Subdirección de Minería</v>
      </c>
      <c r="B135" s="35">
        <f ca="1">IFERROR(__xludf.DUMMYFUNCTION("""COMPUTED_VALUE"""),1)</f>
        <v>1</v>
      </c>
      <c r="C135" s="35" t="str">
        <f ca="1">IFERROR(__xludf.DUMMYFUNCTION("""COMPUTED_VALUE"""),"1.1")</f>
        <v>1.1</v>
      </c>
      <c r="D135" s="35" t="str">
        <f ca="1">IFERROR(__xludf.DUMMYFUNCTION("""COMPUTED_VALUE"""),"Trim 1")</f>
        <v>Trim 1</v>
      </c>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row>
    <row r="136" spans="1:37">
      <c r="A136" s="35" t="str">
        <f ca="1">IFERROR(__xludf.DUMMYFUNCTION("""COMPUTED_VALUE"""),"Subdirección de Minería")</f>
        <v>Subdirección de Minería</v>
      </c>
      <c r="B136" s="35">
        <f ca="1">IFERROR(__xludf.DUMMYFUNCTION("""COMPUTED_VALUE"""),1)</f>
        <v>1</v>
      </c>
      <c r="C136" s="35" t="str">
        <f ca="1">IFERROR(__xludf.DUMMYFUNCTION("""COMPUTED_VALUE"""),"1.2")</f>
        <v>1.2</v>
      </c>
      <c r="D136" s="35" t="str">
        <f ca="1">IFERROR(__xludf.DUMMYFUNCTION("""COMPUTED_VALUE"""),"Trim 2")</f>
        <v>Trim 2</v>
      </c>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row>
    <row r="137" spans="1:37">
      <c r="A137" s="35" t="str">
        <f ca="1">IFERROR(__xludf.DUMMYFUNCTION("""COMPUTED_VALUE"""),"Subdirección de Minería")</f>
        <v>Subdirección de Minería</v>
      </c>
      <c r="B137" s="35">
        <f ca="1">IFERROR(__xludf.DUMMYFUNCTION("""COMPUTED_VALUE"""),1)</f>
        <v>1</v>
      </c>
      <c r="C137" s="35" t="str">
        <f ca="1">IFERROR(__xludf.DUMMYFUNCTION("""COMPUTED_VALUE"""),"1.3")</f>
        <v>1.3</v>
      </c>
      <c r="D137" s="35" t="str">
        <f ca="1">IFERROR(__xludf.DUMMYFUNCTION("""COMPUTED_VALUE"""),"Trim 3")</f>
        <v>Trim 3</v>
      </c>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row>
    <row r="138" spans="1:37">
      <c r="A138" s="35" t="str">
        <f ca="1">IFERROR(__xludf.DUMMYFUNCTION("""COMPUTED_VALUE"""),"Subdirección de Minería")</f>
        <v>Subdirección de Minería</v>
      </c>
      <c r="B138" s="35">
        <f ca="1">IFERROR(__xludf.DUMMYFUNCTION("""COMPUTED_VALUE"""),1)</f>
        <v>1</v>
      </c>
      <c r="C138" s="35" t="str">
        <f ca="1">IFERROR(__xludf.DUMMYFUNCTION("""COMPUTED_VALUE"""),"1.4")</f>
        <v>1.4</v>
      </c>
      <c r="D138" s="35" t="str">
        <f ca="1">IFERROR(__xludf.DUMMYFUNCTION("""COMPUTED_VALUE"""),"Trim 4")</f>
        <v>Trim 4</v>
      </c>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row>
    <row r="139" spans="1:37">
      <c r="A139" s="35" t="str">
        <f ca="1">IFERROR(__xludf.DUMMYFUNCTION("""COMPUTED_VALUE"""),"Subdirección de Minería")</f>
        <v>Subdirección de Minería</v>
      </c>
      <c r="B139" s="35">
        <f ca="1">IFERROR(__xludf.DUMMYFUNCTION("""COMPUTED_VALUE"""),2)</f>
        <v>2</v>
      </c>
      <c r="C139" s="35" t="str">
        <f ca="1">IFERROR(__xludf.DUMMYFUNCTION("""COMPUTED_VALUE"""),"2.1")</f>
        <v>2.1</v>
      </c>
      <c r="D139" s="35" t="str">
        <f ca="1">IFERROR(__xludf.DUMMYFUNCTION("""COMPUTED_VALUE"""),"Trim 1")</f>
        <v>Trim 1</v>
      </c>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row>
    <row r="140" spans="1:37">
      <c r="A140" s="35" t="str">
        <f ca="1">IFERROR(__xludf.DUMMYFUNCTION("""COMPUTED_VALUE"""),"Subdirección de Minería")</f>
        <v>Subdirección de Minería</v>
      </c>
      <c r="B140" s="35">
        <f ca="1">IFERROR(__xludf.DUMMYFUNCTION("""COMPUTED_VALUE"""),2)</f>
        <v>2</v>
      </c>
      <c r="C140" s="35" t="str">
        <f ca="1">IFERROR(__xludf.DUMMYFUNCTION("""COMPUTED_VALUE"""),"2.2")</f>
        <v>2.2</v>
      </c>
      <c r="D140" s="35" t="str">
        <f ca="1">IFERROR(__xludf.DUMMYFUNCTION("""COMPUTED_VALUE"""),"Trim 2")</f>
        <v>Trim 2</v>
      </c>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row>
    <row r="141" spans="1:37">
      <c r="A141" s="35" t="str">
        <f ca="1">IFERROR(__xludf.DUMMYFUNCTION("""COMPUTED_VALUE"""),"Subdirección de Minería")</f>
        <v>Subdirección de Minería</v>
      </c>
      <c r="B141" s="35">
        <f ca="1">IFERROR(__xludf.DUMMYFUNCTION("""COMPUTED_VALUE"""),2)</f>
        <v>2</v>
      </c>
      <c r="C141" s="35" t="str">
        <f ca="1">IFERROR(__xludf.DUMMYFUNCTION("""COMPUTED_VALUE"""),"2.3")</f>
        <v>2.3</v>
      </c>
      <c r="D141" s="35" t="str">
        <f ca="1">IFERROR(__xludf.DUMMYFUNCTION("""COMPUTED_VALUE"""),"Trim 3")</f>
        <v>Trim 3</v>
      </c>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row>
    <row r="142" spans="1:37">
      <c r="A142" s="35" t="str">
        <f ca="1">IFERROR(__xludf.DUMMYFUNCTION("""COMPUTED_VALUE"""),"Subdirección de Minería")</f>
        <v>Subdirección de Minería</v>
      </c>
      <c r="B142" s="35">
        <f ca="1">IFERROR(__xludf.DUMMYFUNCTION("""COMPUTED_VALUE"""),2)</f>
        <v>2</v>
      </c>
      <c r="C142" s="35" t="str">
        <f ca="1">IFERROR(__xludf.DUMMYFUNCTION("""COMPUTED_VALUE"""),"2.4")</f>
        <v>2.4</v>
      </c>
      <c r="D142" s="35" t="str">
        <f ca="1">IFERROR(__xludf.DUMMYFUNCTION("""COMPUTED_VALUE"""),"Trim 4")</f>
        <v>Trim 4</v>
      </c>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row>
    <row r="143" spans="1:37">
      <c r="A143" s="35" t="str">
        <f ca="1">IFERROR(__xludf.DUMMYFUNCTION("""COMPUTED_VALUE"""),"Subdirección de Minería")</f>
        <v>Subdirección de Minería</v>
      </c>
      <c r="B143" s="35">
        <f ca="1">IFERROR(__xludf.DUMMYFUNCTION("""COMPUTED_VALUE"""),3)</f>
        <v>3</v>
      </c>
      <c r="C143" s="35" t="str">
        <f ca="1">IFERROR(__xludf.DUMMYFUNCTION("""COMPUTED_VALUE"""),"3.1")</f>
        <v>3.1</v>
      </c>
      <c r="D143" s="35" t="str">
        <f ca="1">IFERROR(__xludf.DUMMYFUNCTION("""COMPUTED_VALUE"""),"Trim 3")</f>
        <v>Trim 3</v>
      </c>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row>
    <row r="144" spans="1:37">
      <c r="A144" s="35" t="str">
        <f ca="1">IFERROR(__xludf.DUMMYFUNCTION("""COMPUTED_VALUE"""),"Subdirección de Minería")</f>
        <v>Subdirección de Minería</v>
      </c>
      <c r="B144" s="35">
        <f ca="1">IFERROR(__xludf.DUMMYFUNCTION("""COMPUTED_VALUE"""),3)</f>
        <v>3</v>
      </c>
      <c r="C144" s="35" t="str">
        <f ca="1">IFERROR(__xludf.DUMMYFUNCTION("""COMPUTED_VALUE"""),"3.2")</f>
        <v>3.2</v>
      </c>
      <c r="D144" s="35" t="str">
        <f ca="1">IFERROR(__xludf.DUMMYFUNCTION("""COMPUTED_VALUE"""),"Trim 2")</f>
        <v>Trim 2</v>
      </c>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row>
    <row r="145" spans="1:37">
      <c r="A145" s="35" t="str">
        <f ca="1">IFERROR(__xludf.DUMMYFUNCTION("""COMPUTED_VALUE"""),"Subdirección de Minería")</f>
        <v>Subdirección de Minería</v>
      </c>
      <c r="B145" s="35">
        <f ca="1">IFERROR(__xludf.DUMMYFUNCTION("""COMPUTED_VALUE"""),3)</f>
        <v>3</v>
      </c>
      <c r="C145" s="35" t="str">
        <f ca="1">IFERROR(__xludf.DUMMYFUNCTION("""COMPUTED_VALUE"""),"3.3")</f>
        <v>3.3</v>
      </c>
      <c r="D145" s="35" t="str">
        <f ca="1">IFERROR(__xludf.DUMMYFUNCTION("""COMPUTED_VALUE"""),"Trim 4")</f>
        <v>Trim 4</v>
      </c>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row>
    <row r="146" spans="1:37">
      <c r="A146" s="35" t="str">
        <f ca="1">IFERROR(__xludf.DUMMYFUNCTION("""COMPUTED_VALUE"""),"Subdirección de Minería")</f>
        <v>Subdirección de Minería</v>
      </c>
      <c r="B146" s="35">
        <f ca="1">IFERROR(__xludf.DUMMYFUNCTION("""COMPUTED_VALUE"""),3)</f>
        <v>3</v>
      </c>
      <c r="C146" s="35" t="str">
        <f ca="1">IFERROR(__xludf.DUMMYFUNCTION("""COMPUTED_VALUE"""),"3.4")</f>
        <v>3.4</v>
      </c>
      <c r="D146" s="35" t="str">
        <f ca="1">IFERROR(__xludf.DUMMYFUNCTION("""COMPUTED_VALUE"""),"Trim 3")</f>
        <v>Trim 3</v>
      </c>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row>
    <row r="147" spans="1:37">
      <c r="A147" s="35" t="str">
        <f ca="1">IFERROR(__xludf.DUMMYFUNCTION("""COMPUTED_VALUE"""),"Subdirección de Minería")</f>
        <v>Subdirección de Minería</v>
      </c>
      <c r="B147" s="35">
        <f ca="1">IFERROR(__xludf.DUMMYFUNCTION("""COMPUTED_VALUE"""),3)</f>
        <v>3</v>
      </c>
      <c r="C147" s="35" t="str">
        <f ca="1">IFERROR(__xludf.DUMMYFUNCTION("""COMPUTED_VALUE"""),"3.5")</f>
        <v>3.5</v>
      </c>
      <c r="D147" s="35" t="str">
        <f ca="1">IFERROR(__xludf.DUMMYFUNCTION("""COMPUTED_VALUE"""),"Trim 3")</f>
        <v>Trim 3</v>
      </c>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row>
    <row r="148" spans="1:37">
      <c r="A148" s="35" t="str">
        <f ca="1">IFERROR(__xludf.DUMMYFUNCTION("""COMPUTED_VALUE"""),"Subdirección de Minería")</f>
        <v>Subdirección de Minería</v>
      </c>
      <c r="B148" s="35">
        <f ca="1">IFERROR(__xludf.DUMMYFUNCTION("""COMPUTED_VALUE"""),3)</f>
        <v>3</v>
      </c>
      <c r="C148" s="35" t="str">
        <f ca="1">IFERROR(__xludf.DUMMYFUNCTION("""COMPUTED_VALUE"""),"3.6")</f>
        <v>3.6</v>
      </c>
      <c r="D148" s="35" t="str">
        <f ca="1">IFERROR(__xludf.DUMMYFUNCTION("""COMPUTED_VALUE"""),"Trim 2")</f>
        <v>Trim 2</v>
      </c>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row>
    <row r="149" spans="1:37">
      <c r="A149" s="35" t="str">
        <f ca="1">IFERROR(__xludf.DUMMYFUNCTION("""COMPUTED_VALUE"""),"Subdirección de Minería")</f>
        <v>Subdirección de Minería</v>
      </c>
      <c r="B149" s="35">
        <f ca="1">IFERROR(__xludf.DUMMYFUNCTION("""COMPUTED_VALUE"""),3)</f>
        <v>3</v>
      </c>
      <c r="C149" s="35" t="str">
        <f ca="1">IFERROR(__xludf.DUMMYFUNCTION("""COMPUTED_VALUE"""),"3.7")</f>
        <v>3.7</v>
      </c>
      <c r="D149" s="35" t="str">
        <f ca="1">IFERROR(__xludf.DUMMYFUNCTION("""COMPUTED_VALUE"""),"Trim 4")</f>
        <v>Trim 4</v>
      </c>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row>
    <row r="150" spans="1:37">
      <c r="A150" s="35" t="str">
        <f ca="1">IFERROR(__xludf.DUMMYFUNCTION("""COMPUTED_VALUE"""),"Subdirección de Minería")</f>
        <v>Subdirección de Minería</v>
      </c>
      <c r="B150" s="35">
        <f ca="1">IFERROR(__xludf.DUMMYFUNCTION("""COMPUTED_VALUE"""),4)</f>
        <v>4</v>
      </c>
      <c r="C150" s="35" t="str">
        <f ca="1">IFERROR(__xludf.DUMMYFUNCTION("""COMPUTED_VALUE"""),"4.1")</f>
        <v>4.1</v>
      </c>
      <c r="D150" s="35" t="str">
        <f ca="1">IFERROR(__xludf.DUMMYFUNCTION("""COMPUTED_VALUE"""),"Trim 1")</f>
        <v>Trim 1</v>
      </c>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row>
    <row r="151" spans="1:37">
      <c r="A151" s="35" t="str">
        <f ca="1">IFERROR(__xludf.DUMMYFUNCTION("""COMPUTED_VALUE"""),"Subdirección de Minería")</f>
        <v>Subdirección de Minería</v>
      </c>
      <c r="B151" s="35">
        <f ca="1">IFERROR(__xludf.DUMMYFUNCTION("""COMPUTED_VALUE"""),4)</f>
        <v>4</v>
      </c>
      <c r="C151" s="35" t="str">
        <f ca="1">IFERROR(__xludf.DUMMYFUNCTION("""COMPUTED_VALUE"""),"4.2")</f>
        <v>4.2</v>
      </c>
      <c r="D151" s="35" t="str">
        <f ca="1">IFERROR(__xludf.DUMMYFUNCTION("""COMPUTED_VALUE"""),"Trim 3")</f>
        <v>Trim 3</v>
      </c>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row>
    <row r="152" spans="1:37">
      <c r="A152" s="35" t="str">
        <f ca="1">IFERROR(__xludf.DUMMYFUNCTION("""COMPUTED_VALUE"""),"Subdirección de Minería")</f>
        <v>Subdirección de Minería</v>
      </c>
      <c r="B152" s="35">
        <f ca="1">IFERROR(__xludf.DUMMYFUNCTION("""COMPUTED_VALUE"""),4)</f>
        <v>4</v>
      </c>
      <c r="C152" s="35" t="str">
        <f ca="1">IFERROR(__xludf.DUMMYFUNCTION("""COMPUTED_VALUE"""),"4.3")</f>
        <v>4.3</v>
      </c>
      <c r="D152" s="35" t="str">
        <f ca="1">IFERROR(__xludf.DUMMYFUNCTION("""COMPUTED_VALUE"""),"Trim 1")</f>
        <v>Trim 1</v>
      </c>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row>
    <row r="153" spans="1:37">
      <c r="A153" s="35" t="str">
        <f ca="1">IFERROR(__xludf.DUMMYFUNCTION("""COMPUTED_VALUE"""),"Subdirección de Minería")</f>
        <v>Subdirección de Minería</v>
      </c>
      <c r="B153" s="35">
        <f ca="1">IFERROR(__xludf.DUMMYFUNCTION("""COMPUTED_VALUE"""),4)</f>
        <v>4</v>
      </c>
      <c r="C153" s="35" t="str">
        <f ca="1">IFERROR(__xludf.DUMMYFUNCTION("""COMPUTED_VALUE"""),"4.4")</f>
        <v>4.4</v>
      </c>
      <c r="D153" s="35" t="str">
        <f ca="1">IFERROR(__xludf.DUMMYFUNCTION("""COMPUTED_VALUE"""),"Trim 4")</f>
        <v>Trim 4</v>
      </c>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row>
    <row r="154" spans="1:37">
      <c r="A154" s="35" t="str">
        <f ca="1">IFERROR(__xludf.DUMMYFUNCTION("""COMPUTED_VALUE"""),"Subdirección de Minería")</f>
        <v>Subdirección de Minería</v>
      </c>
      <c r="B154" s="35">
        <f ca="1">IFERROR(__xludf.DUMMYFUNCTION("""COMPUTED_VALUE"""),4)</f>
        <v>4</v>
      </c>
      <c r="C154" s="35" t="str">
        <f ca="1">IFERROR(__xludf.DUMMYFUNCTION("""COMPUTED_VALUE"""),"4.5")</f>
        <v>4.5</v>
      </c>
      <c r="D154" s="35" t="str">
        <f ca="1">IFERROR(__xludf.DUMMYFUNCTION("""COMPUTED_VALUE"""),"Trim 4")</f>
        <v>Trim 4</v>
      </c>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row>
    <row r="155" spans="1:37">
      <c r="A155" s="35" t="str">
        <f ca="1">IFERROR(__xludf.DUMMYFUNCTION("""COMPUTED_VALUE"""),"Subdirección de Minería")</f>
        <v>Subdirección de Minería</v>
      </c>
      <c r="B155" s="35">
        <f ca="1">IFERROR(__xludf.DUMMYFUNCTION("""COMPUTED_VALUE"""),4)</f>
        <v>4</v>
      </c>
      <c r="C155" s="35" t="str">
        <f ca="1">IFERROR(__xludf.DUMMYFUNCTION("""COMPUTED_VALUE"""),"4.6")</f>
        <v>4.6</v>
      </c>
      <c r="D155" s="35" t="str">
        <f ca="1">IFERROR(__xludf.DUMMYFUNCTION("""COMPUTED_VALUE"""),"Trim 4")</f>
        <v>Trim 4</v>
      </c>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row>
    <row r="156" spans="1:37">
      <c r="A156" s="35" t="str">
        <f ca="1">IFERROR(__xludf.DUMMYFUNCTION("""COMPUTED_VALUE"""),"Subdirección de Minería")</f>
        <v>Subdirección de Minería</v>
      </c>
      <c r="B156" s="35">
        <f ca="1">IFERROR(__xludf.DUMMYFUNCTION("""COMPUTED_VALUE"""),4)</f>
        <v>4</v>
      </c>
      <c r="C156" s="35" t="str">
        <f ca="1">IFERROR(__xludf.DUMMYFUNCTION("""COMPUTED_VALUE"""),"4.7")</f>
        <v>4.7</v>
      </c>
      <c r="D156" s="35" t="str">
        <f ca="1">IFERROR(__xludf.DUMMYFUNCTION("""COMPUTED_VALUE"""),"Trim 4")</f>
        <v>Trim 4</v>
      </c>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row>
    <row r="157" spans="1:37" ht="30">
      <c r="A157" s="35" t="str">
        <f ca="1">IFERROR(__xludf.DUMMYFUNCTION("""COMPUTED_VALUE"""),"Secretaría General - GIT Talento Humano y Servicio al Ciudadano")</f>
        <v>Secretaría General - GIT Talento Humano y Servicio al Ciudadano</v>
      </c>
      <c r="B157" s="35">
        <f ca="1">IFERROR(__xludf.DUMMYFUNCTION("""COMPUTED_VALUE"""),1)</f>
        <v>1</v>
      </c>
      <c r="C157" s="35" t="str">
        <f ca="1">IFERROR(__xludf.DUMMYFUNCTION("""COMPUTED_VALUE"""),"1.1")</f>
        <v>1.1</v>
      </c>
      <c r="D157" s="35" t="str">
        <f ca="1">IFERROR(__xludf.DUMMYFUNCTION("""COMPUTED_VALUE"""),"Trim 1")</f>
        <v>Trim 1</v>
      </c>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row>
    <row r="158" spans="1:37" ht="30">
      <c r="A158" s="35" t="str">
        <f ca="1">IFERROR(__xludf.DUMMYFUNCTION("""COMPUTED_VALUE"""),"Secretaría General - GIT Talento Humano y Servicio al Ciudadano")</f>
        <v>Secretaría General - GIT Talento Humano y Servicio al Ciudadano</v>
      </c>
      <c r="B158" s="35">
        <f ca="1">IFERROR(__xludf.DUMMYFUNCTION("""COMPUTED_VALUE"""),1)</f>
        <v>1</v>
      </c>
      <c r="C158" s="35" t="str">
        <f ca="1">IFERROR(__xludf.DUMMYFUNCTION("""COMPUTED_VALUE"""),"1.2")</f>
        <v>1.2</v>
      </c>
      <c r="D158" s="35" t="str">
        <f ca="1">IFERROR(__xludf.DUMMYFUNCTION("""COMPUTED_VALUE"""),"Trim 1")</f>
        <v>Trim 1</v>
      </c>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row>
    <row r="159" spans="1:37" ht="30">
      <c r="A159" s="35" t="str">
        <f ca="1">IFERROR(__xludf.DUMMYFUNCTION("""COMPUTED_VALUE"""),"Secretaría General - GIT Talento Humano y Servicio al Ciudadano")</f>
        <v>Secretaría General - GIT Talento Humano y Servicio al Ciudadano</v>
      </c>
      <c r="B159" s="35">
        <f ca="1">IFERROR(__xludf.DUMMYFUNCTION("""COMPUTED_VALUE"""),1)</f>
        <v>1</v>
      </c>
      <c r="C159" s="35" t="str">
        <f ca="1">IFERROR(__xludf.DUMMYFUNCTION("""COMPUTED_VALUE"""),"1.3")</f>
        <v>1.3</v>
      </c>
      <c r="D159" s="35" t="str">
        <f ca="1">IFERROR(__xludf.DUMMYFUNCTION("""COMPUTED_VALUE"""),"Trim 2")</f>
        <v>Trim 2</v>
      </c>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row>
    <row r="160" spans="1:37" ht="30">
      <c r="A160" s="35" t="str">
        <f ca="1">IFERROR(__xludf.DUMMYFUNCTION("""COMPUTED_VALUE"""),"Secretaría General - GIT Talento Humano y Servicio al Ciudadano")</f>
        <v>Secretaría General - GIT Talento Humano y Servicio al Ciudadano</v>
      </c>
      <c r="B160" s="35">
        <f ca="1">IFERROR(__xludf.DUMMYFUNCTION("""COMPUTED_VALUE"""),1)</f>
        <v>1</v>
      </c>
      <c r="C160" s="35" t="str">
        <f ca="1">IFERROR(__xludf.DUMMYFUNCTION("""COMPUTED_VALUE"""),"1.4")</f>
        <v>1.4</v>
      </c>
      <c r="D160" s="35" t="str">
        <f ca="1">IFERROR(__xludf.DUMMYFUNCTION("""COMPUTED_VALUE"""),"Trim 3")</f>
        <v>Trim 3</v>
      </c>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row>
    <row r="161" spans="1:37" ht="30">
      <c r="A161" s="35" t="str">
        <f ca="1">IFERROR(__xludf.DUMMYFUNCTION("""COMPUTED_VALUE"""),"Secretaría General - GIT Talento Humano y Servicio al Ciudadano")</f>
        <v>Secretaría General - GIT Talento Humano y Servicio al Ciudadano</v>
      </c>
      <c r="B161" s="35">
        <f ca="1">IFERROR(__xludf.DUMMYFUNCTION("""COMPUTED_VALUE"""),1)</f>
        <v>1</v>
      </c>
      <c r="C161" s="35" t="str">
        <f ca="1">IFERROR(__xludf.DUMMYFUNCTION("""COMPUTED_VALUE"""),"1.5")</f>
        <v>1.5</v>
      </c>
      <c r="D161" s="35" t="str">
        <f ca="1">IFERROR(__xludf.DUMMYFUNCTION("""COMPUTED_VALUE"""),"Trim 4")</f>
        <v>Trim 4</v>
      </c>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row>
    <row r="162" spans="1:37" ht="30">
      <c r="A162" s="35" t="str">
        <f ca="1">IFERROR(__xludf.DUMMYFUNCTION("""COMPUTED_VALUE"""),"Secretaría General - GIT Talento Humano y Servicio al Ciudadano")</f>
        <v>Secretaría General - GIT Talento Humano y Servicio al Ciudadano</v>
      </c>
      <c r="B162" s="35">
        <f ca="1">IFERROR(__xludf.DUMMYFUNCTION("""COMPUTED_VALUE"""),1)</f>
        <v>1</v>
      </c>
      <c r="C162" s="35" t="str">
        <f ca="1">IFERROR(__xludf.DUMMYFUNCTION("""COMPUTED_VALUE"""),"1.6")</f>
        <v>1.6</v>
      </c>
      <c r="D162" s="35" t="str">
        <f ca="1">IFERROR(__xludf.DUMMYFUNCTION("""COMPUTED_VALUE"""),"Trim 1")</f>
        <v>Trim 1</v>
      </c>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row>
    <row r="163" spans="1:37" ht="30">
      <c r="A163" s="35" t="str">
        <f ca="1">IFERROR(__xludf.DUMMYFUNCTION("""COMPUTED_VALUE"""),"Secretaría General - GIT Talento Humano y Servicio al Ciudadano")</f>
        <v>Secretaría General - GIT Talento Humano y Servicio al Ciudadano</v>
      </c>
      <c r="B163" s="35">
        <f ca="1">IFERROR(__xludf.DUMMYFUNCTION("""COMPUTED_VALUE"""),1)</f>
        <v>1</v>
      </c>
      <c r="C163" s="35" t="str">
        <f ca="1">IFERROR(__xludf.DUMMYFUNCTION("""COMPUTED_VALUE"""),"1.7")</f>
        <v>1.7</v>
      </c>
      <c r="D163" s="35" t="str">
        <f ca="1">IFERROR(__xludf.DUMMYFUNCTION("""COMPUTED_VALUE"""),"Trim 1")</f>
        <v>Trim 1</v>
      </c>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row>
    <row r="164" spans="1:37" ht="30">
      <c r="A164" s="35" t="str">
        <f ca="1">IFERROR(__xludf.DUMMYFUNCTION("""COMPUTED_VALUE"""),"Secretaría General - GIT Talento Humano y Servicio al Ciudadano")</f>
        <v>Secretaría General - GIT Talento Humano y Servicio al Ciudadano</v>
      </c>
      <c r="B164" s="35">
        <f ca="1">IFERROR(__xludf.DUMMYFUNCTION("""COMPUTED_VALUE"""),1)</f>
        <v>1</v>
      </c>
      <c r="C164" s="35" t="str">
        <f ca="1">IFERROR(__xludf.DUMMYFUNCTION("""COMPUTED_VALUE"""),"1.8")</f>
        <v>1.8</v>
      </c>
      <c r="D164" s="35" t="str">
        <f ca="1">IFERROR(__xludf.DUMMYFUNCTION("""COMPUTED_VALUE"""),"Trim 2")</f>
        <v>Trim 2</v>
      </c>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row>
    <row r="165" spans="1:37" ht="30">
      <c r="A165" s="35" t="str">
        <f ca="1">IFERROR(__xludf.DUMMYFUNCTION("""COMPUTED_VALUE"""),"Secretaría General - GIT Talento Humano y Servicio al Ciudadano")</f>
        <v>Secretaría General - GIT Talento Humano y Servicio al Ciudadano</v>
      </c>
      <c r="B165" s="35">
        <f ca="1">IFERROR(__xludf.DUMMYFUNCTION("""COMPUTED_VALUE"""),1)</f>
        <v>1</v>
      </c>
      <c r="C165" s="35" t="str">
        <f ca="1">IFERROR(__xludf.DUMMYFUNCTION("""COMPUTED_VALUE"""),"1.9")</f>
        <v>1.9</v>
      </c>
      <c r="D165" s="35" t="str">
        <f ca="1">IFERROR(__xludf.DUMMYFUNCTION("""COMPUTED_VALUE"""),"Trim 3")</f>
        <v>Trim 3</v>
      </c>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row>
    <row r="166" spans="1:37" ht="30">
      <c r="A166" s="35" t="str">
        <f ca="1">IFERROR(__xludf.DUMMYFUNCTION("""COMPUTED_VALUE"""),"Secretaría General - GIT Talento Humano y Servicio al Ciudadano")</f>
        <v>Secretaría General - GIT Talento Humano y Servicio al Ciudadano</v>
      </c>
      <c r="B166" s="35">
        <f ca="1">IFERROR(__xludf.DUMMYFUNCTION("""COMPUTED_VALUE"""),1)</f>
        <v>1</v>
      </c>
      <c r="C166" s="35" t="str">
        <f ca="1">IFERROR(__xludf.DUMMYFUNCTION("""COMPUTED_VALUE"""),"1.10")</f>
        <v>1.10</v>
      </c>
      <c r="D166" s="35" t="str">
        <f ca="1">IFERROR(__xludf.DUMMYFUNCTION("""COMPUTED_VALUE"""),"Trim 4")</f>
        <v>Trim 4</v>
      </c>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row>
    <row r="167" spans="1:37" ht="30">
      <c r="A167" s="35" t="str">
        <f ca="1">IFERROR(__xludf.DUMMYFUNCTION("""COMPUTED_VALUE"""),"Secretaría General - GIT Talento Humano y Servicio al Ciudadano")</f>
        <v>Secretaría General - GIT Talento Humano y Servicio al Ciudadano</v>
      </c>
      <c r="B167" s="35">
        <f ca="1">IFERROR(__xludf.DUMMYFUNCTION("""COMPUTED_VALUE"""),1)</f>
        <v>1</v>
      </c>
      <c r="C167" s="35" t="str">
        <f ca="1">IFERROR(__xludf.DUMMYFUNCTION("""COMPUTED_VALUE"""),"1.11")</f>
        <v>1.11</v>
      </c>
      <c r="D167" s="35" t="str">
        <f ca="1">IFERROR(__xludf.DUMMYFUNCTION("""COMPUTED_VALUE"""),"Trim 1")</f>
        <v>Trim 1</v>
      </c>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row>
    <row r="168" spans="1:37" ht="30">
      <c r="A168" s="35" t="str">
        <f ca="1">IFERROR(__xludf.DUMMYFUNCTION("""COMPUTED_VALUE"""),"Secretaría General - GIT Talento Humano y Servicio al Ciudadano")</f>
        <v>Secretaría General - GIT Talento Humano y Servicio al Ciudadano</v>
      </c>
      <c r="B168" s="35">
        <f ca="1">IFERROR(__xludf.DUMMYFUNCTION("""COMPUTED_VALUE"""),1)</f>
        <v>1</v>
      </c>
      <c r="C168" s="35" t="str">
        <f ca="1">IFERROR(__xludf.DUMMYFUNCTION("""COMPUTED_VALUE"""),"1.12")</f>
        <v>1.12</v>
      </c>
      <c r="D168" s="35" t="str">
        <f ca="1">IFERROR(__xludf.DUMMYFUNCTION("""COMPUTED_VALUE"""),"Trim 1")</f>
        <v>Trim 1</v>
      </c>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row>
    <row r="169" spans="1:37" ht="30">
      <c r="A169" s="35" t="str">
        <f ca="1">IFERROR(__xludf.DUMMYFUNCTION("""COMPUTED_VALUE"""),"Secretaría General - GIT Talento Humano y Servicio al Ciudadano")</f>
        <v>Secretaría General - GIT Talento Humano y Servicio al Ciudadano</v>
      </c>
      <c r="B169" s="35">
        <f ca="1">IFERROR(__xludf.DUMMYFUNCTION("""COMPUTED_VALUE"""),1)</f>
        <v>1</v>
      </c>
      <c r="C169" s="35" t="str">
        <f ca="1">IFERROR(__xludf.DUMMYFUNCTION("""COMPUTED_VALUE"""),"1.13")</f>
        <v>1.13</v>
      </c>
      <c r="D169" s="35" t="str">
        <f ca="1">IFERROR(__xludf.DUMMYFUNCTION("""COMPUTED_VALUE"""),"Trim 2")</f>
        <v>Trim 2</v>
      </c>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row>
    <row r="170" spans="1:37" ht="30">
      <c r="A170" s="35" t="str">
        <f ca="1">IFERROR(__xludf.DUMMYFUNCTION("""COMPUTED_VALUE"""),"Secretaría General - GIT Talento Humano y Servicio al Ciudadano")</f>
        <v>Secretaría General - GIT Talento Humano y Servicio al Ciudadano</v>
      </c>
      <c r="B170" s="35">
        <f ca="1">IFERROR(__xludf.DUMMYFUNCTION("""COMPUTED_VALUE"""),1)</f>
        <v>1</v>
      </c>
      <c r="C170" s="35" t="str">
        <f ca="1">IFERROR(__xludf.DUMMYFUNCTION("""COMPUTED_VALUE"""),"1.14")</f>
        <v>1.14</v>
      </c>
      <c r="D170" s="35" t="str">
        <f ca="1">IFERROR(__xludf.DUMMYFUNCTION("""COMPUTED_VALUE"""),"Trim 3")</f>
        <v>Trim 3</v>
      </c>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row>
    <row r="171" spans="1:37" ht="30">
      <c r="A171" s="35" t="str">
        <f ca="1">IFERROR(__xludf.DUMMYFUNCTION("""COMPUTED_VALUE"""),"Secretaría General - GIT Talento Humano y Servicio al Ciudadano")</f>
        <v>Secretaría General - GIT Talento Humano y Servicio al Ciudadano</v>
      </c>
      <c r="B171" s="35">
        <f ca="1">IFERROR(__xludf.DUMMYFUNCTION("""COMPUTED_VALUE"""),1)</f>
        <v>1</v>
      </c>
      <c r="C171" s="35" t="str">
        <f ca="1">IFERROR(__xludf.DUMMYFUNCTION("""COMPUTED_VALUE"""),"1.15")</f>
        <v>1.15</v>
      </c>
      <c r="D171" s="35" t="str">
        <f ca="1">IFERROR(__xludf.DUMMYFUNCTION("""COMPUTED_VALUE"""),"Trim 4")</f>
        <v>Trim 4</v>
      </c>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row>
    <row r="172" spans="1:37" ht="30">
      <c r="A172" s="35" t="str">
        <f ca="1">IFERROR(__xludf.DUMMYFUNCTION("""COMPUTED_VALUE"""),"Secretaría General - GIT Talento Humano y Servicio al Ciudadano")</f>
        <v>Secretaría General - GIT Talento Humano y Servicio al Ciudadano</v>
      </c>
      <c r="B172" s="35">
        <f ca="1">IFERROR(__xludf.DUMMYFUNCTION("""COMPUTED_VALUE"""),1)</f>
        <v>1</v>
      </c>
      <c r="C172" s="35" t="str">
        <f ca="1">IFERROR(__xludf.DUMMYFUNCTION("""COMPUTED_VALUE"""),"1.16")</f>
        <v>1.16</v>
      </c>
      <c r="D172" s="35" t="str">
        <f ca="1">IFERROR(__xludf.DUMMYFUNCTION("""COMPUTED_VALUE"""),"Trim 1")</f>
        <v>Trim 1</v>
      </c>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row>
    <row r="173" spans="1:37" ht="30">
      <c r="A173" s="35" t="str">
        <f ca="1">IFERROR(__xludf.DUMMYFUNCTION("""COMPUTED_VALUE"""),"Secretaría General - GIT Talento Humano y Servicio al Ciudadano")</f>
        <v>Secretaría General - GIT Talento Humano y Servicio al Ciudadano</v>
      </c>
      <c r="B173" s="35">
        <f ca="1">IFERROR(__xludf.DUMMYFUNCTION("""COMPUTED_VALUE"""),1)</f>
        <v>1</v>
      </c>
      <c r="C173" s="35" t="str">
        <f ca="1">IFERROR(__xludf.DUMMYFUNCTION("""COMPUTED_VALUE"""),"1.17")</f>
        <v>1.17</v>
      </c>
      <c r="D173" s="35" t="str">
        <f ca="1">IFERROR(__xludf.DUMMYFUNCTION("""COMPUTED_VALUE"""),"Trim 1")</f>
        <v>Trim 1</v>
      </c>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row>
    <row r="174" spans="1:37" ht="30">
      <c r="A174" s="35" t="str">
        <f ca="1">IFERROR(__xludf.DUMMYFUNCTION("""COMPUTED_VALUE"""),"Secretaría General - GIT Talento Humano y Servicio al Ciudadano")</f>
        <v>Secretaría General - GIT Talento Humano y Servicio al Ciudadano</v>
      </c>
      <c r="B174" s="35">
        <f ca="1">IFERROR(__xludf.DUMMYFUNCTION("""COMPUTED_VALUE"""),1)</f>
        <v>1</v>
      </c>
      <c r="C174" s="35" t="str">
        <f ca="1">IFERROR(__xludf.DUMMYFUNCTION("""COMPUTED_VALUE"""),"1.18")</f>
        <v>1.18</v>
      </c>
      <c r="D174" s="35" t="str">
        <f ca="1">IFERROR(__xludf.DUMMYFUNCTION("""COMPUTED_VALUE"""),"Trim 2")</f>
        <v>Trim 2</v>
      </c>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row>
    <row r="175" spans="1:37" ht="30">
      <c r="A175" s="35" t="str">
        <f ca="1">IFERROR(__xludf.DUMMYFUNCTION("""COMPUTED_VALUE"""),"Secretaría General - GIT Talento Humano y Servicio al Ciudadano")</f>
        <v>Secretaría General - GIT Talento Humano y Servicio al Ciudadano</v>
      </c>
      <c r="B175" s="35">
        <f ca="1">IFERROR(__xludf.DUMMYFUNCTION("""COMPUTED_VALUE"""),1)</f>
        <v>1</v>
      </c>
      <c r="C175" s="35" t="str">
        <f ca="1">IFERROR(__xludf.DUMMYFUNCTION("""COMPUTED_VALUE"""),"1.19")</f>
        <v>1.19</v>
      </c>
      <c r="D175" s="35" t="str">
        <f ca="1">IFERROR(__xludf.DUMMYFUNCTION("""COMPUTED_VALUE"""),"Trim 3")</f>
        <v>Trim 3</v>
      </c>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row>
    <row r="176" spans="1:37" ht="30">
      <c r="A176" s="35" t="str">
        <f ca="1">IFERROR(__xludf.DUMMYFUNCTION("""COMPUTED_VALUE"""),"Secretaría General - GIT Talento Humano y Servicio al Ciudadano")</f>
        <v>Secretaría General - GIT Talento Humano y Servicio al Ciudadano</v>
      </c>
      <c r="B176" s="35">
        <f ca="1">IFERROR(__xludf.DUMMYFUNCTION("""COMPUTED_VALUE"""),1)</f>
        <v>1</v>
      </c>
      <c r="C176" s="35" t="str">
        <f ca="1">IFERROR(__xludf.DUMMYFUNCTION("""COMPUTED_VALUE"""),"1.20")</f>
        <v>1.20</v>
      </c>
      <c r="D176" s="35" t="str">
        <f ca="1">IFERROR(__xludf.DUMMYFUNCTION("""COMPUTED_VALUE"""),"Trim 4")</f>
        <v>Trim 4</v>
      </c>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row>
    <row r="177" spans="1:37" ht="30">
      <c r="A177" s="35" t="str">
        <f ca="1">IFERROR(__xludf.DUMMYFUNCTION("""COMPUTED_VALUE"""),"Secretaría General - GIT Talento Humano y Servicio al Ciudadano")</f>
        <v>Secretaría General - GIT Talento Humano y Servicio al Ciudadano</v>
      </c>
      <c r="B177" s="35">
        <f ca="1">IFERROR(__xludf.DUMMYFUNCTION("""COMPUTED_VALUE"""),1)</f>
        <v>1</v>
      </c>
      <c r="C177" s="35" t="str">
        <f ca="1">IFERROR(__xludf.DUMMYFUNCTION("""COMPUTED_VALUE"""),"1.21")</f>
        <v>1.21</v>
      </c>
      <c r="D177" s="35" t="str">
        <f ca="1">IFERROR(__xludf.DUMMYFUNCTION("""COMPUTED_VALUE"""),"Trim 1")</f>
        <v>Trim 1</v>
      </c>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row>
    <row r="178" spans="1:37" ht="30">
      <c r="A178" s="35" t="str">
        <f ca="1">IFERROR(__xludf.DUMMYFUNCTION("""COMPUTED_VALUE"""),"Secretaría General - GIT Talento Humano y Servicio al Ciudadano")</f>
        <v>Secretaría General - GIT Talento Humano y Servicio al Ciudadano</v>
      </c>
      <c r="B178" s="35">
        <f ca="1">IFERROR(__xludf.DUMMYFUNCTION("""COMPUTED_VALUE"""),1)</f>
        <v>1</v>
      </c>
      <c r="C178" s="35" t="str">
        <f ca="1">IFERROR(__xludf.DUMMYFUNCTION("""COMPUTED_VALUE"""),"1.22")</f>
        <v>1.22</v>
      </c>
      <c r="D178" s="35" t="str">
        <f ca="1">IFERROR(__xludf.DUMMYFUNCTION("""COMPUTED_VALUE"""),"Trim 4")</f>
        <v>Trim 4</v>
      </c>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row>
    <row r="179" spans="1:37" ht="30">
      <c r="A179" s="35" t="str">
        <f ca="1">IFERROR(__xludf.DUMMYFUNCTION("""COMPUTED_VALUE"""),"Secretaría General - GIT Talento Humano y Servicio al Ciudadano")</f>
        <v>Secretaría General - GIT Talento Humano y Servicio al Ciudadano</v>
      </c>
      <c r="B179" s="35">
        <f ca="1">IFERROR(__xludf.DUMMYFUNCTION("""COMPUTED_VALUE"""),1)</f>
        <v>1</v>
      </c>
      <c r="C179" s="35" t="str">
        <f ca="1">IFERROR(__xludf.DUMMYFUNCTION("""COMPUTED_VALUE"""),"1.23")</f>
        <v>1.23</v>
      </c>
      <c r="D179" s="35" t="str">
        <f ca="1">IFERROR(__xludf.DUMMYFUNCTION("""COMPUTED_VALUE"""),"Trim 4")</f>
        <v>Trim 4</v>
      </c>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row>
    <row r="180" spans="1:37" ht="30">
      <c r="A180" s="35" t="str">
        <f ca="1">IFERROR(__xludf.DUMMYFUNCTION("""COMPUTED_VALUE"""),"Secretaría General - GIT Talento Humano y Servicio al Ciudadano")</f>
        <v>Secretaría General - GIT Talento Humano y Servicio al Ciudadano</v>
      </c>
      <c r="B180" s="35">
        <f ca="1">IFERROR(__xludf.DUMMYFUNCTION("""COMPUTED_VALUE"""),1)</f>
        <v>1</v>
      </c>
      <c r="C180" s="35" t="str">
        <f ca="1">IFERROR(__xludf.DUMMYFUNCTION("""COMPUTED_VALUE"""),"1.24")</f>
        <v>1.24</v>
      </c>
      <c r="D180" s="35" t="str">
        <f ca="1">IFERROR(__xludf.DUMMYFUNCTION("""COMPUTED_VALUE"""),"Trim 1")</f>
        <v>Trim 1</v>
      </c>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row>
    <row r="181" spans="1:37" ht="30">
      <c r="A181" s="35" t="str">
        <f ca="1">IFERROR(__xludf.DUMMYFUNCTION("""COMPUTED_VALUE"""),"Secretaría General - GIT Talento Humano y Servicio al Ciudadano")</f>
        <v>Secretaría General - GIT Talento Humano y Servicio al Ciudadano</v>
      </c>
      <c r="B181" s="35">
        <f ca="1">IFERROR(__xludf.DUMMYFUNCTION("""COMPUTED_VALUE"""),1)</f>
        <v>1</v>
      </c>
      <c r="C181" s="35" t="str">
        <f ca="1">IFERROR(__xludf.DUMMYFUNCTION("""COMPUTED_VALUE"""),"1.25")</f>
        <v>1.25</v>
      </c>
      <c r="D181" s="35" t="str">
        <f ca="1">IFERROR(__xludf.DUMMYFUNCTION("""COMPUTED_VALUE"""),"Trim 1")</f>
        <v>Trim 1</v>
      </c>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row>
    <row r="182" spans="1:37" ht="30">
      <c r="A182" s="35" t="str">
        <f ca="1">IFERROR(__xludf.DUMMYFUNCTION("""COMPUTED_VALUE"""),"Secretaría General - GIT Talento Humano y Servicio al Ciudadano")</f>
        <v>Secretaría General - GIT Talento Humano y Servicio al Ciudadano</v>
      </c>
      <c r="B182" s="35">
        <f ca="1">IFERROR(__xludf.DUMMYFUNCTION("""COMPUTED_VALUE"""),1)</f>
        <v>1</v>
      </c>
      <c r="C182" s="35" t="str">
        <f ca="1">IFERROR(__xludf.DUMMYFUNCTION("""COMPUTED_VALUE"""),"1.26")</f>
        <v>1.26</v>
      </c>
      <c r="D182" s="35" t="str">
        <f ca="1">IFERROR(__xludf.DUMMYFUNCTION("""COMPUTED_VALUE"""),"Trim 2")</f>
        <v>Trim 2</v>
      </c>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row>
    <row r="183" spans="1:37" ht="30">
      <c r="A183" s="35" t="str">
        <f ca="1">IFERROR(__xludf.DUMMYFUNCTION("""COMPUTED_VALUE"""),"Secretaría General - GIT Talento Humano y Servicio al Ciudadano")</f>
        <v>Secretaría General - GIT Talento Humano y Servicio al Ciudadano</v>
      </c>
      <c r="B183" s="35">
        <f ca="1">IFERROR(__xludf.DUMMYFUNCTION("""COMPUTED_VALUE"""),1)</f>
        <v>1</v>
      </c>
      <c r="C183" s="35" t="str">
        <f ca="1">IFERROR(__xludf.DUMMYFUNCTION("""COMPUTED_VALUE"""),"1.27")</f>
        <v>1.27</v>
      </c>
      <c r="D183" s="35" t="str">
        <f ca="1">IFERROR(__xludf.DUMMYFUNCTION("""COMPUTED_VALUE"""),"Trim 3")</f>
        <v>Trim 3</v>
      </c>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row>
    <row r="184" spans="1:37" ht="30">
      <c r="A184" s="35" t="str">
        <f ca="1">IFERROR(__xludf.DUMMYFUNCTION("""COMPUTED_VALUE"""),"Secretaría General - GIT Talento Humano y Servicio al Ciudadano")</f>
        <v>Secretaría General - GIT Talento Humano y Servicio al Ciudadano</v>
      </c>
      <c r="B184" s="35">
        <f ca="1">IFERROR(__xludf.DUMMYFUNCTION("""COMPUTED_VALUE"""),1)</f>
        <v>1</v>
      </c>
      <c r="C184" s="35" t="str">
        <f ca="1">IFERROR(__xludf.DUMMYFUNCTION("""COMPUTED_VALUE"""),"1.28")</f>
        <v>1.28</v>
      </c>
      <c r="D184" s="35" t="str">
        <f ca="1">IFERROR(__xludf.DUMMYFUNCTION("""COMPUTED_VALUE"""),"Trim 4")</f>
        <v>Trim 4</v>
      </c>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row>
    <row r="185" spans="1:37" ht="30">
      <c r="A185" s="35" t="str">
        <f ca="1">IFERROR(__xludf.DUMMYFUNCTION("""COMPUTED_VALUE"""),"Secretaría General - GIT Talento Humano y Servicio al Ciudadano")</f>
        <v>Secretaría General - GIT Talento Humano y Servicio al Ciudadano</v>
      </c>
      <c r="B185" s="35">
        <f ca="1">IFERROR(__xludf.DUMMYFUNCTION("""COMPUTED_VALUE"""),1)</f>
        <v>1</v>
      </c>
      <c r="C185" s="35" t="str">
        <f ca="1">IFERROR(__xludf.DUMMYFUNCTION("""COMPUTED_VALUE"""),"1.29")</f>
        <v>1.29</v>
      </c>
      <c r="D185" s="35" t="str">
        <f ca="1">IFERROR(__xludf.DUMMYFUNCTION("""COMPUTED_VALUE"""),"Trim 1")</f>
        <v>Trim 1</v>
      </c>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row>
    <row r="186" spans="1:37" ht="30">
      <c r="A186" s="35" t="str">
        <f ca="1">IFERROR(__xludf.DUMMYFUNCTION("""COMPUTED_VALUE"""),"Secretaría General - GIT Talento Humano y Servicio al Ciudadano")</f>
        <v>Secretaría General - GIT Talento Humano y Servicio al Ciudadano</v>
      </c>
      <c r="B186" s="35">
        <f ca="1">IFERROR(__xludf.DUMMYFUNCTION("""COMPUTED_VALUE"""),1)</f>
        <v>1</v>
      </c>
      <c r="C186" s="35" t="str">
        <f ca="1">IFERROR(__xludf.DUMMYFUNCTION("""COMPUTED_VALUE"""),"1.30")</f>
        <v>1.30</v>
      </c>
      <c r="D186" s="35" t="str">
        <f ca="1">IFERROR(__xludf.DUMMYFUNCTION("""COMPUTED_VALUE"""),"Trim 2")</f>
        <v>Trim 2</v>
      </c>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row>
    <row r="187" spans="1:37" ht="30">
      <c r="A187" s="35" t="str">
        <f ca="1">IFERROR(__xludf.DUMMYFUNCTION("""COMPUTED_VALUE"""),"Secretaría General - GIT Talento Humano y Servicio al Ciudadano")</f>
        <v>Secretaría General - GIT Talento Humano y Servicio al Ciudadano</v>
      </c>
      <c r="B187" s="35">
        <f ca="1">IFERROR(__xludf.DUMMYFUNCTION("""COMPUTED_VALUE"""),1)</f>
        <v>1</v>
      </c>
      <c r="C187" s="35" t="str">
        <f ca="1">IFERROR(__xludf.DUMMYFUNCTION("""COMPUTED_VALUE"""),"1.31")</f>
        <v>1.31</v>
      </c>
      <c r="D187" s="35" t="str">
        <f ca="1">IFERROR(__xludf.DUMMYFUNCTION("""COMPUTED_VALUE"""),"Trim 1")</f>
        <v>Trim 1</v>
      </c>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row>
    <row r="188" spans="1:37" ht="30">
      <c r="A188" s="35" t="str">
        <f ca="1">IFERROR(__xludf.DUMMYFUNCTION("""COMPUTED_VALUE"""),"Secretaría General - GIT Talento Humano y Servicio al Ciudadano")</f>
        <v>Secretaría General - GIT Talento Humano y Servicio al Ciudadano</v>
      </c>
      <c r="B188" s="35">
        <f ca="1">IFERROR(__xludf.DUMMYFUNCTION("""COMPUTED_VALUE"""),1)</f>
        <v>1</v>
      </c>
      <c r="C188" s="35" t="str">
        <f ca="1">IFERROR(__xludf.DUMMYFUNCTION("""COMPUTED_VALUE"""),"1.32")</f>
        <v>1.32</v>
      </c>
      <c r="D188" s="35" t="str">
        <f ca="1">IFERROR(__xludf.DUMMYFUNCTION("""COMPUTED_VALUE"""),"Trim 3")</f>
        <v>Trim 3</v>
      </c>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row>
    <row r="189" spans="1:37" ht="30">
      <c r="A189" s="35" t="str">
        <f ca="1">IFERROR(__xludf.DUMMYFUNCTION("""COMPUTED_VALUE"""),"Secretaría General - GIT Talento Humano y Servicio al Ciudadano")</f>
        <v>Secretaría General - GIT Talento Humano y Servicio al Ciudadano</v>
      </c>
      <c r="B189" s="35">
        <f ca="1">IFERROR(__xludf.DUMMYFUNCTION("""COMPUTED_VALUE"""),1)</f>
        <v>1</v>
      </c>
      <c r="C189" s="35" t="str">
        <f ca="1">IFERROR(__xludf.DUMMYFUNCTION("""COMPUTED_VALUE"""),"1.33")</f>
        <v>1.33</v>
      </c>
      <c r="D189" s="35" t="str">
        <f ca="1">IFERROR(__xludf.DUMMYFUNCTION("""COMPUTED_VALUE"""),"Trim 4")</f>
        <v>Trim 4</v>
      </c>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row>
    <row r="190" spans="1:37" ht="30">
      <c r="A190" s="35" t="str">
        <f ca="1">IFERROR(__xludf.DUMMYFUNCTION("""COMPUTED_VALUE"""),"Secretaría General - GIT Talento Humano y Servicio al Ciudadano")</f>
        <v>Secretaría General - GIT Talento Humano y Servicio al Ciudadano</v>
      </c>
      <c r="B190" s="35">
        <f ca="1">IFERROR(__xludf.DUMMYFUNCTION("""COMPUTED_VALUE"""),2)</f>
        <v>2</v>
      </c>
      <c r="C190" s="35" t="str">
        <f ca="1">IFERROR(__xludf.DUMMYFUNCTION("""COMPUTED_VALUE"""),"2.1")</f>
        <v>2.1</v>
      </c>
      <c r="D190" s="35" t="str">
        <f ca="1">IFERROR(__xludf.DUMMYFUNCTION("""COMPUTED_VALUE"""),"Trim 2")</f>
        <v>Trim 2</v>
      </c>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row>
    <row r="191" spans="1:37" ht="30">
      <c r="A191" s="35" t="str">
        <f ca="1">IFERROR(__xludf.DUMMYFUNCTION("""COMPUTED_VALUE"""),"Secretaría General - GIT Talento Humano y Servicio al Ciudadano")</f>
        <v>Secretaría General - GIT Talento Humano y Servicio al Ciudadano</v>
      </c>
      <c r="B191" s="35">
        <f ca="1">IFERROR(__xludf.DUMMYFUNCTION("""COMPUTED_VALUE"""),2)</f>
        <v>2</v>
      </c>
      <c r="C191" s="35" t="str">
        <f ca="1">IFERROR(__xludf.DUMMYFUNCTION("""COMPUTED_VALUE"""),"2.2")</f>
        <v>2.2</v>
      </c>
      <c r="D191" s="35" t="str">
        <f ca="1">IFERROR(__xludf.DUMMYFUNCTION("""COMPUTED_VALUE"""),"Trim 2")</f>
        <v>Trim 2</v>
      </c>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row>
    <row r="192" spans="1:37" ht="30">
      <c r="A192" s="35" t="str">
        <f ca="1">IFERROR(__xludf.DUMMYFUNCTION("""COMPUTED_VALUE"""),"Secretaría General - GIT Talento Humano y Servicio al Ciudadano")</f>
        <v>Secretaría General - GIT Talento Humano y Servicio al Ciudadano</v>
      </c>
      <c r="B192" s="35">
        <f ca="1">IFERROR(__xludf.DUMMYFUNCTION("""COMPUTED_VALUE"""),2)</f>
        <v>2</v>
      </c>
      <c r="C192" s="35" t="str">
        <f ca="1">IFERROR(__xludf.DUMMYFUNCTION("""COMPUTED_VALUE"""),"2.3")</f>
        <v>2.3</v>
      </c>
      <c r="D192" s="35" t="str">
        <f ca="1">IFERROR(__xludf.DUMMYFUNCTION("""COMPUTED_VALUE"""),"Trim 2")</f>
        <v>Trim 2</v>
      </c>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row>
    <row r="193" spans="1:37" ht="30">
      <c r="A193" s="35" t="str">
        <f ca="1">IFERROR(__xludf.DUMMYFUNCTION("""COMPUTED_VALUE"""),"Secretaría General - GIT Talento Humano y Servicio al Ciudadano")</f>
        <v>Secretaría General - GIT Talento Humano y Servicio al Ciudadano</v>
      </c>
      <c r="B193" s="35">
        <f ca="1">IFERROR(__xludf.DUMMYFUNCTION("""COMPUTED_VALUE"""),2)</f>
        <v>2</v>
      </c>
      <c r="C193" s="35" t="str">
        <f ca="1">IFERROR(__xludf.DUMMYFUNCTION("""COMPUTED_VALUE"""),"2.4")</f>
        <v>2.4</v>
      </c>
      <c r="D193" s="35" t="str">
        <f ca="1">IFERROR(__xludf.DUMMYFUNCTION("""COMPUTED_VALUE"""),"Trim 3")</f>
        <v>Trim 3</v>
      </c>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row>
    <row r="194" spans="1:37" ht="30">
      <c r="A194" s="35" t="str">
        <f ca="1">IFERROR(__xludf.DUMMYFUNCTION("""COMPUTED_VALUE"""),"Secretaría General - GIT Talento Humano y Servicio al Ciudadano")</f>
        <v>Secretaría General - GIT Talento Humano y Servicio al Ciudadano</v>
      </c>
      <c r="B194" s="35">
        <f ca="1">IFERROR(__xludf.DUMMYFUNCTION("""COMPUTED_VALUE"""),2)</f>
        <v>2</v>
      </c>
      <c r="C194" s="35" t="str">
        <f ca="1">IFERROR(__xludf.DUMMYFUNCTION("""COMPUTED_VALUE"""),"2.5")</f>
        <v>2.5</v>
      </c>
      <c r="D194" s="35" t="str">
        <f ca="1">IFERROR(__xludf.DUMMYFUNCTION("""COMPUTED_VALUE"""),"Trim 4")</f>
        <v>Trim 4</v>
      </c>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row>
    <row r="195" spans="1:37" ht="30">
      <c r="A195" s="35" t="str">
        <f ca="1">IFERROR(__xludf.DUMMYFUNCTION("""COMPUTED_VALUE"""),"Secretaría General - GIT Talento Humano y Servicio al Ciudadano")</f>
        <v>Secretaría General - GIT Talento Humano y Servicio al Ciudadano</v>
      </c>
      <c r="B195" s="35">
        <f ca="1">IFERROR(__xludf.DUMMYFUNCTION("""COMPUTED_VALUE"""),2)</f>
        <v>2</v>
      </c>
      <c r="C195" s="35" t="str">
        <f ca="1">IFERROR(__xludf.DUMMYFUNCTION("""COMPUTED_VALUE"""),"2.6")</f>
        <v>2.6</v>
      </c>
      <c r="D195" s="35" t="str">
        <f ca="1">IFERROR(__xludf.DUMMYFUNCTION("""COMPUTED_VALUE"""),"Trim 4")</f>
        <v>Trim 4</v>
      </c>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row>
    <row r="196" spans="1:37" ht="30">
      <c r="A196" s="35" t="str">
        <f ca="1">IFERROR(__xludf.DUMMYFUNCTION("""COMPUTED_VALUE"""),"Secretaría General - GIT Talento Humano y Servicio al Ciudadano")</f>
        <v>Secretaría General - GIT Talento Humano y Servicio al Ciudadano</v>
      </c>
      <c r="B196" s="35">
        <f ca="1">IFERROR(__xludf.DUMMYFUNCTION("""COMPUTED_VALUE"""),2)</f>
        <v>2</v>
      </c>
      <c r="C196" s="35" t="str">
        <f ca="1">IFERROR(__xludf.DUMMYFUNCTION("""COMPUTED_VALUE"""),"2.7")</f>
        <v>2.7</v>
      </c>
      <c r="D196" s="35" t="str">
        <f ca="1">IFERROR(__xludf.DUMMYFUNCTION("""COMPUTED_VALUE"""),"Trim 4")</f>
        <v>Trim 4</v>
      </c>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row>
    <row r="197" spans="1:37" ht="30">
      <c r="A197" s="35" t="str">
        <f ca="1">IFERROR(__xludf.DUMMYFUNCTION("""COMPUTED_VALUE"""),"Secretaría General - GIT Talento Humano y Servicio al Ciudadano")</f>
        <v>Secretaría General - GIT Talento Humano y Servicio al Ciudadano</v>
      </c>
      <c r="B197" s="35">
        <f ca="1">IFERROR(__xludf.DUMMYFUNCTION("""COMPUTED_VALUE"""),2)</f>
        <v>2</v>
      </c>
      <c r="C197" s="35" t="str">
        <f ca="1">IFERROR(__xludf.DUMMYFUNCTION("""COMPUTED_VALUE"""),"2.8")</f>
        <v>2.8</v>
      </c>
      <c r="D197" s="35" t="str">
        <f ca="1">IFERROR(__xludf.DUMMYFUNCTION("""COMPUTED_VALUE"""),"Trim 4")</f>
        <v>Trim 4</v>
      </c>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row>
    <row r="198" spans="1:37" ht="30">
      <c r="A198" s="35" t="str">
        <f ca="1">IFERROR(__xludf.DUMMYFUNCTION("""COMPUTED_VALUE"""),"Secretaría General - GIT Talento Humano y Servicio al Ciudadano")</f>
        <v>Secretaría General - GIT Talento Humano y Servicio al Ciudadano</v>
      </c>
      <c r="B198" s="35">
        <f ca="1">IFERROR(__xludf.DUMMYFUNCTION("""COMPUTED_VALUE"""),4)</f>
        <v>4</v>
      </c>
      <c r="C198" s="35" t="str">
        <f ca="1">IFERROR(__xludf.DUMMYFUNCTION("""COMPUTED_VALUE"""),"4.1")</f>
        <v>4.1</v>
      </c>
      <c r="D198" s="35" t="str">
        <f ca="1">IFERROR(__xludf.DUMMYFUNCTION("""COMPUTED_VALUE"""),"Trim 1")</f>
        <v>Trim 1</v>
      </c>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row>
    <row r="199" spans="1:37" ht="30">
      <c r="A199" s="35" t="str">
        <f ca="1">IFERROR(__xludf.DUMMYFUNCTION("""COMPUTED_VALUE"""),"Secretaría General - GIT Talento Humano y Servicio al Ciudadano")</f>
        <v>Secretaría General - GIT Talento Humano y Servicio al Ciudadano</v>
      </c>
      <c r="B199" s="35">
        <f ca="1">IFERROR(__xludf.DUMMYFUNCTION("""COMPUTED_VALUE"""),4)</f>
        <v>4</v>
      </c>
      <c r="C199" s="35" t="str">
        <f ca="1">IFERROR(__xludf.DUMMYFUNCTION("""COMPUTED_VALUE"""),"4.2")</f>
        <v>4.2</v>
      </c>
      <c r="D199" s="35" t="str">
        <f ca="1">IFERROR(__xludf.DUMMYFUNCTION("""COMPUTED_VALUE"""),"Trim 2")</f>
        <v>Trim 2</v>
      </c>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row>
    <row r="200" spans="1:37" ht="30">
      <c r="A200" s="35" t="str">
        <f ca="1">IFERROR(__xludf.DUMMYFUNCTION("""COMPUTED_VALUE"""),"Secretaría General - GIT Talento Humano y Servicio al Ciudadano")</f>
        <v>Secretaría General - GIT Talento Humano y Servicio al Ciudadano</v>
      </c>
      <c r="B200" s="35">
        <f ca="1">IFERROR(__xludf.DUMMYFUNCTION("""COMPUTED_VALUE"""),4)</f>
        <v>4</v>
      </c>
      <c r="C200" s="35" t="str">
        <f ca="1">IFERROR(__xludf.DUMMYFUNCTION("""COMPUTED_VALUE"""),"4.3")</f>
        <v>4.3</v>
      </c>
      <c r="D200" s="35" t="str">
        <f ca="1">IFERROR(__xludf.DUMMYFUNCTION("""COMPUTED_VALUE"""),"Trim 3")</f>
        <v>Trim 3</v>
      </c>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row>
    <row r="201" spans="1:37" ht="30">
      <c r="A201" s="35" t="str">
        <f ca="1">IFERROR(__xludf.DUMMYFUNCTION("""COMPUTED_VALUE"""),"Secretaría General - GIT Talento Humano y Servicio al Ciudadano")</f>
        <v>Secretaría General - GIT Talento Humano y Servicio al Ciudadano</v>
      </c>
      <c r="B201" s="35">
        <f ca="1">IFERROR(__xludf.DUMMYFUNCTION("""COMPUTED_VALUE"""),6)</f>
        <v>6</v>
      </c>
      <c r="C201" s="35" t="str">
        <f ca="1">IFERROR(__xludf.DUMMYFUNCTION("""COMPUTED_VALUE"""),"6.1")</f>
        <v>6.1</v>
      </c>
      <c r="D201" s="35" t="str">
        <f ca="1">IFERROR(__xludf.DUMMYFUNCTION("""COMPUTED_VALUE"""),"Trim 3")</f>
        <v>Trim 3</v>
      </c>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row>
    <row r="202" spans="1:37" ht="30">
      <c r="A202" s="35" t="str">
        <f ca="1">IFERROR(__xludf.DUMMYFUNCTION("""COMPUTED_VALUE"""),"Secretaría General - GIT Talento Humano y Servicio al Ciudadano")</f>
        <v>Secretaría General - GIT Talento Humano y Servicio al Ciudadano</v>
      </c>
      <c r="B202" s="35">
        <f ca="1">IFERROR(__xludf.DUMMYFUNCTION("""COMPUTED_VALUE"""),6)</f>
        <v>6</v>
      </c>
      <c r="C202" s="35" t="str">
        <f ca="1">IFERROR(__xludf.DUMMYFUNCTION("""COMPUTED_VALUE"""),"6.2")</f>
        <v>6.2</v>
      </c>
      <c r="D202" s="35" t="str">
        <f ca="1">IFERROR(__xludf.DUMMYFUNCTION("""COMPUTED_VALUE"""),"Trim 4")</f>
        <v>Trim 4</v>
      </c>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row>
    <row r="203" spans="1:37" ht="30">
      <c r="A203" s="35" t="str">
        <f ca="1">IFERROR(__xludf.DUMMYFUNCTION("""COMPUTED_VALUE"""),"Secretaría General - GIT Talento Humano y Servicio al Ciudadano")</f>
        <v>Secretaría General - GIT Talento Humano y Servicio al Ciudadano</v>
      </c>
      <c r="B203" s="35">
        <f ca="1">IFERROR(__xludf.DUMMYFUNCTION("""COMPUTED_VALUE"""),7)</f>
        <v>7</v>
      </c>
      <c r="C203" s="35" t="str">
        <f ca="1">IFERROR(__xludf.DUMMYFUNCTION("""COMPUTED_VALUE"""),"7.1")</f>
        <v>7.1</v>
      </c>
      <c r="D203" s="35" t="str">
        <f ca="1">IFERROR(__xludf.DUMMYFUNCTION("""COMPUTED_VALUE"""),"Trim 1")</f>
        <v>Trim 1</v>
      </c>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row>
    <row r="204" spans="1:37" ht="30">
      <c r="A204" s="35" t="str">
        <f ca="1">IFERROR(__xludf.DUMMYFUNCTION("""COMPUTED_VALUE"""),"Secretaría General - GIT Talento Humano y Servicio al Ciudadano")</f>
        <v>Secretaría General - GIT Talento Humano y Servicio al Ciudadano</v>
      </c>
      <c r="B204" s="35">
        <f ca="1">IFERROR(__xludf.DUMMYFUNCTION("""COMPUTED_VALUE"""),7)</f>
        <v>7</v>
      </c>
      <c r="C204" s="35" t="str">
        <f ca="1">IFERROR(__xludf.DUMMYFUNCTION("""COMPUTED_VALUE"""),"7.2")</f>
        <v>7.2</v>
      </c>
      <c r="D204" s="35" t="str">
        <f ca="1">IFERROR(__xludf.DUMMYFUNCTION("""COMPUTED_VALUE"""),"Trim 3")</f>
        <v>Trim 3</v>
      </c>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row>
    <row r="205" spans="1:37" ht="30">
      <c r="A205" s="35" t="str">
        <f ca="1">IFERROR(__xludf.DUMMYFUNCTION("""COMPUTED_VALUE"""),"Secretaría General - GIT Talento Humano y Servicio al Ciudadano")</f>
        <v>Secretaría General - GIT Talento Humano y Servicio al Ciudadano</v>
      </c>
      <c r="B205" s="35">
        <f ca="1">IFERROR(__xludf.DUMMYFUNCTION("""COMPUTED_VALUE"""),8)</f>
        <v>8</v>
      </c>
      <c r="C205" s="35" t="str">
        <f ca="1">IFERROR(__xludf.DUMMYFUNCTION("""COMPUTED_VALUE"""),"8.1")</f>
        <v>8.1</v>
      </c>
      <c r="D205" s="35" t="str">
        <f ca="1">IFERROR(__xludf.DUMMYFUNCTION("""COMPUTED_VALUE"""),"Trim 1")</f>
        <v>Trim 1</v>
      </c>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row>
    <row r="206" spans="1:37" ht="30">
      <c r="A206" s="35" t="str">
        <f ca="1">IFERROR(__xludf.DUMMYFUNCTION("""COMPUTED_VALUE"""),"Secretaría General - GIT Talento Humano y Servicio al Ciudadano")</f>
        <v>Secretaría General - GIT Talento Humano y Servicio al Ciudadano</v>
      </c>
      <c r="B206" s="35">
        <f ca="1">IFERROR(__xludf.DUMMYFUNCTION("""COMPUTED_VALUE"""),8)</f>
        <v>8</v>
      </c>
      <c r="C206" s="35" t="str">
        <f ca="1">IFERROR(__xludf.DUMMYFUNCTION("""COMPUTED_VALUE"""),"8.2")</f>
        <v>8.2</v>
      </c>
      <c r="D206" s="35" t="str">
        <f ca="1">IFERROR(__xludf.DUMMYFUNCTION("""COMPUTED_VALUE"""),"Trim 3")</f>
        <v>Trim 3</v>
      </c>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row>
    <row r="207" spans="1:37" ht="30">
      <c r="A207" s="35" t="str">
        <f ca="1">IFERROR(__xludf.DUMMYFUNCTION("""COMPUTED_VALUE"""),"Secretaría General - GIT Talento Humano y Servicio al Ciudadano")</f>
        <v>Secretaría General - GIT Talento Humano y Servicio al Ciudadano</v>
      </c>
      <c r="B207" s="35">
        <f ca="1">IFERROR(__xludf.DUMMYFUNCTION("""COMPUTED_VALUE"""),9)</f>
        <v>9</v>
      </c>
      <c r="C207" s="35" t="str">
        <f ca="1">IFERROR(__xludf.DUMMYFUNCTION("""COMPUTED_VALUE"""),"9.1")</f>
        <v>9.1</v>
      </c>
      <c r="D207" s="35" t="str">
        <f ca="1">IFERROR(__xludf.DUMMYFUNCTION("""COMPUTED_VALUE"""),"Trim 1")</f>
        <v>Trim 1</v>
      </c>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row>
    <row r="208" spans="1:37" ht="30">
      <c r="A208" s="35" t="str">
        <f ca="1">IFERROR(__xludf.DUMMYFUNCTION("""COMPUTED_VALUE"""),"Secretaría General - GIT Talento Humano y Servicio al Ciudadano")</f>
        <v>Secretaría General - GIT Talento Humano y Servicio al Ciudadano</v>
      </c>
      <c r="B208" s="35">
        <f ca="1">IFERROR(__xludf.DUMMYFUNCTION("""COMPUTED_VALUE"""),9)</f>
        <v>9</v>
      </c>
      <c r="C208" s="35" t="str">
        <f ca="1">IFERROR(__xludf.DUMMYFUNCTION("""COMPUTED_VALUE"""),"9.2")</f>
        <v>9.2</v>
      </c>
      <c r="D208" s="35" t="str">
        <f ca="1">IFERROR(__xludf.DUMMYFUNCTION("""COMPUTED_VALUE"""),"Trim 3")</f>
        <v>Trim 3</v>
      </c>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row>
    <row r="209" spans="1:37" ht="30">
      <c r="A209" s="35" t="str">
        <f ca="1">IFERROR(__xludf.DUMMYFUNCTION("""COMPUTED_VALUE"""),"Oficina de Gestión de la Información")</f>
        <v>Oficina de Gestión de la Información</v>
      </c>
      <c r="B209" s="35">
        <f ca="1">IFERROR(__xludf.DUMMYFUNCTION("""COMPUTED_VALUE"""),1)</f>
        <v>1</v>
      </c>
      <c r="C209" s="35" t="str">
        <f ca="1">IFERROR(__xludf.DUMMYFUNCTION("""COMPUTED_VALUE"""),"1.1")</f>
        <v>1.1</v>
      </c>
      <c r="D209" s="35" t="str">
        <f ca="1">IFERROR(__xludf.DUMMYFUNCTION("""COMPUTED_VALUE"""),"Trim 4")</f>
        <v>Trim 4</v>
      </c>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row>
    <row r="210" spans="1:37" ht="30">
      <c r="A210" s="35" t="str">
        <f ca="1">IFERROR(__xludf.DUMMYFUNCTION("""COMPUTED_VALUE"""),"Oficina de Gestión de la Información")</f>
        <v>Oficina de Gestión de la Información</v>
      </c>
      <c r="B210" s="35">
        <f ca="1">IFERROR(__xludf.DUMMYFUNCTION("""COMPUTED_VALUE"""),1)</f>
        <v>1</v>
      </c>
      <c r="C210" s="35" t="str">
        <f ca="1">IFERROR(__xludf.DUMMYFUNCTION("""COMPUTED_VALUE"""),"1.2")</f>
        <v>1.2</v>
      </c>
      <c r="D210" s="35" t="str">
        <f ca="1">IFERROR(__xludf.DUMMYFUNCTION("""COMPUTED_VALUE"""),"Trim 4")</f>
        <v>Trim 4</v>
      </c>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row>
    <row r="211" spans="1:37" ht="30">
      <c r="A211" s="35" t="str">
        <f ca="1">IFERROR(__xludf.DUMMYFUNCTION("""COMPUTED_VALUE"""),"Oficina de Gestión de la Información")</f>
        <v>Oficina de Gestión de la Información</v>
      </c>
      <c r="B211" s="35">
        <f ca="1">IFERROR(__xludf.DUMMYFUNCTION("""COMPUTED_VALUE"""),2)</f>
        <v>2</v>
      </c>
      <c r="C211" s="35" t="str">
        <f ca="1">IFERROR(__xludf.DUMMYFUNCTION("""COMPUTED_VALUE"""),"2.1")</f>
        <v>2.1</v>
      </c>
      <c r="D211" s="35" t="str">
        <f ca="1">IFERROR(__xludf.DUMMYFUNCTION("""COMPUTED_VALUE"""),"Trim 3")</f>
        <v>Trim 3</v>
      </c>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row>
    <row r="212" spans="1:37" ht="30">
      <c r="A212" s="35" t="str">
        <f ca="1">IFERROR(__xludf.DUMMYFUNCTION("""COMPUTED_VALUE"""),"Oficina de Gestión de la Información")</f>
        <v>Oficina de Gestión de la Información</v>
      </c>
      <c r="B212" s="35">
        <f ca="1">IFERROR(__xludf.DUMMYFUNCTION("""COMPUTED_VALUE"""),2)</f>
        <v>2</v>
      </c>
      <c r="C212" s="35" t="str">
        <f ca="1">IFERROR(__xludf.DUMMYFUNCTION("""COMPUTED_VALUE"""),"2.2")</f>
        <v>2.2</v>
      </c>
      <c r="D212" s="35" t="str">
        <f ca="1">IFERROR(__xludf.DUMMYFUNCTION("""COMPUTED_VALUE"""),"Trim 4")</f>
        <v>Trim 4</v>
      </c>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row>
    <row r="213" spans="1:37" ht="30">
      <c r="A213" s="35" t="str">
        <f ca="1">IFERROR(__xludf.DUMMYFUNCTION("""COMPUTED_VALUE"""),"Oficina de Gestión de la Información")</f>
        <v>Oficina de Gestión de la Información</v>
      </c>
      <c r="B213" s="35">
        <f ca="1">IFERROR(__xludf.DUMMYFUNCTION("""COMPUTED_VALUE"""),3)</f>
        <v>3</v>
      </c>
      <c r="C213" s="35" t="str">
        <f ca="1">IFERROR(__xludf.DUMMYFUNCTION("""COMPUTED_VALUE"""),"3.1")</f>
        <v>3.1</v>
      </c>
      <c r="D213" s="35" t="str">
        <f ca="1">IFERROR(__xludf.DUMMYFUNCTION("""COMPUTED_VALUE"""),"Trim 4")</f>
        <v>Trim 4</v>
      </c>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row>
    <row r="214" spans="1:37" ht="30">
      <c r="A214" s="35" t="str">
        <f ca="1">IFERROR(__xludf.DUMMYFUNCTION("""COMPUTED_VALUE"""),"Oficina de Gestión de la Información")</f>
        <v>Oficina de Gestión de la Información</v>
      </c>
      <c r="B214" s="35">
        <f ca="1">IFERROR(__xludf.DUMMYFUNCTION("""COMPUTED_VALUE"""),3)</f>
        <v>3</v>
      </c>
      <c r="C214" s="35" t="str">
        <f ca="1">IFERROR(__xludf.DUMMYFUNCTION("""COMPUTED_VALUE"""),"3.2")</f>
        <v>3.2</v>
      </c>
      <c r="D214" s="35" t="str">
        <f ca="1">IFERROR(__xludf.DUMMYFUNCTION("""COMPUTED_VALUE"""),"Trim 4")</f>
        <v>Trim 4</v>
      </c>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row>
    <row r="215" spans="1:37" ht="30">
      <c r="A215" s="35" t="str">
        <f ca="1">IFERROR(__xludf.DUMMYFUNCTION("""COMPUTED_VALUE"""),"Oficina de Gestión de la Información")</f>
        <v>Oficina de Gestión de la Información</v>
      </c>
      <c r="B215" s="35">
        <f ca="1">IFERROR(__xludf.DUMMYFUNCTION("""COMPUTED_VALUE"""),3)</f>
        <v>3</v>
      </c>
      <c r="C215" s="35" t="str">
        <f ca="1">IFERROR(__xludf.DUMMYFUNCTION("""COMPUTED_VALUE"""),"3.3")</f>
        <v>3.3</v>
      </c>
      <c r="D215" s="35" t="str">
        <f ca="1">IFERROR(__xludf.DUMMYFUNCTION("""COMPUTED_VALUE"""),"Trim 4")</f>
        <v>Trim 4</v>
      </c>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row>
    <row r="216" spans="1:37" ht="30">
      <c r="A216" s="35" t="str">
        <f ca="1">IFERROR(__xludf.DUMMYFUNCTION("""COMPUTED_VALUE"""),"Oficina de Gestión de la Información")</f>
        <v>Oficina de Gestión de la Información</v>
      </c>
      <c r="B216" s="35">
        <f ca="1">IFERROR(__xludf.DUMMYFUNCTION("""COMPUTED_VALUE"""),4)</f>
        <v>4</v>
      </c>
      <c r="C216" s="35" t="str">
        <f ca="1">IFERROR(__xludf.DUMMYFUNCTION("""COMPUTED_VALUE"""),"4.1")</f>
        <v>4.1</v>
      </c>
      <c r="D216" s="35" t="str">
        <f ca="1">IFERROR(__xludf.DUMMYFUNCTION("""COMPUTED_VALUE"""),"Trim 4")</f>
        <v>Trim 4</v>
      </c>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row>
    <row r="217" spans="1:37" ht="30">
      <c r="A217" s="35" t="str">
        <f ca="1">IFERROR(__xludf.DUMMYFUNCTION("""COMPUTED_VALUE"""),"Oficina de Gestión de la Información")</f>
        <v>Oficina de Gestión de la Información</v>
      </c>
      <c r="B217" s="35">
        <f ca="1">IFERROR(__xludf.DUMMYFUNCTION("""COMPUTED_VALUE"""),5)</f>
        <v>5</v>
      </c>
      <c r="C217" s="35" t="str">
        <f ca="1">IFERROR(__xludf.DUMMYFUNCTION("""COMPUTED_VALUE"""),"5.1")</f>
        <v>5.1</v>
      </c>
      <c r="D217" s="35" t="str">
        <f ca="1">IFERROR(__xludf.DUMMYFUNCTION("""COMPUTED_VALUE"""),"Trim 4")</f>
        <v>Trim 4</v>
      </c>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row>
    <row r="218" spans="1:37" ht="30">
      <c r="A218" s="35" t="str">
        <f ca="1">IFERROR(__xludf.DUMMYFUNCTION("""COMPUTED_VALUE"""),"Oficina de Gestión de la Información")</f>
        <v>Oficina de Gestión de la Información</v>
      </c>
      <c r="B218" s="35">
        <f ca="1">IFERROR(__xludf.DUMMYFUNCTION("""COMPUTED_VALUE"""),5)</f>
        <v>5</v>
      </c>
      <c r="C218" s="35" t="str">
        <f ca="1">IFERROR(__xludf.DUMMYFUNCTION("""COMPUTED_VALUE"""),"5.2")</f>
        <v>5.2</v>
      </c>
      <c r="D218" s="35" t="str">
        <f ca="1">IFERROR(__xludf.DUMMYFUNCTION("""COMPUTED_VALUE"""),"Trim 4")</f>
        <v>Trim 4</v>
      </c>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row>
    <row r="219" spans="1:37" ht="30">
      <c r="A219" s="35" t="str">
        <f ca="1">IFERROR(__xludf.DUMMYFUNCTION("""COMPUTED_VALUE"""),"Oficina de Gestión de la Información")</f>
        <v>Oficina de Gestión de la Información</v>
      </c>
      <c r="B219" s="35">
        <f ca="1">IFERROR(__xludf.DUMMYFUNCTION("""COMPUTED_VALUE"""),6)</f>
        <v>6</v>
      </c>
      <c r="C219" s="35" t="str">
        <f ca="1">IFERROR(__xludf.DUMMYFUNCTION("""COMPUTED_VALUE"""),"6.1")</f>
        <v>6.1</v>
      </c>
      <c r="D219" s="35" t="str">
        <f ca="1">IFERROR(__xludf.DUMMYFUNCTION("""COMPUTED_VALUE"""),"Trim 3")</f>
        <v>Trim 3</v>
      </c>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row>
    <row r="220" spans="1:37" ht="30">
      <c r="A220" s="35" t="str">
        <f ca="1">IFERROR(__xludf.DUMMYFUNCTION("""COMPUTED_VALUE"""),"Oficina de Gestión de la Información")</f>
        <v>Oficina de Gestión de la Información</v>
      </c>
      <c r="B220" s="35">
        <f ca="1">IFERROR(__xludf.DUMMYFUNCTION("""COMPUTED_VALUE"""),6)</f>
        <v>6</v>
      </c>
      <c r="C220" s="35" t="str">
        <f ca="1">IFERROR(__xludf.DUMMYFUNCTION("""COMPUTED_VALUE"""),"6.2")</f>
        <v>6.2</v>
      </c>
      <c r="D220" s="35" t="str">
        <f ca="1">IFERROR(__xludf.DUMMYFUNCTION("""COMPUTED_VALUE"""),"Trim 3")</f>
        <v>Trim 3</v>
      </c>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row>
    <row r="221" spans="1:37" ht="30">
      <c r="A221" s="35" t="str">
        <f ca="1">IFERROR(__xludf.DUMMYFUNCTION("""COMPUTED_VALUE"""),"Oficina de Gestión de la Información")</f>
        <v>Oficina de Gestión de la Información</v>
      </c>
      <c r="B221" s="35">
        <f ca="1">IFERROR(__xludf.DUMMYFUNCTION("""COMPUTED_VALUE"""),6)</f>
        <v>6</v>
      </c>
      <c r="C221" s="35" t="str">
        <f ca="1">IFERROR(__xludf.DUMMYFUNCTION("""COMPUTED_VALUE"""),"6.3")</f>
        <v>6.3</v>
      </c>
      <c r="D221" s="35" t="str">
        <f ca="1">IFERROR(__xludf.DUMMYFUNCTION("""COMPUTED_VALUE"""),"Trim 4")</f>
        <v>Trim 4</v>
      </c>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row>
    <row r="222" spans="1:37" ht="30">
      <c r="A222" s="35" t="str">
        <f ca="1">IFERROR(__xludf.DUMMYFUNCTION("""COMPUTED_VALUE"""),"Oficina de Gestión de la Información")</f>
        <v>Oficina de Gestión de la Información</v>
      </c>
      <c r="B222" s="35">
        <f ca="1">IFERROR(__xludf.DUMMYFUNCTION("""COMPUTED_VALUE"""),7)</f>
        <v>7</v>
      </c>
      <c r="C222" s="35" t="str">
        <f ca="1">IFERROR(__xludf.DUMMYFUNCTION("""COMPUTED_VALUE"""),"7.1")</f>
        <v>7.1</v>
      </c>
      <c r="D222" s="35" t="str">
        <f ca="1">IFERROR(__xludf.DUMMYFUNCTION("""COMPUTED_VALUE"""),"Trim 1")</f>
        <v>Trim 1</v>
      </c>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row>
    <row r="223" spans="1:37" ht="30">
      <c r="A223" s="35" t="str">
        <f ca="1">IFERROR(__xludf.DUMMYFUNCTION("""COMPUTED_VALUE"""),"Oficina de Gestión de la Información")</f>
        <v>Oficina de Gestión de la Información</v>
      </c>
      <c r="B223" s="35">
        <f ca="1">IFERROR(__xludf.DUMMYFUNCTION("""COMPUTED_VALUE"""),7)</f>
        <v>7</v>
      </c>
      <c r="C223" s="35" t="str">
        <f ca="1">IFERROR(__xludf.DUMMYFUNCTION("""COMPUTED_VALUE"""),"7.2")</f>
        <v>7.2</v>
      </c>
      <c r="D223" s="35" t="str">
        <f ca="1">IFERROR(__xludf.DUMMYFUNCTION("""COMPUTED_VALUE"""),"Trim 3")</f>
        <v>Trim 3</v>
      </c>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row>
    <row r="224" spans="1:37" ht="30">
      <c r="A224" s="35" t="str">
        <f ca="1">IFERROR(__xludf.DUMMYFUNCTION("""COMPUTED_VALUE"""),"Oficina de Gestión de la Información")</f>
        <v>Oficina de Gestión de la Información</v>
      </c>
      <c r="B224" s="35">
        <f ca="1">IFERROR(__xludf.DUMMYFUNCTION("""COMPUTED_VALUE"""),7)</f>
        <v>7</v>
      </c>
      <c r="C224" s="35" t="str">
        <f ca="1">IFERROR(__xludf.DUMMYFUNCTION("""COMPUTED_VALUE"""),"7.3")</f>
        <v>7.3</v>
      </c>
      <c r="D224" s="35" t="str">
        <f ca="1">IFERROR(__xludf.DUMMYFUNCTION("""COMPUTED_VALUE"""),"Trim 4")</f>
        <v>Trim 4</v>
      </c>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row>
    <row r="225" spans="1:37" ht="30">
      <c r="A225" s="35" t="str">
        <f ca="1">IFERROR(__xludf.DUMMYFUNCTION("""COMPUTED_VALUE"""),"Oficina de Gestión de la Información")</f>
        <v>Oficina de Gestión de la Información</v>
      </c>
      <c r="B225" s="35">
        <f ca="1">IFERROR(__xludf.DUMMYFUNCTION("""COMPUTED_VALUE"""),8)</f>
        <v>8</v>
      </c>
      <c r="C225" s="35" t="str">
        <f ca="1">IFERROR(__xludf.DUMMYFUNCTION("""COMPUTED_VALUE"""),"8.1")</f>
        <v>8.1</v>
      </c>
      <c r="D225" s="35" t="str">
        <f ca="1">IFERROR(__xludf.DUMMYFUNCTION("""COMPUTED_VALUE"""),"Trim 2")</f>
        <v>Trim 2</v>
      </c>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row>
    <row r="226" spans="1:37" ht="30">
      <c r="A226" s="35" t="str">
        <f ca="1">IFERROR(__xludf.DUMMYFUNCTION("""COMPUTED_VALUE"""),"Oficina de Gestión de la Información")</f>
        <v>Oficina de Gestión de la Información</v>
      </c>
      <c r="B226" s="35">
        <f ca="1">IFERROR(__xludf.DUMMYFUNCTION("""COMPUTED_VALUE"""),8)</f>
        <v>8</v>
      </c>
      <c r="C226" s="35" t="str">
        <f ca="1">IFERROR(__xludf.DUMMYFUNCTION("""COMPUTED_VALUE"""),"8.2")</f>
        <v>8.2</v>
      </c>
      <c r="D226" s="35" t="str">
        <f ca="1">IFERROR(__xludf.DUMMYFUNCTION("""COMPUTED_VALUE"""),"Trim 4")</f>
        <v>Trim 4</v>
      </c>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row>
    <row r="227" spans="1:37" ht="30">
      <c r="A227" s="35" t="str">
        <f ca="1">IFERROR(__xludf.DUMMYFUNCTION("""COMPUTED_VALUE"""),"Oficina de Gestión de la Información")</f>
        <v>Oficina de Gestión de la Información</v>
      </c>
      <c r="B227" s="35">
        <f ca="1">IFERROR(__xludf.DUMMYFUNCTION("""COMPUTED_VALUE"""),9)</f>
        <v>9</v>
      </c>
      <c r="C227" s="35" t="str">
        <f ca="1">IFERROR(__xludf.DUMMYFUNCTION("""COMPUTED_VALUE"""),"9.1")</f>
        <v>9.1</v>
      </c>
      <c r="D227" s="35" t="str">
        <f ca="1">IFERROR(__xludf.DUMMYFUNCTION("""COMPUTED_VALUE"""),"Trim 1")</f>
        <v>Trim 1</v>
      </c>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row>
    <row r="228" spans="1:37" ht="30">
      <c r="A228" s="35" t="str">
        <f ca="1">IFERROR(__xludf.DUMMYFUNCTION("""COMPUTED_VALUE"""),"Oficina de Gestión de la Información")</f>
        <v>Oficina de Gestión de la Información</v>
      </c>
      <c r="B228" s="35">
        <f ca="1">IFERROR(__xludf.DUMMYFUNCTION("""COMPUTED_VALUE"""),9)</f>
        <v>9</v>
      </c>
      <c r="C228" s="35" t="str">
        <f ca="1">IFERROR(__xludf.DUMMYFUNCTION("""COMPUTED_VALUE"""),"9.2")</f>
        <v>9.2</v>
      </c>
      <c r="D228" s="35" t="str">
        <f ca="1">IFERROR(__xludf.DUMMYFUNCTION("""COMPUTED_VALUE"""),"Trim 1")</f>
        <v>Trim 1</v>
      </c>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row>
    <row r="229" spans="1:37" ht="30">
      <c r="A229" s="35" t="str">
        <f ca="1">IFERROR(__xludf.DUMMYFUNCTION("""COMPUTED_VALUE"""),"Oficina de Gestión de la Información")</f>
        <v>Oficina de Gestión de la Información</v>
      </c>
      <c r="B229" s="35">
        <f ca="1">IFERROR(__xludf.DUMMYFUNCTION("""COMPUTED_VALUE"""),9)</f>
        <v>9</v>
      </c>
      <c r="C229" s="35" t="str">
        <f ca="1">IFERROR(__xludf.DUMMYFUNCTION("""COMPUTED_VALUE"""),"9.3")</f>
        <v>9.3</v>
      </c>
      <c r="D229" s="35" t="str">
        <f ca="1">IFERROR(__xludf.DUMMYFUNCTION("""COMPUTED_VALUE"""),"Trim 4")</f>
        <v>Trim 4</v>
      </c>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row>
    <row r="230" spans="1:37" ht="30">
      <c r="A230" s="35" t="str">
        <f ca="1">IFERROR(__xludf.DUMMYFUNCTION("""COMPUTED_VALUE"""),"Oficina de Gestión de la Información")</f>
        <v>Oficina de Gestión de la Información</v>
      </c>
      <c r="B230" s="35">
        <f ca="1">IFERROR(__xludf.DUMMYFUNCTION("""COMPUTED_VALUE"""),9)</f>
        <v>9</v>
      </c>
      <c r="C230" s="35" t="str">
        <f ca="1">IFERROR(__xludf.DUMMYFUNCTION("""COMPUTED_VALUE"""),"9.4")</f>
        <v>9.4</v>
      </c>
      <c r="D230" s="35" t="str">
        <f ca="1">IFERROR(__xludf.DUMMYFUNCTION("""COMPUTED_VALUE"""),"Trim 4")</f>
        <v>Trim 4</v>
      </c>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row>
    <row r="231" spans="1:37" ht="30">
      <c r="A231" s="35" t="str">
        <f ca="1">IFERROR(__xludf.DUMMYFUNCTION("""COMPUTED_VALUE"""),"Oficina de Gestión de la Información")</f>
        <v>Oficina de Gestión de la Información</v>
      </c>
      <c r="B231" s="35">
        <f ca="1">IFERROR(__xludf.DUMMYFUNCTION("""COMPUTED_VALUE"""),10)</f>
        <v>10</v>
      </c>
      <c r="C231" s="35" t="str">
        <f ca="1">IFERROR(__xludf.DUMMYFUNCTION("""COMPUTED_VALUE"""),"10.1")</f>
        <v>10.1</v>
      </c>
      <c r="D231" s="35" t="str">
        <f ca="1">IFERROR(__xludf.DUMMYFUNCTION("""COMPUTED_VALUE"""),"Trim 2")</f>
        <v>Trim 2</v>
      </c>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row>
    <row r="232" spans="1:37" ht="30">
      <c r="A232" s="35" t="str">
        <f ca="1">IFERROR(__xludf.DUMMYFUNCTION("""COMPUTED_VALUE"""),"Oficina de Gestión de la Información")</f>
        <v>Oficina de Gestión de la Información</v>
      </c>
      <c r="B232" s="35">
        <f ca="1">IFERROR(__xludf.DUMMYFUNCTION("""COMPUTED_VALUE"""),10)</f>
        <v>10</v>
      </c>
      <c r="C232" s="35" t="str">
        <f ca="1">IFERROR(__xludf.DUMMYFUNCTION("""COMPUTED_VALUE"""),"10.2")</f>
        <v>10.2</v>
      </c>
      <c r="D232" s="35" t="str">
        <f ca="1">IFERROR(__xludf.DUMMYFUNCTION("""COMPUTED_VALUE"""),"Trim 3")</f>
        <v>Trim 3</v>
      </c>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row>
    <row r="233" spans="1:37" ht="30">
      <c r="A233" s="35" t="str">
        <f ca="1">IFERROR(__xludf.DUMMYFUNCTION("""COMPUTED_VALUE"""),"Oficina de Gestión de la Información")</f>
        <v>Oficina de Gestión de la Información</v>
      </c>
      <c r="B233" s="35">
        <f ca="1">IFERROR(__xludf.DUMMYFUNCTION("""COMPUTED_VALUE"""),10)</f>
        <v>10</v>
      </c>
      <c r="C233" s="35" t="str">
        <f ca="1">IFERROR(__xludf.DUMMYFUNCTION("""COMPUTED_VALUE"""),"10.3")</f>
        <v>10.3</v>
      </c>
      <c r="D233" s="35" t="str">
        <f ca="1">IFERROR(__xludf.DUMMYFUNCTION("""COMPUTED_VALUE"""),"Trim 4")</f>
        <v>Trim 4</v>
      </c>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row>
    <row r="234" spans="1:37" ht="30">
      <c r="A234" s="35" t="str">
        <f ca="1">IFERROR(__xludf.DUMMYFUNCTION("""COMPUTED_VALUE"""),"Oficina de Gestión de la Información")</f>
        <v>Oficina de Gestión de la Información</v>
      </c>
      <c r="B234" s="35">
        <f ca="1">IFERROR(__xludf.DUMMYFUNCTION("""COMPUTED_VALUE"""),11)</f>
        <v>11</v>
      </c>
      <c r="C234" s="35" t="str">
        <f ca="1">IFERROR(__xludf.DUMMYFUNCTION("""COMPUTED_VALUE"""),"11.1")</f>
        <v>11.1</v>
      </c>
      <c r="D234" s="35" t="str">
        <f ca="1">IFERROR(__xludf.DUMMYFUNCTION("""COMPUTED_VALUE"""),"Trim 1")</f>
        <v>Trim 1</v>
      </c>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row>
    <row r="235" spans="1:37" ht="30">
      <c r="A235" s="35" t="str">
        <f ca="1">IFERROR(__xludf.DUMMYFUNCTION("""COMPUTED_VALUE"""),"Oficina de Gestión de la Información")</f>
        <v>Oficina de Gestión de la Información</v>
      </c>
      <c r="B235" s="35">
        <f ca="1">IFERROR(__xludf.DUMMYFUNCTION("""COMPUTED_VALUE"""),11)</f>
        <v>11</v>
      </c>
      <c r="C235" s="35" t="str">
        <f ca="1">IFERROR(__xludf.DUMMYFUNCTION("""COMPUTED_VALUE"""),"11.2")</f>
        <v>11.2</v>
      </c>
      <c r="D235" s="35" t="str">
        <f ca="1">IFERROR(__xludf.DUMMYFUNCTION("""COMPUTED_VALUE"""),"Trim 3")</f>
        <v>Trim 3</v>
      </c>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row>
    <row r="236" spans="1:37" ht="30">
      <c r="A236" s="35" t="str">
        <f ca="1">IFERROR(__xludf.DUMMYFUNCTION("""COMPUTED_VALUE"""),"Oficina de Gestión de la Información")</f>
        <v>Oficina de Gestión de la Información</v>
      </c>
      <c r="B236" s="35">
        <f ca="1">IFERROR(__xludf.DUMMYFUNCTION("""COMPUTED_VALUE"""),11)</f>
        <v>11</v>
      </c>
      <c r="C236" s="35" t="str">
        <f ca="1">IFERROR(__xludf.DUMMYFUNCTION("""COMPUTED_VALUE"""),"11.3")</f>
        <v>11.3</v>
      </c>
      <c r="D236" s="35" t="str">
        <f ca="1">IFERROR(__xludf.DUMMYFUNCTION("""COMPUTED_VALUE"""),"Trim 4")</f>
        <v>Trim 4</v>
      </c>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row>
    <row r="237" spans="1:37" ht="30">
      <c r="A237" s="35" t="str">
        <f ca="1">IFERROR(__xludf.DUMMYFUNCTION("""COMPUTED_VALUE"""),"Oficina de Gestión de la Información")</f>
        <v>Oficina de Gestión de la Información</v>
      </c>
      <c r="B237" s="35">
        <f ca="1">IFERROR(__xludf.DUMMYFUNCTION("""COMPUTED_VALUE"""),12)</f>
        <v>12</v>
      </c>
      <c r="C237" s="35" t="str">
        <f ca="1">IFERROR(__xludf.DUMMYFUNCTION("""COMPUTED_VALUE"""),"12.1")</f>
        <v>12.1</v>
      </c>
      <c r="D237" s="35" t="str">
        <f ca="1">IFERROR(__xludf.DUMMYFUNCTION("""COMPUTED_VALUE"""),"Trim 2")</f>
        <v>Trim 2</v>
      </c>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row>
    <row r="238" spans="1:37" ht="30">
      <c r="A238" s="35" t="str">
        <f ca="1">IFERROR(__xludf.DUMMYFUNCTION("""COMPUTED_VALUE"""),"Oficina de Gestión de la Información")</f>
        <v>Oficina de Gestión de la Información</v>
      </c>
      <c r="B238" s="35">
        <f ca="1">IFERROR(__xludf.DUMMYFUNCTION("""COMPUTED_VALUE"""),12)</f>
        <v>12</v>
      </c>
      <c r="C238" s="35" t="str">
        <f ca="1">IFERROR(__xludf.DUMMYFUNCTION("""COMPUTED_VALUE"""),"12.2")</f>
        <v>12.2</v>
      </c>
      <c r="D238" s="35" t="str">
        <f ca="1">IFERROR(__xludf.DUMMYFUNCTION("""COMPUTED_VALUE"""),"Trim 3")</f>
        <v>Trim 3</v>
      </c>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row>
    <row r="239" spans="1:37" ht="30">
      <c r="A239" s="35" t="str">
        <f ca="1">IFERROR(__xludf.DUMMYFUNCTION("""COMPUTED_VALUE"""),"Oficina de Gestión de la Información")</f>
        <v>Oficina de Gestión de la Información</v>
      </c>
      <c r="B239" s="35">
        <f ca="1">IFERROR(__xludf.DUMMYFUNCTION("""COMPUTED_VALUE"""),13)</f>
        <v>13</v>
      </c>
      <c r="C239" s="35" t="str">
        <f ca="1">IFERROR(__xludf.DUMMYFUNCTION("""COMPUTED_VALUE"""),"13.1")</f>
        <v>13.1</v>
      </c>
      <c r="D239" s="35" t="str">
        <f ca="1">IFERROR(__xludf.DUMMYFUNCTION("""COMPUTED_VALUE"""),"Trim 2")</f>
        <v>Trim 2</v>
      </c>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row>
    <row r="240" spans="1:37" ht="30">
      <c r="A240" s="35" t="str">
        <f ca="1">IFERROR(__xludf.DUMMYFUNCTION("""COMPUTED_VALUE"""),"Oficina de Gestión de la Información")</f>
        <v>Oficina de Gestión de la Información</v>
      </c>
      <c r="B240" s="35">
        <f ca="1">IFERROR(__xludf.DUMMYFUNCTION("""COMPUTED_VALUE"""),13)</f>
        <v>13</v>
      </c>
      <c r="C240" s="35" t="str">
        <f ca="1">IFERROR(__xludf.DUMMYFUNCTION("""COMPUTED_VALUE"""),"13.2")</f>
        <v>13.2</v>
      </c>
      <c r="D240" s="35" t="str">
        <f ca="1">IFERROR(__xludf.DUMMYFUNCTION("""COMPUTED_VALUE"""),"Trim 3")</f>
        <v>Trim 3</v>
      </c>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row>
    <row r="241" spans="1:37" ht="30">
      <c r="A241" s="35" t="str">
        <f ca="1">IFERROR(__xludf.DUMMYFUNCTION("""COMPUTED_VALUE"""),"Oficina de Gestión de la Información")</f>
        <v>Oficina de Gestión de la Información</v>
      </c>
      <c r="B241" s="35">
        <f ca="1">IFERROR(__xludf.DUMMYFUNCTION("""COMPUTED_VALUE"""),14)</f>
        <v>14</v>
      </c>
      <c r="C241" s="35" t="str">
        <f ca="1">IFERROR(__xludf.DUMMYFUNCTION("""COMPUTED_VALUE"""),"14.1")</f>
        <v>14.1</v>
      </c>
      <c r="D241" s="35" t="str">
        <f ca="1">IFERROR(__xludf.DUMMYFUNCTION("""COMPUTED_VALUE"""),"Trim 2")</f>
        <v>Trim 2</v>
      </c>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row>
    <row r="242" spans="1:37" ht="30">
      <c r="A242" s="35" t="str">
        <f ca="1">IFERROR(__xludf.DUMMYFUNCTION("""COMPUTED_VALUE"""),"Oficina de Gestión de la Información")</f>
        <v>Oficina de Gestión de la Información</v>
      </c>
      <c r="B242" s="35">
        <f ca="1">IFERROR(__xludf.DUMMYFUNCTION("""COMPUTED_VALUE"""),14)</f>
        <v>14</v>
      </c>
      <c r="C242" s="35" t="str">
        <f ca="1">IFERROR(__xludf.DUMMYFUNCTION("""COMPUTED_VALUE"""),"14.2")</f>
        <v>14.2</v>
      </c>
      <c r="D242" s="35" t="str">
        <f ca="1">IFERROR(__xludf.DUMMYFUNCTION("""COMPUTED_VALUE"""),"Trim 4")</f>
        <v>Trim 4</v>
      </c>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row>
    <row r="243" spans="1:37" ht="30">
      <c r="A243" s="35" t="str">
        <f ca="1">IFERROR(__xludf.DUMMYFUNCTION("""COMPUTED_VALUE"""),"Secretaría General - GIT Gestión Administrativa")</f>
        <v>Secretaría General - GIT Gestión Administrativa</v>
      </c>
      <c r="B243" s="35">
        <f ca="1">IFERROR(__xludf.DUMMYFUNCTION("""COMPUTED_VALUE"""),1)</f>
        <v>1</v>
      </c>
      <c r="C243" s="35" t="str">
        <f ca="1">IFERROR(__xludf.DUMMYFUNCTION("""COMPUTED_VALUE"""),"1.1")</f>
        <v>1.1</v>
      </c>
      <c r="D243" s="35" t="str">
        <f ca="1">IFERROR(__xludf.DUMMYFUNCTION("""COMPUTED_VALUE"""),"Trim 3")</f>
        <v>Trim 3</v>
      </c>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row>
    <row r="244" spans="1:37" ht="30">
      <c r="A244" s="35" t="str">
        <f ca="1">IFERROR(__xludf.DUMMYFUNCTION("""COMPUTED_VALUE"""),"Secretaría General - GIT Gestión Administrativa")</f>
        <v>Secretaría General - GIT Gestión Administrativa</v>
      </c>
      <c r="B244" s="35">
        <f ca="1">IFERROR(__xludf.DUMMYFUNCTION("""COMPUTED_VALUE"""),1)</f>
        <v>1</v>
      </c>
      <c r="C244" s="35" t="str">
        <f ca="1">IFERROR(__xludf.DUMMYFUNCTION("""COMPUTED_VALUE"""),"1.2")</f>
        <v>1.2</v>
      </c>
      <c r="D244" s="35" t="str">
        <f ca="1">IFERROR(__xludf.DUMMYFUNCTION("""COMPUTED_VALUE"""),"Trim 3")</f>
        <v>Trim 3</v>
      </c>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row>
    <row r="245" spans="1:37" ht="30">
      <c r="A245" s="35" t="str">
        <f ca="1">IFERROR(__xludf.DUMMYFUNCTION("""COMPUTED_VALUE"""),"Secretaría General - GIT Gestión Administrativa")</f>
        <v>Secretaría General - GIT Gestión Administrativa</v>
      </c>
      <c r="B245" s="35">
        <f ca="1">IFERROR(__xludf.DUMMYFUNCTION("""COMPUTED_VALUE"""),2)</f>
        <v>2</v>
      </c>
      <c r="C245" s="35" t="str">
        <f ca="1">IFERROR(__xludf.DUMMYFUNCTION("""COMPUTED_VALUE"""),"2.1")</f>
        <v>2.1</v>
      </c>
      <c r="D245" s="35" t="str">
        <f ca="1">IFERROR(__xludf.DUMMYFUNCTION("""COMPUTED_VALUE"""),"Trim 4")</f>
        <v>Trim 4</v>
      </c>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row>
    <row r="246" spans="1:37" ht="30">
      <c r="A246" s="35" t="str">
        <f ca="1">IFERROR(__xludf.DUMMYFUNCTION("""COMPUTED_VALUE"""),"Secretaría General - GIT Gestión Administrativa")</f>
        <v>Secretaría General - GIT Gestión Administrativa</v>
      </c>
      <c r="B246" s="35">
        <f ca="1">IFERROR(__xludf.DUMMYFUNCTION("""COMPUTED_VALUE"""),3)</f>
        <v>3</v>
      </c>
      <c r="C246" s="35" t="str">
        <f ca="1">IFERROR(__xludf.DUMMYFUNCTION("""COMPUTED_VALUE"""),"3.1")</f>
        <v>3.1</v>
      </c>
      <c r="D246" s="35" t="str">
        <f ca="1">IFERROR(__xludf.DUMMYFUNCTION("""COMPUTED_VALUE"""),"Trim 1")</f>
        <v>Trim 1</v>
      </c>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row>
    <row r="247" spans="1:37" ht="30">
      <c r="A247" s="35" t="str">
        <f ca="1">IFERROR(__xludf.DUMMYFUNCTION("""COMPUTED_VALUE"""),"Secretaría General - GIT Gestión Administrativa")</f>
        <v>Secretaría General - GIT Gestión Administrativa</v>
      </c>
      <c r="B247" s="35">
        <f ca="1">IFERROR(__xludf.DUMMYFUNCTION("""COMPUTED_VALUE"""),3)</f>
        <v>3</v>
      </c>
      <c r="C247" s="35" t="str">
        <f ca="1">IFERROR(__xludf.DUMMYFUNCTION("""COMPUTED_VALUE"""),"3.2")</f>
        <v>3.2</v>
      </c>
      <c r="D247" s="35" t="str">
        <f ca="1">IFERROR(__xludf.DUMMYFUNCTION("""COMPUTED_VALUE"""),"Trim 2")</f>
        <v>Trim 2</v>
      </c>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row>
    <row r="248" spans="1:37" ht="30">
      <c r="A248" s="35" t="str">
        <f ca="1">IFERROR(__xludf.DUMMYFUNCTION("""COMPUTED_VALUE"""),"Secretaría General - GIT Gestión Administrativa")</f>
        <v>Secretaría General - GIT Gestión Administrativa</v>
      </c>
      <c r="B248" s="35">
        <f ca="1">IFERROR(__xludf.DUMMYFUNCTION("""COMPUTED_VALUE"""),3)</f>
        <v>3</v>
      </c>
      <c r="C248" s="35" t="str">
        <f ca="1">IFERROR(__xludf.DUMMYFUNCTION("""COMPUTED_VALUE"""),"3.3")</f>
        <v>3.3</v>
      </c>
      <c r="D248" s="35" t="str">
        <f ca="1">IFERROR(__xludf.DUMMYFUNCTION("""COMPUTED_VALUE"""),"Trim 2")</f>
        <v>Trim 2</v>
      </c>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row>
    <row r="249" spans="1:37" ht="30">
      <c r="A249" s="35" t="str">
        <f ca="1">IFERROR(__xludf.DUMMYFUNCTION("""COMPUTED_VALUE"""),"Secretaría General - GIT Gestión Administrativa")</f>
        <v>Secretaría General - GIT Gestión Administrativa</v>
      </c>
      <c r="B249" s="35">
        <f ca="1">IFERROR(__xludf.DUMMYFUNCTION("""COMPUTED_VALUE"""),4)</f>
        <v>4</v>
      </c>
      <c r="C249" s="35" t="str">
        <f ca="1">IFERROR(__xludf.DUMMYFUNCTION("""COMPUTED_VALUE"""),"4.1")</f>
        <v>4.1</v>
      </c>
      <c r="D249" s="35" t="str">
        <f ca="1">IFERROR(__xludf.DUMMYFUNCTION("""COMPUTED_VALUE"""),"Trim 4")</f>
        <v>Trim 4</v>
      </c>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row>
    <row r="250" spans="1:37" ht="30">
      <c r="A250" s="35" t="str">
        <f ca="1">IFERROR(__xludf.DUMMYFUNCTION("""COMPUTED_VALUE"""),"Secretaría General - GIT Gestión Administrativa")</f>
        <v>Secretaría General - GIT Gestión Administrativa</v>
      </c>
      <c r="B250" s="35">
        <f ca="1">IFERROR(__xludf.DUMMYFUNCTION("""COMPUTED_VALUE"""),4)</f>
        <v>4</v>
      </c>
      <c r="C250" s="35" t="str">
        <f ca="1">IFERROR(__xludf.DUMMYFUNCTION("""COMPUTED_VALUE"""),"4.2")</f>
        <v>4.2</v>
      </c>
      <c r="D250" s="35" t="str">
        <f ca="1">IFERROR(__xludf.DUMMYFUNCTION("""COMPUTED_VALUE"""),"Trim 4")</f>
        <v>Trim 4</v>
      </c>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row>
    <row r="251" spans="1:37">
      <c r="A251" s="35" t="str">
        <f ca="1">IFERROR(__xludf.DUMMYFUNCTION("""COMPUTED_VALUE"""),"Subdirección de Hidrocarburos")</f>
        <v>Subdirección de Hidrocarburos</v>
      </c>
      <c r="B251" s="35">
        <f ca="1">IFERROR(__xludf.DUMMYFUNCTION("""COMPUTED_VALUE"""),1)</f>
        <v>1</v>
      </c>
      <c r="C251" s="35" t="str">
        <f ca="1">IFERROR(__xludf.DUMMYFUNCTION("""COMPUTED_VALUE"""),"1.1")</f>
        <v>1.1</v>
      </c>
      <c r="D251" s="35" t="str">
        <f ca="1">IFERROR(__xludf.DUMMYFUNCTION("""COMPUTED_VALUE"""),"Trim 2")</f>
        <v>Trim 2</v>
      </c>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row>
    <row r="252" spans="1:37">
      <c r="A252" s="35" t="str">
        <f ca="1">IFERROR(__xludf.DUMMYFUNCTION("""COMPUTED_VALUE"""),"Subdirección de Hidrocarburos")</f>
        <v>Subdirección de Hidrocarburos</v>
      </c>
      <c r="B252" s="35">
        <f ca="1">IFERROR(__xludf.DUMMYFUNCTION("""COMPUTED_VALUE"""),1)</f>
        <v>1</v>
      </c>
      <c r="C252" s="35" t="str">
        <f ca="1">IFERROR(__xludf.DUMMYFUNCTION("""COMPUTED_VALUE"""),"1.2")</f>
        <v>1.2</v>
      </c>
      <c r="D252" s="35" t="str">
        <f ca="1">IFERROR(__xludf.DUMMYFUNCTION("""COMPUTED_VALUE"""),"Trim 2")</f>
        <v>Trim 2</v>
      </c>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row>
    <row r="253" spans="1:37">
      <c r="A253" s="35" t="str">
        <f ca="1">IFERROR(__xludf.DUMMYFUNCTION("""COMPUTED_VALUE"""),"Subdirección de Hidrocarburos")</f>
        <v>Subdirección de Hidrocarburos</v>
      </c>
      <c r="B253" s="35">
        <f ca="1">IFERROR(__xludf.DUMMYFUNCTION("""COMPUTED_VALUE"""),1)</f>
        <v>1</v>
      </c>
      <c r="C253" s="35" t="str">
        <f ca="1">IFERROR(__xludf.DUMMYFUNCTION("""COMPUTED_VALUE"""),"1.3")</f>
        <v>1.3</v>
      </c>
      <c r="D253" s="35" t="str">
        <f ca="1">IFERROR(__xludf.DUMMYFUNCTION("""COMPUTED_VALUE"""),"Trim 2")</f>
        <v>Trim 2</v>
      </c>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row>
    <row r="254" spans="1:37">
      <c r="A254" s="35" t="str">
        <f ca="1">IFERROR(__xludf.DUMMYFUNCTION("""COMPUTED_VALUE"""),"Subdirección de Hidrocarburos")</f>
        <v>Subdirección de Hidrocarburos</v>
      </c>
      <c r="B254" s="35">
        <f ca="1">IFERROR(__xludf.DUMMYFUNCTION("""COMPUTED_VALUE"""),1)</f>
        <v>1</v>
      </c>
      <c r="C254" s="35" t="str">
        <f ca="1">IFERROR(__xludf.DUMMYFUNCTION("""COMPUTED_VALUE"""),"1.4")</f>
        <v>1.4</v>
      </c>
      <c r="D254" s="35" t="str">
        <f ca="1">IFERROR(__xludf.DUMMYFUNCTION("""COMPUTED_VALUE"""),"Trim 3")</f>
        <v>Trim 3</v>
      </c>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row>
    <row r="255" spans="1:37">
      <c r="A255" s="35" t="str">
        <f ca="1">IFERROR(__xludf.DUMMYFUNCTION("""COMPUTED_VALUE"""),"Subdirección de Hidrocarburos")</f>
        <v>Subdirección de Hidrocarburos</v>
      </c>
      <c r="B255" s="35">
        <f ca="1">IFERROR(__xludf.DUMMYFUNCTION("""COMPUTED_VALUE"""),2)</f>
        <v>2</v>
      </c>
      <c r="C255" s="35" t="str">
        <f ca="1">IFERROR(__xludf.DUMMYFUNCTION("""COMPUTED_VALUE"""),"2.1")</f>
        <v>2.1</v>
      </c>
      <c r="D255" s="35" t="str">
        <f ca="1">IFERROR(__xludf.DUMMYFUNCTION("""COMPUTED_VALUE"""),"Trim 2")</f>
        <v>Trim 2</v>
      </c>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row>
    <row r="256" spans="1:37">
      <c r="A256" s="35" t="str">
        <f ca="1">IFERROR(__xludf.DUMMYFUNCTION("""COMPUTED_VALUE"""),"Subdirección de Hidrocarburos")</f>
        <v>Subdirección de Hidrocarburos</v>
      </c>
      <c r="B256" s="35">
        <f ca="1">IFERROR(__xludf.DUMMYFUNCTION("""COMPUTED_VALUE"""),2)</f>
        <v>2</v>
      </c>
      <c r="C256" s="35" t="str">
        <f ca="1">IFERROR(__xludf.DUMMYFUNCTION("""COMPUTED_VALUE"""),"2.2")</f>
        <v>2.2</v>
      </c>
      <c r="D256" s="35" t="str">
        <f ca="1">IFERROR(__xludf.DUMMYFUNCTION("""COMPUTED_VALUE"""),"Trim 4")</f>
        <v>Trim 4</v>
      </c>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row>
    <row r="257" spans="1:37">
      <c r="A257" s="35" t="str">
        <f ca="1">IFERROR(__xludf.DUMMYFUNCTION("""COMPUTED_VALUE"""),"Subdirección de Hidrocarburos")</f>
        <v>Subdirección de Hidrocarburos</v>
      </c>
      <c r="B257" s="35">
        <f ca="1">IFERROR(__xludf.DUMMYFUNCTION("""COMPUTED_VALUE"""),2)</f>
        <v>2</v>
      </c>
      <c r="C257" s="35" t="str">
        <f ca="1">IFERROR(__xludf.DUMMYFUNCTION("""COMPUTED_VALUE"""),"2.3")</f>
        <v>2.3</v>
      </c>
      <c r="D257" s="35" t="str">
        <f ca="1">IFERROR(__xludf.DUMMYFUNCTION("""COMPUTED_VALUE"""),"Trim 3")</f>
        <v>Trim 3</v>
      </c>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row>
    <row r="258" spans="1:37">
      <c r="A258" s="35" t="str">
        <f ca="1">IFERROR(__xludf.DUMMYFUNCTION("""COMPUTED_VALUE"""),"Subdirección de Hidrocarburos")</f>
        <v>Subdirección de Hidrocarburos</v>
      </c>
      <c r="B258" s="35">
        <f ca="1">IFERROR(__xludf.DUMMYFUNCTION("""COMPUTED_VALUE"""),2)</f>
        <v>2</v>
      </c>
      <c r="C258" s="35" t="str">
        <f ca="1">IFERROR(__xludf.DUMMYFUNCTION("""COMPUTED_VALUE"""),"2.4")</f>
        <v>2.4</v>
      </c>
      <c r="D258" s="35" t="str">
        <f ca="1">IFERROR(__xludf.DUMMYFUNCTION("""COMPUTED_VALUE"""),"Trim 4")</f>
        <v>Trim 4</v>
      </c>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row>
    <row r="259" spans="1:37">
      <c r="A259" s="35" t="str">
        <f ca="1">IFERROR(__xludf.DUMMYFUNCTION("""COMPUTED_VALUE"""),"Subdirección de Hidrocarburos")</f>
        <v>Subdirección de Hidrocarburos</v>
      </c>
      <c r="B259" s="35">
        <f ca="1">IFERROR(__xludf.DUMMYFUNCTION("""COMPUTED_VALUE"""),2)</f>
        <v>2</v>
      </c>
      <c r="C259" s="35" t="str">
        <f ca="1">IFERROR(__xludf.DUMMYFUNCTION("""COMPUTED_VALUE"""),"2.5")</f>
        <v>2.5</v>
      </c>
      <c r="D259" s="35" t="str">
        <f ca="1">IFERROR(__xludf.DUMMYFUNCTION("""COMPUTED_VALUE"""),"Trim 2")</f>
        <v>Trim 2</v>
      </c>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row>
    <row r="260" spans="1:37">
      <c r="A260" s="35" t="str">
        <f ca="1">IFERROR(__xludf.DUMMYFUNCTION("""COMPUTED_VALUE"""),"Subdirección de Hidrocarburos")</f>
        <v>Subdirección de Hidrocarburos</v>
      </c>
      <c r="B260" s="35">
        <f ca="1">IFERROR(__xludf.DUMMYFUNCTION("""COMPUTED_VALUE"""),2)</f>
        <v>2</v>
      </c>
      <c r="C260" s="35" t="str">
        <f ca="1">IFERROR(__xludf.DUMMYFUNCTION("""COMPUTED_VALUE"""),"2.6")</f>
        <v>2.6</v>
      </c>
      <c r="D260" s="35" t="str">
        <f ca="1">IFERROR(__xludf.DUMMYFUNCTION("""COMPUTED_VALUE"""),"Trim 4")</f>
        <v>Trim 4</v>
      </c>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row>
    <row r="261" spans="1:37">
      <c r="A261" s="35" t="str">
        <f ca="1">IFERROR(__xludf.DUMMYFUNCTION("""COMPUTED_VALUE"""),"Subdirección de Hidrocarburos")</f>
        <v>Subdirección de Hidrocarburos</v>
      </c>
      <c r="B261" s="35">
        <f ca="1">IFERROR(__xludf.DUMMYFUNCTION("""COMPUTED_VALUE"""),3)</f>
        <v>3</v>
      </c>
      <c r="C261" s="35" t="str">
        <f ca="1">IFERROR(__xludf.DUMMYFUNCTION("""COMPUTED_VALUE"""),"3.1")</f>
        <v>3.1</v>
      </c>
      <c r="D261" s="35" t="str">
        <f ca="1">IFERROR(__xludf.DUMMYFUNCTION("""COMPUTED_VALUE"""),"Trim 2")</f>
        <v>Trim 2</v>
      </c>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row>
    <row r="262" spans="1:37">
      <c r="A262" s="35" t="str">
        <f ca="1">IFERROR(__xludf.DUMMYFUNCTION("""COMPUTED_VALUE"""),"Subdirección de Hidrocarburos")</f>
        <v>Subdirección de Hidrocarburos</v>
      </c>
      <c r="B262" s="35">
        <f ca="1">IFERROR(__xludf.DUMMYFUNCTION("""COMPUTED_VALUE"""),3)</f>
        <v>3</v>
      </c>
      <c r="C262" s="35" t="str">
        <f ca="1">IFERROR(__xludf.DUMMYFUNCTION("""COMPUTED_VALUE"""),"3.2")</f>
        <v>3.2</v>
      </c>
      <c r="D262" s="35" t="str">
        <f ca="1">IFERROR(__xludf.DUMMYFUNCTION("""COMPUTED_VALUE"""),"Trim 2")</f>
        <v>Trim 2</v>
      </c>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row>
    <row r="263" spans="1:37">
      <c r="A263" s="35" t="str">
        <f ca="1">IFERROR(__xludf.DUMMYFUNCTION("""COMPUTED_VALUE"""),"Subdirección de Hidrocarburos")</f>
        <v>Subdirección de Hidrocarburos</v>
      </c>
      <c r="B263" s="35">
        <f ca="1">IFERROR(__xludf.DUMMYFUNCTION("""COMPUTED_VALUE"""),3)</f>
        <v>3</v>
      </c>
      <c r="C263" s="35" t="str">
        <f ca="1">IFERROR(__xludf.DUMMYFUNCTION("""COMPUTED_VALUE"""),"3.3")</f>
        <v>3.3</v>
      </c>
      <c r="D263" s="35" t="str">
        <f ca="1">IFERROR(__xludf.DUMMYFUNCTION("""COMPUTED_VALUE"""),"Trim 3")</f>
        <v>Trim 3</v>
      </c>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row>
    <row r="264" spans="1:37">
      <c r="A264" s="35" t="str">
        <f ca="1">IFERROR(__xludf.DUMMYFUNCTION("""COMPUTED_VALUE"""),"Subdirección de Hidrocarburos")</f>
        <v>Subdirección de Hidrocarburos</v>
      </c>
      <c r="B264" s="35">
        <f ca="1">IFERROR(__xludf.DUMMYFUNCTION("""COMPUTED_VALUE"""),3)</f>
        <v>3</v>
      </c>
      <c r="C264" s="35" t="str">
        <f ca="1">IFERROR(__xludf.DUMMYFUNCTION("""COMPUTED_VALUE"""),"3.4")</f>
        <v>3.4</v>
      </c>
      <c r="D264" s="35" t="str">
        <f ca="1">IFERROR(__xludf.DUMMYFUNCTION("""COMPUTED_VALUE"""),"Trim 3")</f>
        <v>Trim 3</v>
      </c>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row>
    <row r="265" spans="1:37">
      <c r="A265" s="35" t="str">
        <f ca="1">IFERROR(__xludf.DUMMYFUNCTION("""COMPUTED_VALUE"""),"Subdirección de Hidrocarburos")</f>
        <v>Subdirección de Hidrocarburos</v>
      </c>
      <c r="B265" s="35">
        <f ca="1">IFERROR(__xludf.DUMMYFUNCTION("""COMPUTED_VALUE"""),4)</f>
        <v>4</v>
      </c>
      <c r="C265" s="35" t="str">
        <f ca="1">IFERROR(__xludf.DUMMYFUNCTION("""COMPUTED_VALUE"""),"4.1")</f>
        <v>4.1</v>
      </c>
      <c r="D265" s="35" t="str">
        <f ca="1">IFERROR(__xludf.DUMMYFUNCTION("""COMPUTED_VALUE"""),"Trim 1")</f>
        <v>Trim 1</v>
      </c>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row>
    <row r="266" spans="1:37">
      <c r="A266" s="35" t="str">
        <f ca="1">IFERROR(__xludf.DUMMYFUNCTION("""COMPUTED_VALUE"""),"Subdirección de Hidrocarburos")</f>
        <v>Subdirección de Hidrocarburos</v>
      </c>
      <c r="B266" s="35">
        <f ca="1">IFERROR(__xludf.DUMMYFUNCTION("""COMPUTED_VALUE"""),4)</f>
        <v>4</v>
      </c>
      <c r="C266" s="35" t="str">
        <f ca="1">IFERROR(__xludf.DUMMYFUNCTION("""COMPUTED_VALUE"""),"4.2")</f>
        <v>4.2</v>
      </c>
      <c r="D266" s="35" t="str">
        <f ca="1">IFERROR(__xludf.DUMMYFUNCTION("""COMPUTED_VALUE"""),"Trim 1")</f>
        <v>Trim 1</v>
      </c>
      <c r="E266" s="35"/>
      <c r="F266" s="35"/>
      <c r="G266" s="35"/>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row>
    <row r="267" spans="1:37">
      <c r="A267" s="35" t="str">
        <f ca="1">IFERROR(__xludf.DUMMYFUNCTION("""COMPUTED_VALUE"""),"Subdirección de Hidrocarburos")</f>
        <v>Subdirección de Hidrocarburos</v>
      </c>
      <c r="B267" s="35">
        <f ca="1">IFERROR(__xludf.DUMMYFUNCTION("""COMPUTED_VALUE"""),4)</f>
        <v>4</v>
      </c>
      <c r="C267" s="35" t="str">
        <f ca="1">IFERROR(__xludf.DUMMYFUNCTION("""COMPUTED_VALUE"""),"4.3")</f>
        <v>4.3</v>
      </c>
      <c r="D267" s="35" t="str">
        <f ca="1">IFERROR(__xludf.DUMMYFUNCTION("""COMPUTED_VALUE"""),"Trim 1")</f>
        <v>Trim 1</v>
      </c>
      <c r="E267" s="35"/>
      <c r="F267" s="35"/>
      <c r="G267" s="35"/>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row>
    <row r="268" spans="1:37">
      <c r="A268" s="35" t="str">
        <f ca="1">IFERROR(__xludf.DUMMYFUNCTION("""COMPUTED_VALUE"""),"Subdirección de Hidrocarburos")</f>
        <v>Subdirección de Hidrocarburos</v>
      </c>
      <c r="B268" s="35">
        <f ca="1">IFERROR(__xludf.DUMMYFUNCTION("""COMPUTED_VALUE"""),4)</f>
        <v>4</v>
      </c>
      <c r="C268" s="35" t="str">
        <f ca="1">IFERROR(__xludf.DUMMYFUNCTION("""COMPUTED_VALUE"""),"4.4")</f>
        <v>4.4</v>
      </c>
      <c r="D268" s="35" t="str">
        <f ca="1">IFERROR(__xludf.DUMMYFUNCTION("""COMPUTED_VALUE"""),"Trim 1")</f>
        <v>Trim 1</v>
      </c>
      <c r="E268" s="35"/>
      <c r="F268" s="35"/>
      <c r="G268" s="35"/>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row>
    <row r="269" spans="1:37">
      <c r="A269" s="35" t="str">
        <f ca="1">IFERROR(__xludf.DUMMYFUNCTION("""COMPUTED_VALUE"""),"Subdirección de Hidrocarburos")</f>
        <v>Subdirección de Hidrocarburos</v>
      </c>
      <c r="B269" s="35">
        <f ca="1">IFERROR(__xludf.DUMMYFUNCTION("""COMPUTED_VALUE"""),5)</f>
        <v>5</v>
      </c>
      <c r="C269" s="35" t="str">
        <f ca="1">IFERROR(__xludf.DUMMYFUNCTION("""COMPUTED_VALUE"""),"5.1")</f>
        <v>5.1</v>
      </c>
      <c r="D269" s="35" t="str">
        <f ca="1">IFERROR(__xludf.DUMMYFUNCTION("""COMPUTED_VALUE"""),"Trim 2")</f>
        <v>Trim 2</v>
      </c>
      <c r="E269" s="35"/>
      <c r="F269" s="35"/>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row>
    <row r="270" spans="1:37">
      <c r="A270" s="35" t="str">
        <f ca="1">IFERROR(__xludf.DUMMYFUNCTION("""COMPUTED_VALUE"""),"Subdirección de Hidrocarburos")</f>
        <v>Subdirección de Hidrocarburos</v>
      </c>
      <c r="B270" s="35">
        <f ca="1">IFERROR(__xludf.DUMMYFUNCTION("""COMPUTED_VALUE"""),5)</f>
        <v>5</v>
      </c>
      <c r="C270" s="35" t="str">
        <f ca="1">IFERROR(__xludf.DUMMYFUNCTION("""COMPUTED_VALUE"""),"5.2")</f>
        <v>5.2</v>
      </c>
      <c r="D270" s="35" t="str">
        <f ca="1">IFERROR(__xludf.DUMMYFUNCTION("""COMPUTED_VALUE"""),"Trim 3")</f>
        <v>Trim 3</v>
      </c>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row>
    <row r="271" spans="1:37">
      <c r="A271" s="35" t="str">
        <f ca="1">IFERROR(__xludf.DUMMYFUNCTION("""COMPUTED_VALUE"""),"Subdirección de Hidrocarburos")</f>
        <v>Subdirección de Hidrocarburos</v>
      </c>
      <c r="B271" s="35">
        <f ca="1">IFERROR(__xludf.DUMMYFUNCTION("""COMPUTED_VALUE"""),5)</f>
        <v>5</v>
      </c>
      <c r="C271" s="35" t="str">
        <f ca="1">IFERROR(__xludf.DUMMYFUNCTION("""COMPUTED_VALUE"""),"5.3")</f>
        <v>5.3</v>
      </c>
      <c r="D271" s="35" t="str">
        <f ca="1">IFERROR(__xludf.DUMMYFUNCTION("""COMPUTED_VALUE"""),"Trim 3")</f>
        <v>Trim 3</v>
      </c>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row>
    <row r="272" spans="1:37">
      <c r="A272" s="35" t="str">
        <f ca="1">IFERROR(__xludf.DUMMYFUNCTION("""COMPUTED_VALUE"""),"Subdirección de Hidrocarburos")</f>
        <v>Subdirección de Hidrocarburos</v>
      </c>
      <c r="B272" s="35">
        <f ca="1">IFERROR(__xludf.DUMMYFUNCTION("""COMPUTED_VALUE"""),5)</f>
        <v>5</v>
      </c>
      <c r="C272" s="35" t="str">
        <f ca="1">IFERROR(__xludf.DUMMYFUNCTION("""COMPUTED_VALUE"""),"5.4")</f>
        <v>5.4</v>
      </c>
      <c r="D272" s="35" t="str">
        <f ca="1">IFERROR(__xludf.DUMMYFUNCTION("""COMPUTED_VALUE"""),"Trim 3")</f>
        <v>Trim 3</v>
      </c>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row>
    <row r="273" spans="1:37">
      <c r="A273" s="35" t="str">
        <f ca="1">IFERROR(__xludf.DUMMYFUNCTION("""COMPUTED_VALUE"""),"Subdirección de Hidrocarburos")</f>
        <v>Subdirección de Hidrocarburos</v>
      </c>
      <c r="B273" s="35">
        <f ca="1">IFERROR(__xludf.DUMMYFUNCTION("""COMPUTED_VALUE"""),6)</f>
        <v>6</v>
      </c>
      <c r="C273" s="35" t="str">
        <f ca="1">IFERROR(__xludf.DUMMYFUNCTION("""COMPUTED_VALUE"""),"6.1")</f>
        <v>6.1</v>
      </c>
      <c r="D273" s="35" t="str">
        <f ca="1">IFERROR(__xludf.DUMMYFUNCTION("""COMPUTED_VALUE"""),"Trim 1")</f>
        <v>Trim 1</v>
      </c>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row>
    <row r="274" spans="1:37">
      <c r="A274" s="35" t="str">
        <f ca="1">IFERROR(__xludf.DUMMYFUNCTION("""COMPUTED_VALUE"""),"Subdirección de Hidrocarburos")</f>
        <v>Subdirección de Hidrocarburos</v>
      </c>
      <c r="B274" s="35">
        <f ca="1">IFERROR(__xludf.DUMMYFUNCTION("""COMPUTED_VALUE"""),6)</f>
        <v>6</v>
      </c>
      <c r="C274" s="35" t="str">
        <f ca="1">IFERROR(__xludf.DUMMYFUNCTION("""COMPUTED_VALUE"""),"6.2")</f>
        <v>6.2</v>
      </c>
      <c r="D274" s="35" t="str">
        <f ca="1">IFERROR(__xludf.DUMMYFUNCTION("""COMPUTED_VALUE"""),"Trim 2")</f>
        <v>Trim 2</v>
      </c>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row>
    <row r="275" spans="1:37">
      <c r="A275" s="35" t="str">
        <f ca="1">IFERROR(__xludf.DUMMYFUNCTION("""COMPUTED_VALUE"""),"Subdirección de Hidrocarburos")</f>
        <v>Subdirección de Hidrocarburos</v>
      </c>
      <c r="B275" s="35">
        <f ca="1">IFERROR(__xludf.DUMMYFUNCTION("""COMPUTED_VALUE"""),6)</f>
        <v>6</v>
      </c>
      <c r="C275" s="35" t="str">
        <f ca="1">IFERROR(__xludf.DUMMYFUNCTION("""COMPUTED_VALUE"""),"6.3")</f>
        <v>6.3</v>
      </c>
      <c r="D275" s="35" t="str">
        <f ca="1">IFERROR(__xludf.DUMMYFUNCTION("""COMPUTED_VALUE"""),"Trim 3")</f>
        <v>Trim 3</v>
      </c>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row>
    <row r="276" spans="1:37">
      <c r="A276" s="35" t="str">
        <f ca="1">IFERROR(__xludf.DUMMYFUNCTION("""COMPUTED_VALUE"""),"Subdirección de Hidrocarburos")</f>
        <v>Subdirección de Hidrocarburos</v>
      </c>
      <c r="B276" s="35">
        <f ca="1">IFERROR(__xludf.DUMMYFUNCTION("""COMPUTED_VALUE"""),6)</f>
        <v>6</v>
      </c>
      <c r="C276" s="35" t="str">
        <f ca="1">IFERROR(__xludf.DUMMYFUNCTION("""COMPUTED_VALUE"""),"6.4")</f>
        <v>6.4</v>
      </c>
      <c r="D276" s="35" t="str">
        <f ca="1">IFERROR(__xludf.DUMMYFUNCTION("""COMPUTED_VALUE"""),"Trim 4")</f>
        <v>Trim 4</v>
      </c>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row>
    <row r="277" spans="1:37">
      <c r="A277" s="35" t="str">
        <f ca="1">IFERROR(__xludf.DUMMYFUNCTION("""COMPUTED_VALUE"""),"Subdirección de Hidrocarburos")</f>
        <v>Subdirección de Hidrocarburos</v>
      </c>
      <c r="B277" s="35">
        <f ca="1">IFERROR(__xludf.DUMMYFUNCTION("""COMPUTED_VALUE"""),7)</f>
        <v>7</v>
      </c>
      <c r="C277" s="35" t="str">
        <f ca="1">IFERROR(__xludf.DUMMYFUNCTION("""COMPUTED_VALUE"""),"7.1")</f>
        <v>7.1</v>
      </c>
      <c r="D277" s="35" t="str">
        <f ca="1">IFERROR(__xludf.DUMMYFUNCTION("""COMPUTED_VALUE"""),"Trim 1")</f>
        <v>Trim 1</v>
      </c>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row>
    <row r="278" spans="1:37">
      <c r="A278" s="35" t="str">
        <f ca="1">IFERROR(__xludf.DUMMYFUNCTION("""COMPUTED_VALUE"""),"Subdirección de Hidrocarburos")</f>
        <v>Subdirección de Hidrocarburos</v>
      </c>
      <c r="B278" s="35">
        <f ca="1">IFERROR(__xludf.DUMMYFUNCTION("""COMPUTED_VALUE"""),7)</f>
        <v>7</v>
      </c>
      <c r="C278" s="35" t="str">
        <f ca="1">IFERROR(__xludf.DUMMYFUNCTION("""COMPUTED_VALUE"""),"7.2")</f>
        <v>7.2</v>
      </c>
      <c r="D278" s="35" t="str">
        <f ca="1">IFERROR(__xludf.DUMMYFUNCTION("""COMPUTED_VALUE"""),"Trim 1")</f>
        <v>Trim 1</v>
      </c>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row>
    <row r="279" spans="1:37">
      <c r="A279" s="35" t="str">
        <f ca="1">IFERROR(__xludf.DUMMYFUNCTION("""COMPUTED_VALUE"""),"Subdirección de Hidrocarburos")</f>
        <v>Subdirección de Hidrocarburos</v>
      </c>
      <c r="B279" s="35">
        <f ca="1">IFERROR(__xludf.DUMMYFUNCTION("""COMPUTED_VALUE"""),7)</f>
        <v>7</v>
      </c>
      <c r="C279" s="35" t="str">
        <f ca="1">IFERROR(__xludf.DUMMYFUNCTION("""COMPUTED_VALUE"""),"7.3")</f>
        <v>7.3</v>
      </c>
      <c r="D279" s="35" t="str">
        <f ca="1">IFERROR(__xludf.DUMMYFUNCTION("""COMPUTED_VALUE"""),"Trim 2")</f>
        <v>Trim 2</v>
      </c>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row>
    <row r="280" spans="1:37">
      <c r="A280" s="35" t="str">
        <f ca="1">IFERROR(__xludf.DUMMYFUNCTION("""COMPUTED_VALUE"""),"Subdirección de Hidrocarburos")</f>
        <v>Subdirección de Hidrocarburos</v>
      </c>
      <c r="B280" s="35">
        <f ca="1">IFERROR(__xludf.DUMMYFUNCTION("""COMPUTED_VALUE"""),7)</f>
        <v>7</v>
      </c>
      <c r="C280" s="35" t="str">
        <f ca="1">IFERROR(__xludf.DUMMYFUNCTION("""COMPUTED_VALUE"""),"7.4")</f>
        <v>7.4</v>
      </c>
      <c r="D280" s="35" t="str">
        <f ca="1">IFERROR(__xludf.DUMMYFUNCTION("""COMPUTED_VALUE"""),"Trim 3")</f>
        <v>Trim 3</v>
      </c>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row>
    <row r="281" spans="1:37">
      <c r="A281" s="35" t="str">
        <f ca="1">IFERROR(__xludf.DUMMYFUNCTION("""COMPUTED_VALUE"""),"Subdirección de Hidrocarburos")</f>
        <v>Subdirección de Hidrocarburos</v>
      </c>
      <c r="B281" s="35">
        <f ca="1">IFERROR(__xludf.DUMMYFUNCTION("""COMPUTED_VALUE"""),7)</f>
        <v>7</v>
      </c>
      <c r="C281" s="35" t="str">
        <f ca="1">IFERROR(__xludf.DUMMYFUNCTION("""COMPUTED_VALUE"""),"7.5")</f>
        <v>7.5</v>
      </c>
      <c r="D281" s="35" t="str">
        <f ca="1">IFERROR(__xludf.DUMMYFUNCTION("""COMPUTED_VALUE"""),"Trim 4")</f>
        <v>Trim 4</v>
      </c>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row>
    <row r="282" spans="1:37">
      <c r="A282" s="35" t="str">
        <f ca="1">IFERROR(__xludf.DUMMYFUNCTION("""COMPUTED_VALUE"""),"Subdirección de Hidrocarburos")</f>
        <v>Subdirección de Hidrocarburos</v>
      </c>
      <c r="B282" s="35">
        <f ca="1">IFERROR(__xludf.DUMMYFUNCTION("""COMPUTED_VALUE"""),7)</f>
        <v>7</v>
      </c>
      <c r="C282" s="35" t="str">
        <f ca="1">IFERROR(__xludf.DUMMYFUNCTION("""COMPUTED_VALUE"""),"7.6")</f>
        <v>7.6</v>
      </c>
      <c r="D282" s="35" t="str">
        <f ca="1">IFERROR(__xludf.DUMMYFUNCTION("""COMPUTED_VALUE"""),"Trim 2")</f>
        <v>Trim 2</v>
      </c>
      <c r="E282" s="35"/>
      <c r="F282" s="35"/>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row>
    <row r="283" spans="1:37">
      <c r="A283" s="35" t="str">
        <f ca="1">IFERROR(__xludf.DUMMYFUNCTION("""COMPUTED_VALUE"""),"Subdirección de Hidrocarburos")</f>
        <v>Subdirección de Hidrocarburos</v>
      </c>
      <c r="B283" s="35">
        <f ca="1">IFERROR(__xludf.DUMMYFUNCTION("""COMPUTED_VALUE"""),7)</f>
        <v>7</v>
      </c>
      <c r="C283" s="35" t="str">
        <f ca="1">IFERROR(__xludf.DUMMYFUNCTION("""COMPUTED_VALUE"""),"7.7")</f>
        <v>7.7</v>
      </c>
      <c r="D283" s="35" t="str">
        <f ca="1">IFERROR(__xludf.DUMMYFUNCTION("""COMPUTED_VALUE"""),"Trim 2")</f>
        <v>Trim 2</v>
      </c>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row>
    <row r="284" spans="1:37">
      <c r="A284" s="35" t="str">
        <f ca="1">IFERROR(__xludf.DUMMYFUNCTION("""COMPUTED_VALUE"""),"Subdirección de Hidrocarburos")</f>
        <v>Subdirección de Hidrocarburos</v>
      </c>
      <c r="B284" s="35">
        <f ca="1">IFERROR(__xludf.DUMMYFUNCTION("""COMPUTED_VALUE"""),7)</f>
        <v>7</v>
      </c>
      <c r="C284" s="35" t="str">
        <f ca="1">IFERROR(__xludf.DUMMYFUNCTION("""COMPUTED_VALUE"""),"7.8")</f>
        <v>7.8</v>
      </c>
      <c r="D284" s="35" t="str">
        <f ca="1">IFERROR(__xludf.DUMMYFUNCTION("""COMPUTED_VALUE"""),"Trim 4")</f>
        <v>Trim 4</v>
      </c>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row>
    <row r="285" spans="1:37">
      <c r="A285" s="35" t="str">
        <f ca="1">IFERROR(__xludf.DUMMYFUNCTION("""COMPUTED_VALUE"""),"Subdirección de Hidrocarburos")</f>
        <v>Subdirección de Hidrocarburos</v>
      </c>
      <c r="B285" s="35">
        <f ca="1">IFERROR(__xludf.DUMMYFUNCTION("""COMPUTED_VALUE"""),7)</f>
        <v>7</v>
      </c>
      <c r="C285" s="35" t="str">
        <f ca="1">IFERROR(__xludf.DUMMYFUNCTION("""COMPUTED_VALUE"""),"7.9")</f>
        <v>7.9</v>
      </c>
      <c r="D285" s="35" t="str">
        <f ca="1">IFERROR(__xludf.DUMMYFUNCTION("""COMPUTED_VALUE"""),"Trim 1")</f>
        <v>Trim 1</v>
      </c>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row>
    <row r="286" spans="1:37">
      <c r="A286" s="35" t="str">
        <f ca="1">IFERROR(__xludf.DUMMYFUNCTION("""COMPUTED_VALUE"""),"Subdirección de Hidrocarburos")</f>
        <v>Subdirección de Hidrocarburos</v>
      </c>
      <c r="B286" s="35">
        <f ca="1">IFERROR(__xludf.DUMMYFUNCTION("""COMPUTED_VALUE"""),8)</f>
        <v>8</v>
      </c>
      <c r="C286" s="35" t="str">
        <f ca="1">IFERROR(__xludf.DUMMYFUNCTION("""COMPUTED_VALUE"""),"8.1")</f>
        <v>8.1</v>
      </c>
      <c r="D286" s="35" t="str">
        <f ca="1">IFERROR(__xludf.DUMMYFUNCTION("""COMPUTED_VALUE"""),"Trim 2")</f>
        <v>Trim 2</v>
      </c>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row>
    <row r="287" spans="1:37">
      <c r="A287" s="35" t="str">
        <f ca="1">IFERROR(__xludf.DUMMYFUNCTION("""COMPUTED_VALUE"""),"Subdirección de Hidrocarburos")</f>
        <v>Subdirección de Hidrocarburos</v>
      </c>
      <c r="B287" s="35">
        <f ca="1">IFERROR(__xludf.DUMMYFUNCTION("""COMPUTED_VALUE"""),8)</f>
        <v>8</v>
      </c>
      <c r="C287" s="35" t="str">
        <f ca="1">IFERROR(__xludf.DUMMYFUNCTION("""COMPUTED_VALUE"""),"8.2")</f>
        <v>8.2</v>
      </c>
      <c r="D287" s="35" t="str">
        <f ca="1">IFERROR(__xludf.DUMMYFUNCTION("""COMPUTED_VALUE"""),"Trim 4")</f>
        <v>Trim 4</v>
      </c>
      <c r="E287" s="35"/>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row>
    <row r="288" spans="1:37" ht="30">
      <c r="A288" s="35" t="str">
        <f ca="1">IFERROR(__xludf.DUMMYFUNCTION("""COMPUTED_VALUE"""),"Subdirección de Energía Eléctrica - GIT Convocatorias públicas")</f>
        <v>Subdirección de Energía Eléctrica - GIT Convocatorias públicas</v>
      </c>
      <c r="B288" s="35">
        <f ca="1">IFERROR(__xludf.DUMMYFUNCTION("""COMPUTED_VALUE"""),1)</f>
        <v>1</v>
      </c>
      <c r="C288" s="35" t="str">
        <f ca="1">IFERROR(__xludf.DUMMYFUNCTION("""COMPUTED_VALUE"""),"1.1")</f>
        <v>1.1</v>
      </c>
      <c r="D288" s="35" t="str">
        <f ca="1">IFERROR(__xludf.DUMMYFUNCTION("""COMPUTED_VALUE"""),"Trim 1")</f>
        <v>Trim 1</v>
      </c>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row>
    <row r="289" spans="1:37" ht="30">
      <c r="A289" s="35" t="str">
        <f ca="1">IFERROR(__xludf.DUMMYFUNCTION("""COMPUTED_VALUE"""),"Subdirección de Energía Eléctrica - GIT Convocatorias públicas")</f>
        <v>Subdirección de Energía Eléctrica - GIT Convocatorias públicas</v>
      </c>
      <c r="B289" s="35">
        <f ca="1">IFERROR(__xludf.DUMMYFUNCTION("""COMPUTED_VALUE"""),1)</f>
        <v>1</v>
      </c>
      <c r="C289" s="35" t="str">
        <f ca="1">IFERROR(__xludf.DUMMYFUNCTION("""COMPUTED_VALUE"""),"1.2")</f>
        <v>1.2</v>
      </c>
      <c r="D289" s="35" t="str">
        <f ca="1">IFERROR(__xludf.DUMMYFUNCTION("""COMPUTED_VALUE"""),"Trim 2")</f>
        <v>Trim 2</v>
      </c>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row>
    <row r="290" spans="1:37" ht="30">
      <c r="A290" s="35" t="str">
        <f ca="1">IFERROR(__xludf.DUMMYFUNCTION("""COMPUTED_VALUE"""),"Subdirección de Energía Eléctrica - GIT Convocatorias públicas")</f>
        <v>Subdirección de Energía Eléctrica - GIT Convocatorias públicas</v>
      </c>
      <c r="B290" s="35">
        <f ca="1">IFERROR(__xludf.DUMMYFUNCTION("""COMPUTED_VALUE"""),1)</f>
        <v>1</v>
      </c>
      <c r="C290" s="35" t="str">
        <f ca="1">IFERROR(__xludf.DUMMYFUNCTION("""COMPUTED_VALUE"""),"1.3")</f>
        <v>1.3</v>
      </c>
      <c r="D290" s="35" t="str">
        <f ca="1">IFERROR(__xludf.DUMMYFUNCTION("""COMPUTED_VALUE"""),"Trim 4")</f>
        <v>Trim 4</v>
      </c>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row>
    <row r="291" spans="1:37" ht="30">
      <c r="A291" s="35" t="str">
        <f ca="1">IFERROR(__xludf.DUMMYFUNCTION("""COMPUTED_VALUE"""),"Subdirección de Energía Eléctrica - GIT Convocatorias públicas")</f>
        <v>Subdirección de Energía Eléctrica - GIT Convocatorias públicas</v>
      </c>
      <c r="B291" s="35">
        <f ca="1">IFERROR(__xludf.DUMMYFUNCTION("""COMPUTED_VALUE"""),1)</f>
        <v>1</v>
      </c>
      <c r="C291" s="35" t="str">
        <f ca="1">IFERROR(__xludf.DUMMYFUNCTION("""COMPUTED_VALUE"""),"1.4")</f>
        <v>1.4</v>
      </c>
      <c r="D291" s="35" t="str">
        <f ca="1">IFERROR(__xludf.DUMMYFUNCTION("""COMPUTED_VALUE"""),"Trim 2")</f>
        <v>Trim 2</v>
      </c>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row>
    <row r="292" spans="1:37" ht="30">
      <c r="A292" s="35" t="str">
        <f ca="1">IFERROR(__xludf.DUMMYFUNCTION("""COMPUTED_VALUE"""),"Subdirección de Energía Eléctrica - GIT Convocatorias públicas")</f>
        <v>Subdirección de Energía Eléctrica - GIT Convocatorias públicas</v>
      </c>
      <c r="B292" s="35">
        <f ca="1">IFERROR(__xludf.DUMMYFUNCTION("""COMPUTED_VALUE"""),1)</f>
        <v>1</v>
      </c>
      <c r="C292" s="35" t="str">
        <f ca="1">IFERROR(__xludf.DUMMYFUNCTION("""COMPUTED_VALUE"""),"1.5")</f>
        <v>1.5</v>
      </c>
      <c r="D292" s="35" t="str">
        <f ca="1">IFERROR(__xludf.DUMMYFUNCTION("""COMPUTED_VALUE"""),"Trim 3")</f>
        <v>Trim 3</v>
      </c>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row>
    <row r="293" spans="1:37" ht="30">
      <c r="A293" s="35" t="str">
        <f ca="1">IFERROR(__xludf.DUMMYFUNCTION("""COMPUTED_VALUE"""),"Subdirección de Energía Eléctrica - GIT Convocatorias públicas")</f>
        <v>Subdirección de Energía Eléctrica - GIT Convocatorias públicas</v>
      </c>
      <c r="B293" s="35">
        <f ca="1">IFERROR(__xludf.DUMMYFUNCTION("""COMPUTED_VALUE"""),1)</f>
        <v>1</v>
      </c>
      <c r="C293" s="35" t="str">
        <f ca="1">IFERROR(__xludf.DUMMYFUNCTION("""COMPUTED_VALUE"""),"1.6")</f>
        <v>1.6</v>
      </c>
      <c r="D293" s="35" t="str">
        <f ca="1">IFERROR(__xludf.DUMMYFUNCTION("""COMPUTED_VALUE"""),"Trim 4")</f>
        <v>Trim 4</v>
      </c>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row>
    <row r="294" spans="1:37" ht="30">
      <c r="A294" s="35" t="str">
        <f ca="1">IFERROR(__xludf.DUMMYFUNCTION("""COMPUTED_VALUE"""),"Subdirección de Energía Eléctrica - GIT Convocatorias públicas")</f>
        <v>Subdirección de Energía Eléctrica - GIT Convocatorias públicas</v>
      </c>
      <c r="B294" s="35">
        <f ca="1">IFERROR(__xludf.DUMMYFUNCTION("""COMPUTED_VALUE"""),1)</f>
        <v>1</v>
      </c>
      <c r="C294" s="35" t="str">
        <f ca="1">IFERROR(__xludf.DUMMYFUNCTION("""COMPUTED_VALUE"""),"1.7")</f>
        <v>1.7</v>
      </c>
      <c r="D294" s="35" t="str">
        <f ca="1">IFERROR(__xludf.DUMMYFUNCTION("""COMPUTED_VALUE"""),"Trim 1")</f>
        <v>Trim 1</v>
      </c>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row>
    <row r="295" spans="1:37" ht="30">
      <c r="A295" s="35" t="str">
        <f ca="1">IFERROR(__xludf.DUMMYFUNCTION("""COMPUTED_VALUE"""),"Subdirección de Energía Eléctrica - GIT Convocatorias públicas")</f>
        <v>Subdirección de Energía Eléctrica - GIT Convocatorias públicas</v>
      </c>
      <c r="B295" s="35">
        <f ca="1">IFERROR(__xludf.DUMMYFUNCTION("""COMPUTED_VALUE"""),1)</f>
        <v>1</v>
      </c>
      <c r="C295" s="35" t="str">
        <f ca="1">IFERROR(__xludf.DUMMYFUNCTION("""COMPUTED_VALUE"""),"1.8")</f>
        <v>1.8</v>
      </c>
      <c r="D295" s="35" t="str">
        <f ca="1">IFERROR(__xludf.DUMMYFUNCTION("""COMPUTED_VALUE"""),"Trim 2")</f>
        <v>Trim 2</v>
      </c>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row>
    <row r="296" spans="1:37" ht="30">
      <c r="A296" s="35" t="str">
        <f ca="1">IFERROR(__xludf.DUMMYFUNCTION("""COMPUTED_VALUE"""),"Subdirección de Energía Eléctrica - GIT Convocatorias públicas")</f>
        <v>Subdirección de Energía Eléctrica - GIT Convocatorias públicas</v>
      </c>
      <c r="B296" s="35">
        <f ca="1">IFERROR(__xludf.DUMMYFUNCTION("""COMPUTED_VALUE"""),1)</f>
        <v>1</v>
      </c>
      <c r="C296" s="35" t="str">
        <f ca="1">IFERROR(__xludf.DUMMYFUNCTION("""COMPUTED_VALUE"""),"1.9")</f>
        <v>1.9</v>
      </c>
      <c r="D296" s="35" t="str">
        <f ca="1">IFERROR(__xludf.DUMMYFUNCTION("""COMPUTED_VALUE"""),"Trim 3")</f>
        <v>Trim 3</v>
      </c>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row>
    <row r="297" spans="1:37" ht="30">
      <c r="A297" s="35" t="str">
        <f ca="1">IFERROR(__xludf.DUMMYFUNCTION("""COMPUTED_VALUE"""),"Subdirección de Energía Eléctrica - GIT Convocatorias públicas")</f>
        <v>Subdirección de Energía Eléctrica - GIT Convocatorias públicas</v>
      </c>
      <c r="B297" s="35">
        <f ca="1">IFERROR(__xludf.DUMMYFUNCTION("""COMPUTED_VALUE"""),1)</f>
        <v>1</v>
      </c>
      <c r="C297" s="35" t="str">
        <f ca="1">IFERROR(__xludf.DUMMYFUNCTION("""COMPUTED_VALUE"""),"1.10")</f>
        <v>1.10</v>
      </c>
      <c r="D297" s="35" t="str">
        <f ca="1">IFERROR(__xludf.DUMMYFUNCTION("""COMPUTED_VALUE"""),"Trim 4")</f>
        <v>Trim 4</v>
      </c>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row>
    <row r="298" spans="1:37" ht="30">
      <c r="A298" s="35" t="str">
        <f ca="1">IFERROR(__xludf.DUMMYFUNCTION("""COMPUTED_VALUE"""),"Subdirección de Energía Eléctrica - GIT Convocatorias públicas")</f>
        <v>Subdirección de Energía Eléctrica - GIT Convocatorias públicas</v>
      </c>
      <c r="B298" s="35">
        <f ca="1">IFERROR(__xludf.DUMMYFUNCTION("""COMPUTED_VALUE"""),2)</f>
        <v>2</v>
      </c>
      <c r="C298" s="35" t="str">
        <f ca="1">IFERROR(__xludf.DUMMYFUNCTION("""COMPUTED_VALUE"""),"2.1")</f>
        <v>2.1</v>
      </c>
      <c r="D298" s="35" t="str">
        <f ca="1">IFERROR(__xludf.DUMMYFUNCTION("""COMPUTED_VALUE"""),"Trim 3")</f>
        <v>Trim 3</v>
      </c>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row>
    <row r="299" spans="1:37" ht="30">
      <c r="A299" s="35" t="str">
        <f ca="1">IFERROR(__xludf.DUMMYFUNCTION("""COMPUTED_VALUE"""),"Subdirección de Energía Eléctrica - GIT Convocatorias públicas")</f>
        <v>Subdirección de Energía Eléctrica - GIT Convocatorias públicas</v>
      </c>
      <c r="B299" s="35">
        <f ca="1">IFERROR(__xludf.DUMMYFUNCTION("""COMPUTED_VALUE"""),2)</f>
        <v>2</v>
      </c>
      <c r="C299" s="35" t="str">
        <f ca="1">IFERROR(__xludf.DUMMYFUNCTION("""COMPUTED_VALUE"""),"2.3")</f>
        <v>2.3</v>
      </c>
      <c r="D299" s="35" t="str">
        <f ca="1">IFERROR(__xludf.DUMMYFUNCTION("""COMPUTED_VALUE"""),"Trim 4")</f>
        <v>Trim 4</v>
      </c>
      <c r="E299" s="35"/>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row>
    <row r="300" spans="1:37" ht="30">
      <c r="A300" s="35" t="str">
        <f ca="1">IFERROR(__xludf.DUMMYFUNCTION("""COMPUTED_VALUE"""),"Subdirección de Energía Eléctrica - GIT Convocatorias públicas")</f>
        <v>Subdirección de Energía Eléctrica - GIT Convocatorias públicas</v>
      </c>
      <c r="B300" s="35">
        <f ca="1">IFERROR(__xludf.DUMMYFUNCTION("""COMPUTED_VALUE"""),2)</f>
        <v>2</v>
      </c>
      <c r="C300" s="35" t="str">
        <f ca="1">IFERROR(__xludf.DUMMYFUNCTION("""COMPUTED_VALUE"""),"2.4")</f>
        <v>2.4</v>
      </c>
      <c r="D300" s="35" t="str">
        <f ca="1">IFERROR(__xludf.DUMMYFUNCTION("""COMPUTED_VALUE"""),"Trim 2")</f>
        <v>Trim 2</v>
      </c>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row>
    <row r="301" spans="1:37" ht="30">
      <c r="A301" s="35" t="str">
        <f ca="1">IFERROR(__xludf.DUMMYFUNCTION("""COMPUTED_VALUE"""),"Subdirección de Energía Eléctrica - GIT Convocatorias públicas")</f>
        <v>Subdirección de Energía Eléctrica - GIT Convocatorias públicas</v>
      </c>
      <c r="B301" s="35">
        <f ca="1">IFERROR(__xludf.DUMMYFUNCTION("""COMPUTED_VALUE"""),2)</f>
        <v>2</v>
      </c>
      <c r="C301" s="35" t="str">
        <f ca="1">IFERROR(__xludf.DUMMYFUNCTION("""COMPUTED_VALUE"""),"2.5")</f>
        <v>2.5</v>
      </c>
      <c r="D301" s="35" t="str">
        <f ca="1">IFERROR(__xludf.DUMMYFUNCTION("""COMPUTED_VALUE"""),"Trim 4")</f>
        <v>Trim 4</v>
      </c>
      <c r="E301" s="35"/>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row>
    <row r="302" spans="1:37" ht="30">
      <c r="A302" s="35" t="str">
        <f ca="1">IFERROR(__xludf.DUMMYFUNCTION("""COMPUTED_VALUE"""),"Subdirección de Energía Eléctrica - GIT Convocatorias públicas")</f>
        <v>Subdirección de Energía Eléctrica - GIT Convocatorias públicas</v>
      </c>
      <c r="B302" s="35">
        <f ca="1">IFERROR(__xludf.DUMMYFUNCTION("""COMPUTED_VALUE"""),3)</f>
        <v>3</v>
      </c>
      <c r="C302" s="35" t="str">
        <f ca="1">IFERROR(__xludf.DUMMYFUNCTION("""COMPUTED_VALUE"""),"3.1")</f>
        <v>3.1</v>
      </c>
      <c r="D302" s="35" t="str">
        <f ca="1">IFERROR(__xludf.DUMMYFUNCTION("""COMPUTED_VALUE"""),"Trim 1")</f>
        <v>Trim 1</v>
      </c>
      <c r="E302" s="35"/>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row>
    <row r="303" spans="1:37" ht="30">
      <c r="A303" s="35" t="str">
        <f ca="1">IFERROR(__xludf.DUMMYFUNCTION("""COMPUTED_VALUE"""),"Subdirección de Energía Eléctrica - GIT Convocatorias públicas")</f>
        <v>Subdirección de Energía Eléctrica - GIT Convocatorias públicas</v>
      </c>
      <c r="B303" s="35">
        <f ca="1">IFERROR(__xludf.DUMMYFUNCTION("""COMPUTED_VALUE"""),3)</f>
        <v>3</v>
      </c>
      <c r="C303" s="35" t="str">
        <f ca="1">IFERROR(__xludf.DUMMYFUNCTION("""COMPUTED_VALUE"""),"3.2")</f>
        <v>3.2</v>
      </c>
      <c r="D303" s="35" t="str">
        <f ca="1">IFERROR(__xludf.DUMMYFUNCTION("""COMPUTED_VALUE"""),"Trim 2")</f>
        <v>Trim 2</v>
      </c>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row>
    <row r="304" spans="1:37" ht="30">
      <c r="A304" s="35" t="str">
        <f ca="1">IFERROR(__xludf.DUMMYFUNCTION("""COMPUTED_VALUE"""),"Subdirección de Energía Eléctrica - GIT Convocatorias públicas")</f>
        <v>Subdirección de Energía Eléctrica - GIT Convocatorias públicas</v>
      </c>
      <c r="B304" s="35">
        <f ca="1">IFERROR(__xludf.DUMMYFUNCTION("""COMPUTED_VALUE"""),3)</f>
        <v>3</v>
      </c>
      <c r="C304" s="35" t="str">
        <f ca="1">IFERROR(__xludf.DUMMYFUNCTION("""COMPUTED_VALUE"""),"3.3")</f>
        <v>3.3</v>
      </c>
      <c r="D304" s="35" t="str">
        <f ca="1">IFERROR(__xludf.DUMMYFUNCTION("""COMPUTED_VALUE"""),"Trim 3")</f>
        <v>Trim 3</v>
      </c>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row>
    <row r="305" spans="1:37" ht="30">
      <c r="A305" s="35" t="str">
        <f ca="1">IFERROR(__xludf.DUMMYFUNCTION("""COMPUTED_VALUE"""),"Subdirección de Energía Eléctrica - GIT Convocatorias públicas")</f>
        <v>Subdirección de Energía Eléctrica - GIT Convocatorias públicas</v>
      </c>
      <c r="B305" s="35">
        <f ca="1">IFERROR(__xludf.DUMMYFUNCTION("""COMPUTED_VALUE"""),3)</f>
        <v>3</v>
      </c>
      <c r="C305" s="35" t="str">
        <f ca="1">IFERROR(__xludf.DUMMYFUNCTION("""COMPUTED_VALUE"""),"3.4")</f>
        <v>3.4</v>
      </c>
      <c r="D305" s="35" t="str">
        <f ca="1">IFERROR(__xludf.DUMMYFUNCTION("""COMPUTED_VALUE"""),"Trim 4")</f>
        <v>Trim 4</v>
      </c>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row>
    <row r="306" spans="1:37" ht="30">
      <c r="A306" s="35" t="str">
        <f ca="1">IFERROR(__xludf.DUMMYFUNCTION("""COMPUTED_VALUE"""),"Subdirección de Energía Eléctrica - GIT Convocatorias públicas")</f>
        <v>Subdirección de Energía Eléctrica - GIT Convocatorias públicas</v>
      </c>
      <c r="B306" s="35">
        <f ca="1">IFERROR(__xludf.DUMMYFUNCTION("""COMPUTED_VALUE"""),4)</f>
        <v>4</v>
      </c>
      <c r="C306" s="35" t="str">
        <f ca="1">IFERROR(__xludf.DUMMYFUNCTION("""COMPUTED_VALUE"""),"4.1")</f>
        <v>4.1</v>
      </c>
      <c r="D306" s="35" t="str">
        <f ca="1">IFERROR(__xludf.DUMMYFUNCTION("""COMPUTED_VALUE"""),"Trim 1")</f>
        <v>Trim 1</v>
      </c>
      <c r="E306" s="35"/>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row>
    <row r="307" spans="1:37" ht="30">
      <c r="A307" s="35" t="str">
        <f ca="1">IFERROR(__xludf.DUMMYFUNCTION("""COMPUTED_VALUE"""),"Subdirección de Energía Eléctrica - GIT Convocatorias públicas")</f>
        <v>Subdirección de Energía Eléctrica - GIT Convocatorias públicas</v>
      </c>
      <c r="B307" s="35">
        <f ca="1">IFERROR(__xludf.DUMMYFUNCTION("""COMPUTED_VALUE"""),4)</f>
        <v>4</v>
      </c>
      <c r="C307" s="35" t="str">
        <f ca="1">IFERROR(__xludf.DUMMYFUNCTION("""COMPUTED_VALUE"""),"4.2")</f>
        <v>4.2</v>
      </c>
      <c r="D307" s="35" t="str">
        <f ca="1">IFERROR(__xludf.DUMMYFUNCTION("""COMPUTED_VALUE"""),"Trim 1")</f>
        <v>Trim 1</v>
      </c>
      <c r="E307" s="35"/>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row>
    <row r="308" spans="1:37" ht="30">
      <c r="A308" s="35" t="str">
        <f ca="1">IFERROR(__xludf.DUMMYFUNCTION("""COMPUTED_VALUE"""),"Subdirección de Energía Eléctrica - GIT Convocatorias públicas")</f>
        <v>Subdirección de Energía Eléctrica - GIT Convocatorias públicas</v>
      </c>
      <c r="B308" s="35">
        <f ca="1">IFERROR(__xludf.DUMMYFUNCTION("""COMPUTED_VALUE"""),4)</f>
        <v>4</v>
      </c>
      <c r="C308" s="35" t="str">
        <f ca="1">IFERROR(__xludf.DUMMYFUNCTION("""COMPUTED_VALUE"""),"4.3")</f>
        <v>4.3</v>
      </c>
      <c r="D308" s="35" t="str">
        <f ca="1">IFERROR(__xludf.DUMMYFUNCTION("""COMPUTED_VALUE"""),"Trim 1")</f>
        <v>Trim 1</v>
      </c>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row>
    <row r="309" spans="1:37" ht="30">
      <c r="A309" s="35" t="str">
        <f ca="1">IFERROR(__xludf.DUMMYFUNCTION("""COMPUTED_VALUE"""),"Subdirección de Energía Eléctrica - GIT Convocatorias públicas")</f>
        <v>Subdirección de Energía Eléctrica - GIT Convocatorias públicas</v>
      </c>
      <c r="B309" s="35">
        <f ca="1">IFERROR(__xludf.DUMMYFUNCTION("""COMPUTED_VALUE"""),4)</f>
        <v>4</v>
      </c>
      <c r="C309" s="35" t="str">
        <f ca="1">IFERROR(__xludf.DUMMYFUNCTION("""COMPUTED_VALUE"""),"4.4")</f>
        <v>4.4</v>
      </c>
      <c r="D309" s="35" t="str">
        <f ca="1">IFERROR(__xludf.DUMMYFUNCTION("""COMPUTED_VALUE"""),"Trim 1")</f>
        <v>Trim 1</v>
      </c>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row>
    <row r="310" spans="1:37" ht="30">
      <c r="A310" s="35" t="str">
        <f ca="1">IFERROR(__xludf.DUMMYFUNCTION("""COMPUTED_VALUE"""),"Subdirección de Energía Eléctrica - GIT Convocatorias públicas")</f>
        <v>Subdirección de Energía Eléctrica - GIT Convocatorias públicas</v>
      </c>
      <c r="B310" s="35">
        <f ca="1">IFERROR(__xludf.DUMMYFUNCTION("""COMPUTED_VALUE"""),4)</f>
        <v>4</v>
      </c>
      <c r="C310" s="35" t="str">
        <f ca="1">IFERROR(__xludf.DUMMYFUNCTION("""COMPUTED_VALUE"""),"4.5")</f>
        <v>4.5</v>
      </c>
      <c r="D310" s="35" t="str">
        <f ca="1">IFERROR(__xludf.DUMMYFUNCTION("""COMPUTED_VALUE"""),"Trim 1")</f>
        <v>Trim 1</v>
      </c>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row>
    <row r="311" spans="1:37" ht="30">
      <c r="A311" s="35" t="str">
        <f ca="1">IFERROR(__xludf.DUMMYFUNCTION("""COMPUTED_VALUE"""),"Subdirección de Energía Eléctrica - GIT Convocatorias públicas")</f>
        <v>Subdirección de Energía Eléctrica - GIT Convocatorias públicas</v>
      </c>
      <c r="B311" s="35">
        <f ca="1">IFERROR(__xludf.DUMMYFUNCTION("""COMPUTED_VALUE"""),4)</f>
        <v>4</v>
      </c>
      <c r="C311" s="35" t="str">
        <f ca="1">IFERROR(__xludf.DUMMYFUNCTION("""COMPUTED_VALUE"""),"4.6")</f>
        <v>4.6</v>
      </c>
      <c r="D311" s="35" t="str">
        <f ca="1">IFERROR(__xludf.DUMMYFUNCTION("""COMPUTED_VALUE"""),"Trim 2")</f>
        <v>Trim 2</v>
      </c>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row>
    <row r="312" spans="1:37" ht="30">
      <c r="A312" s="35" t="str">
        <f ca="1">IFERROR(__xludf.DUMMYFUNCTION("""COMPUTED_VALUE"""),"Subdirección de Energía Eléctrica - GIT Convocatorias públicas")</f>
        <v>Subdirección de Energía Eléctrica - GIT Convocatorias públicas</v>
      </c>
      <c r="B312" s="35">
        <f ca="1">IFERROR(__xludf.DUMMYFUNCTION("""COMPUTED_VALUE"""),4)</f>
        <v>4</v>
      </c>
      <c r="C312" s="35" t="str">
        <f ca="1">IFERROR(__xludf.DUMMYFUNCTION("""COMPUTED_VALUE"""),"4.7")</f>
        <v>4.7</v>
      </c>
      <c r="D312" s="35" t="str">
        <f ca="1">IFERROR(__xludf.DUMMYFUNCTION("""COMPUTED_VALUE"""),"Trim 2")</f>
        <v>Trim 2</v>
      </c>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row>
    <row r="313" spans="1:37" ht="30">
      <c r="A313" s="35" t="str">
        <f ca="1">IFERROR(__xludf.DUMMYFUNCTION("""COMPUTED_VALUE"""),"Subdirección de Energía Eléctrica - GIT Convocatorias públicas")</f>
        <v>Subdirección de Energía Eléctrica - GIT Convocatorias públicas</v>
      </c>
      <c r="B313" s="35">
        <f ca="1">IFERROR(__xludf.DUMMYFUNCTION("""COMPUTED_VALUE"""),4)</f>
        <v>4</v>
      </c>
      <c r="C313" s="35" t="str">
        <f ca="1">IFERROR(__xludf.DUMMYFUNCTION("""COMPUTED_VALUE"""),"4.8")</f>
        <v>4.8</v>
      </c>
      <c r="D313" s="35" t="str">
        <f ca="1">IFERROR(__xludf.DUMMYFUNCTION("""COMPUTED_VALUE"""),"Trim 2")</f>
        <v>Trim 2</v>
      </c>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row>
    <row r="314" spans="1:37" ht="30">
      <c r="A314" s="35" t="str">
        <f ca="1">IFERROR(__xludf.DUMMYFUNCTION("""COMPUTED_VALUE"""),"Subdirección de Energía Eléctrica - GIT Convocatorias públicas")</f>
        <v>Subdirección de Energía Eléctrica - GIT Convocatorias públicas</v>
      </c>
      <c r="B314" s="35">
        <f ca="1">IFERROR(__xludf.DUMMYFUNCTION("""COMPUTED_VALUE"""),4)</f>
        <v>4</v>
      </c>
      <c r="C314" s="35" t="str">
        <f ca="1">IFERROR(__xludf.DUMMYFUNCTION("""COMPUTED_VALUE"""),"4.9")</f>
        <v>4.9</v>
      </c>
      <c r="D314" s="35" t="str">
        <f ca="1">IFERROR(__xludf.DUMMYFUNCTION("""COMPUTED_VALUE"""),"Trim 2")</f>
        <v>Trim 2</v>
      </c>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row>
    <row r="315" spans="1:37" ht="30">
      <c r="A315" s="35" t="str">
        <f ca="1">IFERROR(__xludf.DUMMYFUNCTION("""COMPUTED_VALUE"""),"Subdirección de Energía Eléctrica - GIT Convocatorias públicas")</f>
        <v>Subdirección de Energía Eléctrica - GIT Convocatorias públicas</v>
      </c>
      <c r="B315" s="35">
        <f ca="1">IFERROR(__xludf.DUMMYFUNCTION("""COMPUTED_VALUE"""),4)</f>
        <v>4</v>
      </c>
      <c r="C315" s="35" t="str">
        <f ca="1">IFERROR(__xludf.DUMMYFUNCTION("""COMPUTED_VALUE"""),"4.10")</f>
        <v>4.10</v>
      </c>
      <c r="D315" s="35" t="str">
        <f ca="1">IFERROR(__xludf.DUMMYFUNCTION("""COMPUTED_VALUE"""),"Trim 2")</f>
        <v>Trim 2</v>
      </c>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row>
    <row r="316" spans="1:37" ht="30">
      <c r="A316" s="35" t="str">
        <f ca="1">IFERROR(__xludf.DUMMYFUNCTION("""COMPUTED_VALUE"""),"Subdirección de Energía Eléctrica - GIT Convocatorias públicas")</f>
        <v>Subdirección de Energía Eléctrica - GIT Convocatorias públicas</v>
      </c>
      <c r="B316" s="35">
        <f ca="1">IFERROR(__xludf.DUMMYFUNCTION("""COMPUTED_VALUE"""),4)</f>
        <v>4</v>
      </c>
      <c r="C316" s="35" t="str">
        <f ca="1">IFERROR(__xludf.DUMMYFUNCTION("""COMPUTED_VALUE"""),"4.11")</f>
        <v>4.11</v>
      </c>
      <c r="D316" s="35" t="str">
        <f ca="1">IFERROR(__xludf.DUMMYFUNCTION("""COMPUTED_VALUE"""),"Trim 3")</f>
        <v>Trim 3</v>
      </c>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row>
    <row r="317" spans="1:37" ht="30">
      <c r="A317" s="35" t="str">
        <f ca="1">IFERROR(__xludf.DUMMYFUNCTION("""COMPUTED_VALUE"""),"Subdirección de Energía Eléctrica - GIT Convocatorias públicas")</f>
        <v>Subdirección de Energía Eléctrica - GIT Convocatorias públicas</v>
      </c>
      <c r="B317" s="35">
        <f ca="1">IFERROR(__xludf.DUMMYFUNCTION("""COMPUTED_VALUE"""),4)</f>
        <v>4</v>
      </c>
      <c r="C317" s="35" t="str">
        <f ca="1">IFERROR(__xludf.DUMMYFUNCTION("""COMPUTED_VALUE"""),"4.12")</f>
        <v>4.12</v>
      </c>
      <c r="D317" s="35" t="str">
        <f ca="1">IFERROR(__xludf.DUMMYFUNCTION("""COMPUTED_VALUE"""),"Trim 3")</f>
        <v>Trim 3</v>
      </c>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row>
    <row r="318" spans="1:37" ht="30">
      <c r="A318" s="35" t="str">
        <f ca="1">IFERROR(__xludf.DUMMYFUNCTION("""COMPUTED_VALUE"""),"Subdirección de Energía Eléctrica - GIT Convocatorias públicas")</f>
        <v>Subdirección de Energía Eléctrica - GIT Convocatorias públicas</v>
      </c>
      <c r="B318" s="35">
        <f ca="1">IFERROR(__xludf.DUMMYFUNCTION("""COMPUTED_VALUE"""),4)</f>
        <v>4</v>
      </c>
      <c r="C318" s="35" t="str">
        <f ca="1">IFERROR(__xludf.DUMMYFUNCTION("""COMPUTED_VALUE"""),"4.13")</f>
        <v>4.13</v>
      </c>
      <c r="D318" s="35" t="str">
        <f ca="1">IFERROR(__xludf.DUMMYFUNCTION("""COMPUTED_VALUE"""),"Trim 3")</f>
        <v>Trim 3</v>
      </c>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row>
    <row r="319" spans="1:37" ht="30">
      <c r="A319" s="35" t="str">
        <f ca="1">IFERROR(__xludf.DUMMYFUNCTION("""COMPUTED_VALUE"""),"Subdirección de Energía Eléctrica - GIT Convocatorias públicas")</f>
        <v>Subdirección de Energía Eléctrica - GIT Convocatorias públicas</v>
      </c>
      <c r="B319" s="35">
        <f ca="1">IFERROR(__xludf.DUMMYFUNCTION("""COMPUTED_VALUE"""),4)</f>
        <v>4</v>
      </c>
      <c r="C319" s="35" t="str">
        <f ca="1">IFERROR(__xludf.DUMMYFUNCTION("""COMPUTED_VALUE"""),"4.14")</f>
        <v>4.14</v>
      </c>
      <c r="D319" s="35" t="str">
        <f ca="1">IFERROR(__xludf.DUMMYFUNCTION("""COMPUTED_VALUE"""),"Trim 3")</f>
        <v>Trim 3</v>
      </c>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row>
    <row r="320" spans="1:37" ht="30">
      <c r="A320" s="35" t="str">
        <f ca="1">IFERROR(__xludf.DUMMYFUNCTION("""COMPUTED_VALUE"""),"Subdirección de Energía Eléctrica - GIT Convocatorias públicas")</f>
        <v>Subdirección de Energía Eléctrica - GIT Convocatorias públicas</v>
      </c>
      <c r="B320" s="35">
        <f ca="1">IFERROR(__xludf.DUMMYFUNCTION("""COMPUTED_VALUE"""),4)</f>
        <v>4</v>
      </c>
      <c r="C320" s="35" t="str">
        <f ca="1">IFERROR(__xludf.DUMMYFUNCTION("""COMPUTED_VALUE"""),"4.15")</f>
        <v>4.15</v>
      </c>
      <c r="D320" s="35" t="str">
        <f ca="1">IFERROR(__xludf.DUMMYFUNCTION("""COMPUTED_VALUE"""),"Trim 3")</f>
        <v>Trim 3</v>
      </c>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row>
    <row r="321" spans="1:37" ht="30">
      <c r="A321" s="35" t="str">
        <f ca="1">IFERROR(__xludf.DUMMYFUNCTION("""COMPUTED_VALUE"""),"Subdirección de Energía Eléctrica - GIT Convocatorias públicas")</f>
        <v>Subdirección de Energía Eléctrica - GIT Convocatorias públicas</v>
      </c>
      <c r="B321" s="35">
        <f ca="1">IFERROR(__xludf.DUMMYFUNCTION("""COMPUTED_VALUE"""),4)</f>
        <v>4</v>
      </c>
      <c r="C321" s="35" t="str">
        <f ca="1">IFERROR(__xludf.DUMMYFUNCTION("""COMPUTED_VALUE"""),"4.16")</f>
        <v>4.16</v>
      </c>
      <c r="D321" s="35" t="str">
        <f ca="1">IFERROR(__xludf.DUMMYFUNCTION("""COMPUTED_VALUE"""),"Trim 4")</f>
        <v>Trim 4</v>
      </c>
      <c r="E321" s="35"/>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row>
    <row r="322" spans="1:37" ht="30">
      <c r="A322" s="35" t="str">
        <f ca="1">IFERROR(__xludf.DUMMYFUNCTION("""COMPUTED_VALUE"""),"Subdirección de Energía Eléctrica - GIT Convocatorias públicas")</f>
        <v>Subdirección de Energía Eléctrica - GIT Convocatorias públicas</v>
      </c>
      <c r="B322" s="35">
        <f ca="1">IFERROR(__xludf.DUMMYFUNCTION("""COMPUTED_VALUE"""),4)</f>
        <v>4</v>
      </c>
      <c r="C322" s="35" t="str">
        <f ca="1">IFERROR(__xludf.DUMMYFUNCTION("""COMPUTED_VALUE"""),"4.17")</f>
        <v>4.17</v>
      </c>
      <c r="D322" s="35" t="str">
        <f ca="1">IFERROR(__xludf.DUMMYFUNCTION("""COMPUTED_VALUE"""),"Trim 4")</f>
        <v>Trim 4</v>
      </c>
      <c r="E322" s="35"/>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row>
    <row r="323" spans="1:37" ht="30">
      <c r="A323" s="35" t="str">
        <f ca="1">IFERROR(__xludf.DUMMYFUNCTION("""COMPUTED_VALUE"""),"Subdirección de Energía Eléctrica - GIT Convocatorias públicas")</f>
        <v>Subdirección de Energía Eléctrica - GIT Convocatorias públicas</v>
      </c>
      <c r="B323" s="35">
        <f ca="1">IFERROR(__xludf.DUMMYFUNCTION("""COMPUTED_VALUE"""),4)</f>
        <v>4</v>
      </c>
      <c r="C323" s="35" t="str">
        <f ca="1">IFERROR(__xludf.DUMMYFUNCTION("""COMPUTED_VALUE"""),"4.18")</f>
        <v>4.18</v>
      </c>
      <c r="D323" s="35" t="str">
        <f ca="1">IFERROR(__xludf.DUMMYFUNCTION("""COMPUTED_VALUE"""),"Trim 4")</f>
        <v>Trim 4</v>
      </c>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row>
    <row r="324" spans="1:37" ht="30">
      <c r="A324" s="35" t="str">
        <f ca="1">IFERROR(__xludf.DUMMYFUNCTION("""COMPUTED_VALUE"""),"Subdirección de Energía Eléctrica - GIT Convocatorias públicas")</f>
        <v>Subdirección de Energía Eléctrica - GIT Convocatorias públicas</v>
      </c>
      <c r="B324" s="35">
        <f ca="1">IFERROR(__xludf.DUMMYFUNCTION("""COMPUTED_VALUE"""),4)</f>
        <v>4</v>
      </c>
      <c r="C324" s="35" t="str">
        <f ca="1">IFERROR(__xludf.DUMMYFUNCTION("""COMPUTED_VALUE"""),"4.19")</f>
        <v>4.19</v>
      </c>
      <c r="D324" s="35" t="str">
        <f ca="1">IFERROR(__xludf.DUMMYFUNCTION("""COMPUTED_VALUE"""),"Trim 4")</f>
        <v>Trim 4</v>
      </c>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row>
    <row r="325" spans="1:37" ht="30">
      <c r="A325" s="35" t="str">
        <f ca="1">IFERROR(__xludf.DUMMYFUNCTION("""COMPUTED_VALUE"""),"Subdirección de Energía Eléctrica - GIT Convocatorias públicas")</f>
        <v>Subdirección de Energía Eléctrica - GIT Convocatorias públicas</v>
      </c>
      <c r="B325" s="35">
        <f ca="1">IFERROR(__xludf.DUMMYFUNCTION("""COMPUTED_VALUE"""),4)</f>
        <v>4</v>
      </c>
      <c r="C325" s="35" t="str">
        <f ca="1">IFERROR(__xludf.DUMMYFUNCTION("""COMPUTED_VALUE"""),"4.20")</f>
        <v>4.20</v>
      </c>
      <c r="D325" s="35" t="str">
        <f ca="1">IFERROR(__xludf.DUMMYFUNCTION("""COMPUTED_VALUE"""),"Trim 4")</f>
        <v>Trim 4</v>
      </c>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row>
    <row r="326" spans="1:37" ht="30">
      <c r="A326" s="35" t="str">
        <f ca="1">IFERROR(__xludf.DUMMYFUNCTION("""COMPUTED_VALUE"""),"Subdirección de Energía Eléctrica - GIT Convocatorias públicas")</f>
        <v>Subdirección de Energía Eléctrica - GIT Convocatorias públicas</v>
      </c>
      <c r="B326" s="35">
        <f ca="1">IFERROR(__xludf.DUMMYFUNCTION("""COMPUTED_VALUE"""),5)</f>
        <v>5</v>
      </c>
      <c r="C326" s="35" t="str">
        <f ca="1">IFERROR(__xludf.DUMMYFUNCTION("""COMPUTED_VALUE"""),"5.1")</f>
        <v>5.1</v>
      </c>
      <c r="D326" s="35" t="str">
        <f ca="1">IFERROR(__xludf.DUMMYFUNCTION("""COMPUTED_VALUE"""),"Trim 1")</f>
        <v>Trim 1</v>
      </c>
      <c r="E326" s="35"/>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row>
    <row r="327" spans="1:37" ht="30">
      <c r="A327" s="35" t="str">
        <f ca="1">IFERROR(__xludf.DUMMYFUNCTION("""COMPUTED_VALUE"""),"Subdirección de Energía Eléctrica - GIT Convocatorias públicas")</f>
        <v>Subdirección de Energía Eléctrica - GIT Convocatorias públicas</v>
      </c>
      <c r="B327" s="35">
        <f ca="1">IFERROR(__xludf.DUMMYFUNCTION("""COMPUTED_VALUE"""),5)</f>
        <v>5</v>
      </c>
      <c r="C327" s="35" t="str">
        <f ca="1">IFERROR(__xludf.DUMMYFUNCTION("""COMPUTED_VALUE"""),"5.2")</f>
        <v>5.2</v>
      </c>
      <c r="D327" s="35" t="str">
        <f ca="1">IFERROR(__xludf.DUMMYFUNCTION("""COMPUTED_VALUE"""),"Trim 1")</f>
        <v>Trim 1</v>
      </c>
      <c r="E327" s="35"/>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row>
    <row r="328" spans="1:37" ht="30">
      <c r="A328" s="35" t="str">
        <f ca="1">IFERROR(__xludf.DUMMYFUNCTION("""COMPUTED_VALUE"""),"Subdirección de Energía Eléctrica - GIT Convocatorias públicas")</f>
        <v>Subdirección de Energía Eléctrica - GIT Convocatorias públicas</v>
      </c>
      <c r="B328" s="35">
        <f ca="1">IFERROR(__xludf.DUMMYFUNCTION("""COMPUTED_VALUE"""),5)</f>
        <v>5</v>
      </c>
      <c r="C328" s="35" t="str">
        <f ca="1">IFERROR(__xludf.DUMMYFUNCTION("""COMPUTED_VALUE"""),"5.3")</f>
        <v>5.3</v>
      </c>
      <c r="D328" s="35" t="str">
        <f ca="1">IFERROR(__xludf.DUMMYFUNCTION("""COMPUTED_VALUE"""),"Trim 2")</f>
        <v>Trim 2</v>
      </c>
      <c r="E328" s="35"/>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row>
    <row r="329" spans="1:37" ht="30">
      <c r="A329" s="35" t="str">
        <f ca="1">IFERROR(__xludf.DUMMYFUNCTION("""COMPUTED_VALUE"""),"Subdirección de Energía Eléctrica - GIT Convocatorias públicas")</f>
        <v>Subdirección de Energía Eléctrica - GIT Convocatorias públicas</v>
      </c>
      <c r="B329" s="35">
        <f ca="1">IFERROR(__xludf.DUMMYFUNCTION("""COMPUTED_VALUE"""),5)</f>
        <v>5</v>
      </c>
      <c r="C329" s="35" t="str">
        <f ca="1">IFERROR(__xludf.DUMMYFUNCTION("""COMPUTED_VALUE"""),"5.4")</f>
        <v>5.4</v>
      </c>
      <c r="D329" s="35" t="str">
        <f ca="1">IFERROR(__xludf.DUMMYFUNCTION("""COMPUTED_VALUE"""),"Trim 2")</f>
        <v>Trim 2</v>
      </c>
      <c r="E329" s="35"/>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row>
    <row r="330" spans="1:37" ht="30">
      <c r="A330" s="35" t="str">
        <f ca="1">IFERROR(__xludf.DUMMYFUNCTION("""COMPUTED_VALUE"""),"Subdirección de Energía Eléctrica - GIT Convocatorias públicas")</f>
        <v>Subdirección de Energía Eléctrica - GIT Convocatorias públicas</v>
      </c>
      <c r="B330" s="35">
        <f ca="1">IFERROR(__xludf.DUMMYFUNCTION("""COMPUTED_VALUE"""),5)</f>
        <v>5</v>
      </c>
      <c r="C330" s="35" t="str">
        <f ca="1">IFERROR(__xludf.DUMMYFUNCTION("""COMPUTED_VALUE"""),"5.5")</f>
        <v>5.5</v>
      </c>
      <c r="D330" s="35" t="str">
        <f ca="1">IFERROR(__xludf.DUMMYFUNCTION("""COMPUTED_VALUE"""),"Trim 3")</f>
        <v>Trim 3</v>
      </c>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row>
    <row r="331" spans="1:37" ht="30">
      <c r="A331" s="35" t="str">
        <f ca="1">IFERROR(__xludf.DUMMYFUNCTION("""COMPUTED_VALUE"""),"Subdirección de Energía Eléctrica - GIT Convocatorias públicas")</f>
        <v>Subdirección de Energía Eléctrica - GIT Convocatorias públicas</v>
      </c>
      <c r="B331" s="35">
        <f ca="1">IFERROR(__xludf.DUMMYFUNCTION("""COMPUTED_VALUE"""),5)</f>
        <v>5</v>
      </c>
      <c r="C331" s="35" t="str">
        <f ca="1">IFERROR(__xludf.DUMMYFUNCTION("""COMPUTED_VALUE"""),"5.6")</f>
        <v>5.6</v>
      </c>
      <c r="D331" s="35" t="str">
        <f ca="1">IFERROR(__xludf.DUMMYFUNCTION("""COMPUTED_VALUE"""),"Trim 3")</f>
        <v>Trim 3</v>
      </c>
      <c r="E331" s="35"/>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row>
    <row r="332" spans="1:37" ht="30">
      <c r="A332" s="35" t="str">
        <f ca="1">IFERROR(__xludf.DUMMYFUNCTION("""COMPUTED_VALUE"""),"Subdirección de Energía Eléctrica - GIT Convocatorias públicas")</f>
        <v>Subdirección de Energía Eléctrica - GIT Convocatorias públicas</v>
      </c>
      <c r="B332" s="35">
        <f ca="1">IFERROR(__xludf.DUMMYFUNCTION("""COMPUTED_VALUE"""),5)</f>
        <v>5</v>
      </c>
      <c r="C332" s="35" t="str">
        <f ca="1">IFERROR(__xludf.DUMMYFUNCTION("""COMPUTED_VALUE"""),"5.7")</f>
        <v>5.7</v>
      </c>
      <c r="D332" s="35" t="str">
        <f ca="1">IFERROR(__xludf.DUMMYFUNCTION("""COMPUTED_VALUE"""),"Trim 4")</f>
        <v>Trim 4</v>
      </c>
      <c r="E332" s="35"/>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row>
    <row r="333" spans="1:37" ht="30">
      <c r="A333" s="35" t="str">
        <f ca="1">IFERROR(__xludf.DUMMYFUNCTION("""COMPUTED_VALUE"""),"Subdirección de Energía Eléctrica - GIT Convocatorias públicas")</f>
        <v>Subdirección de Energía Eléctrica - GIT Convocatorias públicas</v>
      </c>
      <c r="B333" s="35">
        <f ca="1">IFERROR(__xludf.DUMMYFUNCTION("""COMPUTED_VALUE"""),5)</f>
        <v>5</v>
      </c>
      <c r="C333" s="35" t="str">
        <f ca="1">IFERROR(__xludf.DUMMYFUNCTION("""COMPUTED_VALUE"""),"5.8")</f>
        <v>5.8</v>
      </c>
      <c r="D333" s="35" t="str">
        <f ca="1">IFERROR(__xludf.DUMMYFUNCTION("""COMPUTED_VALUE"""),"Trim 4")</f>
        <v>Trim 4</v>
      </c>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row>
    <row r="334" spans="1:37" ht="30">
      <c r="A334" s="35" t="str">
        <f ca="1">IFERROR(__xludf.DUMMYFUNCTION("""COMPUTED_VALUE"""),"Subdirección de Energía Eléctrica - GIT Transmisión")</f>
        <v>Subdirección de Energía Eléctrica - GIT Transmisión</v>
      </c>
      <c r="B334" s="35">
        <f ca="1">IFERROR(__xludf.DUMMYFUNCTION("""COMPUTED_VALUE"""),1)</f>
        <v>1</v>
      </c>
      <c r="C334" s="35" t="str">
        <f ca="1">IFERROR(__xludf.DUMMYFUNCTION("""COMPUTED_VALUE"""),"1.1")</f>
        <v>1.1</v>
      </c>
      <c r="D334" s="35" t="str">
        <f ca="1">IFERROR(__xludf.DUMMYFUNCTION("""COMPUTED_VALUE"""),"Trim 1")</f>
        <v>Trim 1</v>
      </c>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row>
    <row r="335" spans="1:37" ht="30">
      <c r="A335" s="35" t="str">
        <f ca="1">IFERROR(__xludf.DUMMYFUNCTION("""COMPUTED_VALUE"""),"Subdirección de Energía Eléctrica - GIT Transmisión")</f>
        <v>Subdirección de Energía Eléctrica - GIT Transmisión</v>
      </c>
      <c r="B335" s="35">
        <f ca="1">IFERROR(__xludf.DUMMYFUNCTION("""COMPUTED_VALUE"""),1)</f>
        <v>1</v>
      </c>
      <c r="C335" s="35" t="str">
        <f ca="1">IFERROR(__xludf.DUMMYFUNCTION("""COMPUTED_VALUE"""),"1.2")</f>
        <v>1.2</v>
      </c>
      <c r="D335" s="35" t="str">
        <f ca="1">IFERROR(__xludf.DUMMYFUNCTION("""COMPUTED_VALUE"""),"Trim 2")</f>
        <v>Trim 2</v>
      </c>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row>
    <row r="336" spans="1:37" ht="30">
      <c r="A336" s="35" t="str">
        <f ca="1">IFERROR(__xludf.DUMMYFUNCTION("""COMPUTED_VALUE"""),"Subdirección de Energía Eléctrica - GIT Transmisión")</f>
        <v>Subdirección de Energía Eléctrica - GIT Transmisión</v>
      </c>
      <c r="B336" s="35">
        <f ca="1">IFERROR(__xludf.DUMMYFUNCTION("""COMPUTED_VALUE"""),1)</f>
        <v>1</v>
      </c>
      <c r="C336" s="35" t="str">
        <f ca="1">IFERROR(__xludf.DUMMYFUNCTION("""COMPUTED_VALUE"""),"1.3")</f>
        <v>1.3</v>
      </c>
      <c r="D336" s="35" t="str">
        <f ca="1">IFERROR(__xludf.DUMMYFUNCTION("""COMPUTED_VALUE"""),"Trim 3")</f>
        <v>Trim 3</v>
      </c>
      <c r="E336" s="35"/>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row>
    <row r="337" spans="1:37" ht="30">
      <c r="A337" s="35" t="str">
        <f ca="1">IFERROR(__xludf.DUMMYFUNCTION("""COMPUTED_VALUE"""),"Subdirección de Energía Eléctrica - GIT Transmisión")</f>
        <v>Subdirección de Energía Eléctrica - GIT Transmisión</v>
      </c>
      <c r="B337" s="35">
        <f ca="1">IFERROR(__xludf.DUMMYFUNCTION("""COMPUTED_VALUE"""),1)</f>
        <v>1</v>
      </c>
      <c r="C337" s="35" t="str">
        <f ca="1">IFERROR(__xludf.DUMMYFUNCTION("""COMPUTED_VALUE"""),"1.3")</f>
        <v>1.3</v>
      </c>
      <c r="D337" s="35" t="str">
        <f ca="1">IFERROR(__xludf.DUMMYFUNCTION("""COMPUTED_VALUE"""),"Trim 3")</f>
        <v>Trim 3</v>
      </c>
      <c r="E337" s="35"/>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row>
    <row r="338" spans="1:37" ht="30">
      <c r="A338" s="35" t="str">
        <f ca="1">IFERROR(__xludf.DUMMYFUNCTION("""COMPUTED_VALUE"""),"Subdirección de Energía Eléctrica - GIT Transmisión")</f>
        <v>Subdirección de Energía Eléctrica - GIT Transmisión</v>
      </c>
      <c r="B338" s="35">
        <f ca="1">IFERROR(__xludf.DUMMYFUNCTION("""COMPUTED_VALUE"""),1)</f>
        <v>1</v>
      </c>
      <c r="C338" s="35" t="str">
        <f ca="1">IFERROR(__xludf.DUMMYFUNCTION("""COMPUTED_VALUE"""),"1.4")</f>
        <v>1.4</v>
      </c>
      <c r="D338" s="35" t="str">
        <f ca="1">IFERROR(__xludf.DUMMYFUNCTION("""COMPUTED_VALUE"""),"Trim 4")</f>
        <v>Trim 4</v>
      </c>
      <c r="E338" s="35"/>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row>
    <row r="339" spans="1:37" ht="30">
      <c r="A339" s="35" t="str">
        <f ca="1">IFERROR(__xludf.DUMMYFUNCTION("""COMPUTED_VALUE"""),"Subdirección de Energía Eléctrica - GIT Transmisión")</f>
        <v>Subdirección de Energía Eléctrica - GIT Transmisión</v>
      </c>
      <c r="B339" s="35">
        <f ca="1">IFERROR(__xludf.DUMMYFUNCTION("""COMPUTED_VALUE"""),1)</f>
        <v>1</v>
      </c>
      <c r="C339" s="35" t="str">
        <f ca="1">IFERROR(__xludf.DUMMYFUNCTION("""COMPUTED_VALUE"""),"1.5")</f>
        <v>1.5</v>
      </c>
      <c r="D339" s="35" t="str">
        <f ca="1">IFERROR(__xludf.DUMMYFUNCTION("""COMPUTED_VALUE"""),"Trim 4")</f>
        <v>Trim 4</v>
      </c>
      <c r="E339" s="35"/>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row>
    <row r="340" spans="1:37" ht="30">
      <c r="A340" s="35" t="str">
        <f ca="1">IFERROR(__xludf.DUMMYFUNCTION("""COMPUTED_VALUE"""),"Subdirección de Energía Eléctrica - GIT Transmisión")</f>
        <v>Subdirección de Energía Eléctrica - GIT Transmisión</v>
      </c>
      <c r="B340" s="35">
        <f ca="1">IFERROR(__xludf.DUMMYFUNCTION("""COMPUTED_VALUE"""),1)</f>
        <v>1</v>
      </c>
      <c r="C340" s="35" t="str">
        <f ca="1">IFERROR(__xludf.DUMMYFUNCTION("""COMPUTED_VALUE"""),"1.6")</f>
        <v>1.6</v>
      </c>
      <c r="D340" s="35" t="str">
        <f ca="1">IFERROR(__xludf.DUMMYFUNCTION("""COMPUTED_VALUE"""),"Trim 4")</f>
        <v>Trim 4</v>
      </c>
      <c r="E340" s="35"/>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row>
    <row r="341" spans="1:37" ht="30">
      <c r="A341" s="35" t="str">
        <f ca="1">IFERROR(__xludf.DUMMYFUNCTION("""COMPUTED_VALUE"""),"Subdirección de Energía Eléctrica - GIT Transmisión")</f>
        <v>Subdirección de Energía Eléctrica - GIT Transmisión</v>
      </c>
      <c r="B341" s="35">
        <f ca="1">IFERROR(__xludf.DUMMYFUNCTION("""COMPUTED_VALUE"""),2)</f>
        <v>2</v>
      </c>
      <c r="C341" s="35" t="str">
        <f ca="1">IFERROR(__xludf.DUMMYFUNCTION("""COMPUTED_VALUE"""),"2.1")</f>
        <v>2.1</v>
      </c>
      <c r="D341" s="35" t="str">
        <f ca="1">IFERROR(__xludf.DUMMYFUNCTION("""COMPUTED_VALUE"""),"Trim 1")</f>
        <v>Trim 1</v>
      </c>
      <c r="E341" s="35"/>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row>
    <row r="342" spans="1:37" ht="30">
      <c r="A342" s="35" t="str">
        <f ca="1">IFERROR(__xludf.DUMMYFUNCTION("""COMPUTED_VALUE"""),"Subdirección de Energía Eléctrica - GIT Transmisión")</f>
        <v>Subdirección de Energía Eléctrica - GIT Transmisión</v>
      </c>
      <c r="B342" s="35">
        <f ca="1">IFERROR(__xludf.DUMMYFUNCTION("""COMPUTED_VALUE"""),2)</f>
        <v>2</v>
      </c>
      <c r="C342" s="35" t="str">
        <f ca="1">IFERROR(__xludf.DUMMYFUNCTION("""COMPUTED_VALUE"""),"2.2")</f>
        <v>2.2</v>
      </c>
      <c r="D342" s="35" t="str">
        <f ca="1">IFERROR(__xludf.DUMMYFUNCTION("""COMPUTED_VALUE"""),"Trim 2")</f>
        <v>Trim 2</v>
      </c>
      <c r="E342" s="35"/>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row>
    <row r="343" spans="1:37" ht="30">
      <c r="A343" s="35" t="str">
        <f ca="1">IFERROR(__xludf.DUMMYFUNCTION("""COMPUTED_VALUE"""),"Subdirección de Energía Eléctrica - GIT Transmisión")</f>
        <v>Subdirección de Energía Eléctrica - GIT Transmisión</v>
      </c>
      <c r="B343" s="35">
        <f ca="1">IFERROR(__xludf.DUMMYFUNCTION("""COMPUTED_VALUE"""),2)</f>
        <v>2</v>
      </c>
      <c r="C343" s="35" t="str">
        <f ca="1">IFERROR(__xludf.DUMMYFUNCTION("""COMPUTED_VALUE"""),"2.3")</f>
        <v>2.3</v>
      </c>
      <c r="D343" s="35" t="str">
        <f ca="1">IFERROR(__xludf.DUMMYFUNCTION("""COMPUTED_VALUE"""),"Trim 3")</f>
        <v>Trim 3</v>
      </c>
      <c r="E343" s="35"/>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row>
    <row r="344" spans="1:37" ht="30">
      <c r="A344" s="35" t="str">
        <f ca="1">IFERROR(__xludf.DUMMYFUNCTION("""COMPUTED_VALUE"""),"Subdirección de Energía Eléctrica - GIT Transmisión")</f>
        <v>Subdirección de Energía Eléctrica - GIT Transmisión</v>
      </c>
      <c r="B344" s="35">
        <f ca="1">IFERROR(__xludf.DUMMYFUNCTION("""COMPUTED_VALUE"""),2)</f>
        <v>2</v>
      </c>
      <c r="C344" s="35" t="str">
        <f ca="1">IFERROR(__xludf.DUMMYFUNCTION("""COMPUTED_VALUE"""),"2.4")</f>
        <v>2.4</v>
      </c>
      <c r="D344" s="35" t="str">
        <f ca="1">IFERROR(__xludf.DUMMYFUNCTION("""COMPUTED_VALUE"""),"Trim 4")</f>
        <v>Trim 4</v>
      </c>
      <c r="E344" s="35"/>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row>
    <row r="345" spans="1:37" ht="30">
      <c r="A345" s="35" t="str">
        <f ca="1">IFERROR(__xludf.DUMMYFUNCTION("""COMPUTED_VALUE"""),"Subdirección de Energía Eléctrica - GIT Transmisión")</f>
        <v>Subdirección de Energía Eléctrica - GIT Transmisión</v>
      </c>
      <c r="B345" s="35">
        <f ca="1">IFERROR(__xludf.DUMMYFUNCTION("""COMPUTED_VALUE"""),2)</f>
        <v>2</v>
      </c>
      <c r="C345" s="35" t="str">
        <f ca="1">IFERROR(__xludf.DUMMYFUNCTION("""COMPUTED_VALUE"""),"2.5")</f>
        <v>2.5</v>
      </c>
      <c r="D345" s="35" t="str">
        <f ca="1">IFERROR(__xludf.DUMMYFUNCTION("""COMPUTED_VALUE"""),"Trim 1")</f>
        <v>Trim 1</v>
      </c>
      <c r="E345" s="35"/>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row>
    <row r="346" spans="1:37" ht="30">
      <c r="A346" s="35" t="str">
        <f ca="1">IFERROR(__xludf.DUMMYFUNCTION("""COMPUTED_VALUE"""),"Subdirección de Energía Eléctrica - GIT Transmisión")</f>
        <v>Subdirección de Energía Eléctrica - GIT Transmisión</v>
      </c>
      <c r="B346" s="35">
        <f ca="1">IFERROR(__xludf.DUMMYFUNCTION("""COMPUTED_VALUE"""),2)</f>
        <v>2</v>
      </c>
      <c r="C346" s="35" t="str">
        <f ca="1">IFERROR(__xludf.DUMMYFUNCTION("""COMPUTED_VALUE"""),"2.6")</f>
        <v>2.6</v>
      </c>
      <c r="D346" s="35" t="str">
        <f ca="1">IFERROR(__xludf.DUMMYFUNCTION("""COMPUTED_VALUE"""),"Trim 2")</f>
        <v>Trim 2</v>
      </c>
      <c r="E346" s="35"/>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row>
    <row r="347" spans="1:37" ht="30">
      <c r="A347" s="35" t="str">
        <f ca="1">IFERROR(__xludf.DUMMYFUNCTION("""COMPUTED_VALUE"""),"Subdirección de Energía Eléctrica - GIT Transmisión")</f>
        <v>Subdirección de Energía Eléctrica - GIT Transmisión</v>
      </c>
      <c r="B347" s="35">
        <f ca="1">IFERROR(__xludf.DUMMYFUNCTION("""COMPUTED_VALUE"""),2)</f>
        <v>2</v>
      </c>
      <c r="C347" s="35" t="str">
        <f ca="1">IFERROR(__xludf.DUMMYFUNCTION("""COMPUTED_VALUE"""),"2.7")</f>
        <v>2.7</v>
      </c>
      <c r="D347" s="35" t="str">
        <f ca="1">IFERROR(__xludf.DUMMYFUNCTION("""COMPUTED_VALUE"""),"Trim 3")</f>
        <v>Trim 3</v>
      </c>
      <c r="E347" s="35"/>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row>
    <row r="348" spans="1:37" ht="30">
      <c r="A348" s="35" t="str">
        <f ca="1">IFERROR(__xludf.DUMMYFUNCTION("""COMPUTED_VALUE"""),"Subdirección de Energía Eléctrica - GIT Transmisión")</f>
        <v>Subdirección de Energía Eléctrica - GIT Transmisión</v>
      </c>
      <c r="B348" s="35">
        <f ca="1">IFERROR(__xludf.DUMMYFUNCTION("""COMPUTED_VALUE"""),2)</f>
        <v>2</v>
      </c>
      <c r="C348" s="35" t="str">
        <f ca="1">IFERROR(__xludf.DUMMYFUNCTION("""COMPUTED_VALUE"""),"2.8")</f>
        <v>2.8</v>
      </c>
      <c r="D348" s="35" t="str">
        <f ca="1">IFERROR(__xludf.DUMMYFUNCTION("""COMPUTED_VALUE"""),"Trim 4")</f>
        <v>Trim 4</v>
      </c>
      <c r="E348" s="35"/>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row>
    <row r="349" spans="1:37" ht="30">
      <c r="A349" s="35" t="str">
        <f ca="1">IFERROR(__xludf.DUMMYFUNCTION("""COMPUTED_VALUE"""),"Subdirección de Energía Eléctrica - GIT Transmisión")</f>
        <v>Subdirección de Energía Eléctrica - GIT Transmisión</v>
      </c>
      <c r="B349" s="35">
        <f ca="1">IFERROR(__xludf.DUMMYFUNCTION("""COMPUTED_VALUE"""),2)</f>
        <v>2</v>
      </c>
      <c r="C349" s="35" t="str">
        <f ca="1">IFERROR(__xludf.DUMMYFUNCTION("""COMPUTED_VALUE"""),"2.9")</f>
        <v>2.9</v>
      </c>
      <c r="D349" s="35" t="str">
        <f ca="1">IFERROR(__xludf.DUMMYFUNCTION("""COMPUTED_VALUE"""),"Trim 1")</f>
        <v>Trim 1</v>
      </c>
      <c r="E349" s="35"/>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row>
    <row r="350" spans="1:37" ht="30">
      <c r="A350" s="35" t="str">
        <f ca="1">IFERROR(__xludf.DUMMYFUNCTION("""COMPUTED_VALUE"""),"Subdirección de Energía Eléctrica - GIT Transmisión")</f>
        <v>Subdirección de Energía Eléctrica - GIT Transmisión</v>
      </c>
      <c r="B350" s="35">
        <f ca="1">IFERROR(__xludf.DUMMYFUNCTION("""COMPUTED_VALUE"""),2)</f>
        <v>2</v>
      </c>
      <c r="C350" s="35" t="str">
        <f ca="1">IFERROR(__xludf.DUMMYFUNCTION("""COMPUTED_VALUE"""),"2.10")</f>
        <v>2.10</v>
      </c>
      <c r="D350" s="35" t="str">
        <f ca="1">IFERROR(__xludf.DUMMYFUNCTION("""COMPUTED_VALUE"""),"Trim 2")</f>
        <v>Trim 2</v>
      </c>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row>
    <row r="351" spans="1:37" ht="30">
      <c r="A351" s="35" t="str">
        <f ca="1">IFERROR(__xludf.DUMMYFUNCTION("""COMPUTED_VALUE"""),"Subdirección de Energía Eléctrica - GIT Transmisión")</f>
        <v>Subdirección de Energía Eléctrica - GIT Transmisión</v>
      </c>
      <c r="B351" s="35">
        <f ca="1">IFERROR(__xludf.DUMMYFUNCTION("""COMPUTED_VALUE"""),2)</f>
        <v>2</v>
      </c>
      <c r="C351" s="35" t="str">
        <f ca="1">IFERROR(__xludf.DUMMYFUNCTION("""COMPUTED_VALUE"""),"2.11")</f>
        <v>2.11</v>
      </c>
      <c r="D351" s="35" t="str">
        <f ca="1">IFERROR(__xludf.DUMMYFUNCTION("""COMPUTED_VALUE"""),"Trim 3")</f>
        <v>Trim 3</v>
      </c>
      <c r="E351" s="35"/>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row>
    <row r="352" spans="1:37" ht="30">
      <c r="A352" s="35" t="str">
        <f ca="1">IFERROR(__xludf.DUMMYFUNCTION("""COMPUTED_VALUE"""),"Subdirección de Energía Eléctrica - GIT Transmisión")</f>
        <v>Subdirección de Energía Eléctrica - GIT Transmisión</v>
      </c>
      <c r="B352" s="35">
        <f ca="1">IFERROR(__xludf.DUMMYFUNCTION("""COMPUTED_VALUE"""),2)</f>
        <v>2</v>
      </c>
      <c r="C352" s="35" t="str">
        <f ca="1">IFERROR(__xludf.DUMMYFUNCTION("""COMPUTED_VALUE"""),"2.12")</f>
        <v>2.12</v>
      </c>
      <c r="D352" s="35" t="str">
        <f ca="1">IFERROR(__xludf.DUMMYFUNCTION("""COMPUTED_VALUE"""),"Trim 4")</f>
        <v>Trim 4</v>
      </c>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row>
    <row r="353" spans="1:37" ht="30">
      <c r="A353" s="35" t="str">
        <f ca="1">IFERROR(__xludf.DUMMYFUNCTION("""COMPUTED_VALUE"""),"Subdirección de Energía Eléctrica - GIT Transmisión")</f>
        <v>Subdirección de Energía Eléctrica - GIT Transmisión</v>
      </c>
      <c r="B353" s="35">
        <f ca="1">IFERROR(__xludf.DUMMYFUNCTION("""COMPUTED_VALUE"""),2)</f>
        <v>2</v>
      </c>
      <c r="C353" s="35" t="str">
        <f ca="1">IFERROR(__xludf.DUMMYFUNCTION("""COMPUTED_VALUE"""),"2.13")</f>
        <v>2.13</v>
      </c>
      <c r="D353" s="35" t="str">
        <f ca="1">IFERROR(__xludf.DUMMYFUNCTION("""COMPUTED_VALUE"""),"Trim 1")</f>
        <v>Trim 1</v>
      </c>
      <c r="E353" s="35"/>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row>
    <row r="354" spans="1:37" ht="30">
      <c r="A354" s="35" t="str">
        <f ca="1">IFERROR(__xludf.DUMMYFUNCTION("""COMPUTED_VALUE"""),"Subdirección de Energía Eléctrica - GIT Transmisión")</f>
        <v>Subdirección de Energía Eléctrica - GIT Transmisión</v>
      </c>
      <c r="B354" s="35">
        <f ca="1">IFERROR(__xludf.DUMMYFUNCTION("""COMPUTED_VALUE"""),2)</f>
        <v>2</v>
      </c>
      <c r="C354" s="35" t="str">
        <f ca="1">IFERROR(__xludf.DUMMYFUNCTION("""COMPUTED_VALUE"""),"2.14")</f>
        <v>2.14</v>
      </c>
      <c r="D354" s="35" t="str">
        <f ca="1">IFERROR(__xludf.DUMMYFUNCTION("""COMPUTED_VALUE"""),"Trim 2")</f>
        <v>Trim 2</v>
      </c>
      <c r="E354" s="35"/>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row>
    <row r="355" spans="1:37" ht="30">
      <c r="A355" s="35" t="str">
        <f ca="1">IFERROR(__xludf.DUMMYFUNCTION("""COMPUTED_VALUE"""),"Subdirección de Energía Eléctrica - GIT Transmisión")</f>
        <v>Subdirección de Energía Eléctrica - GIT Transmisión</v>
      </c>
      <c r="B355" s="35">
        <f ca="1">IFERROR(__xludf.DUMMYFUNCTION("""COMPUTED_VALUE"""),2)</f>
        <v>2</v>
      </c>
      <c r="C355" s="35" t="str">
        <f ca="1">IFERROR(__xludf.DUMMYFUNCTION("""COMPUTED_VALUE"""),"2.15")</f>
        <v>2.15</v>
      </c>
      <c r="D355" s="35" t="str">
        <f ca="1">IFERROR(__xludf.DUMMYFUNCTION("""COMPUTED_VALUE"""),"Trim 3")</f>
        <v>Trim 3</v>
      </c>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row>
    <row r="356" spans="1:37" ht="30">
      <c r="A356" s="35" t="str">
        <f ca="1">IFERROR(__xludf.DUMMYFUNCTION("""COMPUTED_VALUE"""),"Subdirección de Energía Eléctrica - GIT Transmisión")</f>
        <v>Subdirección de Energía Eléctrica - GIT Transmisión</v>
      </c>
      <c r="B356" s="35">
        <f ca="1">IFERROR(__xludf.DUMMYFUNCTION("""COMPUTED_VALUE"""),2)</f>
        <v>2</v>
      </c>
      <c r="C356" s="35" t="str">
        <f ca="1">IFERROR(__xludf.DUMMYFUNCTION("""COMPUTED_VALUE"""),"2.16")</f>
        <v>2.16</v>
      </c>
      <c r="D356" s="35" t="str">
        <f ca="1">IFERROR(__xludf.DUMMYFUNCTION("""COMPUTED_VALUE"""),"Trim 4")</f>
        <v>Trim 4</v>
      </c>
      <c r="E356" s="35"/>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row>
    <row r="357" spans="1:37" ht="30">
      <c r="A357" s="35" t="str">
        <f ca="1">IFERROR(__xludf.DUMMYFUNCTION("""COMPUTED_VALUE"""),"Subdirección de Energía Eléctrica - GIT Transmisión")</f>
        <v>Subdirección de Energía Eléctrica - GIT Transmisión</v>
      </c>
      <c r="B357" s="35">
        <f ca="1">IFERROR(__xludf.DUMMYFUNCTION("""COMPUTED_VALUE"""),3)</f>
        <v>3</v>
      </c>
      <c r="C357" s="35" t="str">
        <f ca="1">IFERROR(__xludf.DUMMYFUNCTION("""COMPUTED_VALUE"""),"3.1")</f>
        <v>3.1</v>
      </c>
      <c r="D357" s="35" t="str">
        <f ca="1">IFERROR(__xludf.DUMMYFUNCTION("""COMPUTED_VALUE"""),"Trim 1")</f>
        <v>Trim 1</v>
      </c>
      <c r="E357" s="35"/>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row>
    <row r="358" spans="1:37" ht="30">
      <c r="A358" s="35" t="str">
        <f ca="1">IFERROR(__xludf.DUMMYFUNCTION("""COMPUTED_VALUE"""),"Subdirección de Energía Eléctrica - GIT Transmisión")</f>
        <v>Subdirección de Energía Eléctrica - GIT Transmisión</v>
      </c>
      <c r="B358" s="35">
        <f ca="1">IFERROR(__xludf.DUMMYFUNCTION("""COMPUTED_VALUE"""),3)</f>
        <v>3</v>
      </c>
      <c r="C358" s="35" t="str">
        <f ca="1">IFERROR(__xludf.DUMMYFUNCTION("""COMPUTED_VALUE"""),"3.2")</f>
        <v>3.2</v>
      </c>
      <c r="D358" s="35" t="str">
        <f ca="1">IFERROR(__xludf.DUMMYFUNCTION("""COMPUTED_VALUE"""),"Trim 2")</f>
        <v>Trim 2</v>
      </c>
      <c r="E358" s="35"/>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row>
    <row r="359" spans="1:37" ht="30">
      <c r="A359" s="35" t="str">
        <f ca="1">IFERROR(__xludf.DUMMYFUNCTION("""COMPUTED_VALUE"""),"Subdirección de Energía Eléctrica - GIT Transmisión")</f>
        <v>Subdirección de Energía Eléctrica - GIT Transmisión</v>
      </c>
      <c r="B359" s="35">
        <f ca="1">IFERROR(__xludf.DUMMYFUNCTION("""COMPUTED_VALUE"""),3)</f>
        <v>3</v>
      </c>
      <c r="C359" s="35" t="str">
        <f ca="1">IFERROR(__xludf.DUMMYFUNCTION("""COMPUTED_VALUE"""),"3.3")</f>
        <v>3.3</v>
      </c>
      <c r="D359" s="35" t="str">
        <f ca="1">IFERROR(__xludf.DUMMYFUNCTION("""COMPUTED_VALUE"""),"Trim 3")</f>
        <v>Trim 3</v>
      </c>
      <c r="E359" s="35"/>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row>
    <row r="360" spans="1:37" ht="30">
      <c r="A360" s="35" t="str">
        <f ca="1">IFERROR(__xludf.DUMMYFUNCTION("""COMPUTED_VALUE"""),"Subdirección de Energía Eléctrica - GIT Transmisión")</f>
        <v>Subdirección de Energía Eléctrica - GIT Transmisión</v>
      </c>
      <c r="B360" s="35">
        <f ca="1">IFERROR(__xludf.DUMMYFUNCTION("""COMPUTED_VALUE"""),3)</f>
        <v>3</v>
      </c>
      <c r="C360" s="35" t="str">
        <f ca="1">IFERROR(__xludf.DUMMYFUNCTION("""COMPUTED_VALUE"""),"3.4")</f>
        <v>3.4</v>
      </c>
      <c r="D360" s="35" t="str">
        <f ca="1">IFERROR(__xludf.DUMMYFUNCTION("""COMPUTED_VALUE"""),"Trim 4")</f>
        <v>Trim 4</v>
      </c>
      <c r="E360" s="35"/>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row>
    <row r="361" spans="1:37" ht="30">
      <c r="A361" s="35" t="str">
        <f ca="1">IFERROR(__xludf.DUMMYFUNCTION("""COMPUTED_VALUE"""),"Subdirección de Energía Eléctrica - GIT Transmisión")</f>
        <v>Subdirección de Energía Eléctrica - GIT Transmisión</v>
      </c>
      <c r="B361" s="35">
        <f ca="1">IFERROR(__xludf.DUMMYFUNCTION("""COMPUTED_VALUE"""),4)</f>
        <v>4</v>
      </c>
      <c r="C361" s="35" t="str">
        <f ca="1">IFERROR(__xludf.DUMMYFUNCTION("""COMPUTED_VALUE"""),"4.1")</f>
        <v>4.1</v>
      </c>
      <c r="D361" s="35" t="str">
        <f ca="1">IFERROR(__xludf.DUMMYFUNCTION("""COMPUTED_VALUE"""),"Trim 2")</f>
        <v>Trim 2</v>
      </c>
      <c r="E361" s="35"/>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row>
    <row r="362" spans="1:37" ht="30">
      <c r="A362" s="35" t="str">
        <f ca="1">IFERROR(__xludf.DUMMYFUNCTION("""COMPUTED_VALUE"""),"Subdirección de Energía Eléctrica - GIT Transmisión")</f>
        <v>Subdirección de Energía Eléctrica - GIT Transmisión</v>
      </c>
      <c r="B362" s="35">
        <f ca="1">IFERROR(__xludf.DUMMYFUNCTION("""COMPUTED_VALUE"""),4)</f>
        <v>4</v>
      </c>
      <c r="C362" s="35" t="str">
        <f ca="1">IFERROR(__xludf.DUMMYFUNCTION("""COMPUTED_VALUE"""),"4.2")</f>
        <v>4.2</v>
      </c>
      <c r="D362" s="35" t="str">
        <f ca="1">IFERROR(__xludf.DUMMYFUNCTION("""COMPUTED_VALUE"""),"Trim 4")</f>
        <v>Trim 4</v>
      </c>
      <c r="E362" s="35"/>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row>
    <row r="363" spans="1:37" ht="30">
      <c r="A363" s="35" t="str">
        <f ca="1">IFERROR(__xludf.DUMMYFUNCTION("""COMPUTED_VALUE"""),"Subdirección de Energía Eléctrica - GIT Transmisión")</f>
        <v>Subdirección de Energía Eléctrica - GIT Transmisión</v>
      </c>
      <c r="B363" s="35">
        <f ca="1">IFERROR(__xludf.DUMMYFUNCTION("""COMPUTED_VALUE"""),5)</f>
        <v>5</v>
      </c>
      <c r="C363" s="35" t="str">
        <f ca="1">IFERROR(__xludf.DUMMYFUNCTION("""COMPUTED_VALUE"""),"5.1")</f>
        <v>5.1</v>
      </c>
      <c r="D363" s="35" t="str">
        <f ca="1">IFERROR(__xludf.DUMMYFUNCTION("""COMPUTED_VALUE"""),"Trim 2")</f>
        <v>Trim 2</v>
      </c>
      <c r="E363" s="35"/>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row>
    <row r="364" spans="1:37" ht="30">
      <c r="A364" s="35" t="str">
        <f ca="1">IFERROR(__xludf.DUMMYFUNCTION("""COMPUTED_VALUE"""),"Subdirección de Energía Eléctrica - GIT Transmisión")</f>
        <v>Subdirección de Energía Eléctrica - GIT Transmisión</v>
      </c>
      <c r="B364" s="35">
        <f ca="1">IFERROR(__xludf.DUMMYFUNCTION("""COMPUTED_VALUE"""),5)</f>
        <v>5</v>
      </c>
      <c r="C364" s="35" t="str">
        <f ca="1">IFERROR(__xludf.DUMMYFUNCTION("""COMPUTED_VALUE"""),"5.2")</f>
        <v>5.2</v>
      </c>
      <c r="D364" s="35" t="str">
        <f ca="1">IFERROR(__xludf.DUMMYFUNCTION("""COMPUTED_VALUE"""),"Trim 3")</f>
        <v>Trim 3</v>
      </c>
      <c r="E364" s="35"/>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row>
    <row r="365" spans="1:37" ht="30">
      <c r="A365" s="35" t="str">
        <f ca="1">IFERROR(__xludf.DUMMYFUNCTION("""COMPUTED_VALUE"""),"Subdirección de Energía Eléctrica - GIT Generación y Registro")</f>
        <v>Subdirección de Energía Eléctrica - GIT Generación y Registro</v>
      </c>
      <c r="B365" s="35">
        <f ca="1">IFERROR(__xludf.DUMMYFUNCTION("""COMPUTED_VALUE"""),1)</f>
        <v>1</v>
      </c>
      <c r="C365" s="35" t="str">
        <f ca="1">IFERROR(__xludf.DUMMYFUNCTION("""COMPUTED_VALUE"""),"1.1")</f>
        <v>1.1</v>
      </c>
      <c r="D365" s="35" t="str">
        <f ca="1">IFERROR(__xludf.DUMMYFUNCTION("""COMPUTED_VALUE"""),"Trim 1")</f>
        <v>Trim 1</v>
      </c>
      <c r="E365" s="35"/>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row>
    <row r="366" spans="1:37" ht="30">
      <c r="A366" s="35" t="str">
        <f ca="1">IFERROR(__xludf.DUMMYFUNCTION("""COMPUTED_VALUE"""),"Subdirección de Energía Eléctrica - GIT Generación y Registro")</f>
        <v>Subdirección de Energía Eléctrica - GIT Generación y Registro</v>
      </c>
      <c r="B366" s="35">
        <f ca="1">IFERROR(__xludf.DUMMYFUNCTION("""COMPUTED_VALUE"""),1)</f>
        <v>1</v>
      </c>
      <c r="C366" s="35" t="str">
        <f ca="1">IFERROR(__xludf.DUMMYFUNCTION("""COMPUTED_VALUE"""),"1.2")</f>
        <v>1.2</v>
      </c>
      <c r="D366" s="35" t="str">
        <f ca="1">IFERROR(__xludf.DUMMYFUNCTION("""COMPUTED_VALUE"""),"Trim 2")</f>
        <v>Trim 2</v>
      </c>
      <c r="E366" s="35"/>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row>
    <row r="367" spans="1:37" ht="30">
      <c r="A367" s="35" t="str">
        <f ca="1">IFERROR(__xludf.DUMMYFUNCTION("""COMPUTED_VALUE"""),"Subdirección de Energía Eléctrica - GIT Generación y Registro")</f>
        <v>Subdirección de Energía Eléctrica - GIT Generación y Registro</v>
      </c>
      <c r="B367" s="35">
        <f ca="1">IFERROR(__xludf.DUMMYFUNCTION("""COMPUTED_VALUE"""),1)</f>
        <v>1</v>
      </c>
      <c r="C367" s="35" t="str">
        <f ca="1">IFERROR(__xludf.DUMMYFUNCTION("""COMPUTED_VALUE"""),"1.3")</f>
        <v>1.3</v>
      </c>
      <c r="D367" s="35" t="str">
        <f ca="1">IFERROR(__xludf.DUMMYFUNCTION("""COMPUTED_VALUE"""),"Trim 3")</f>
        <v>Trim 3</v>
      </c>
      <c r="E367" s="35"/>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row>
    <row r="368" spans="1:37" ht="30">
      <c r="A368" s="35" t="str">
        <f ca="1">IFERROR(__xludf.DUMMYFUNCTION("""COMPUTED_VALUE"""),"Subdirección de Energía Eléctrica - GIT Generación y Registro")</f>
        <v>Subdirección de Energía Eléctrica - GIT Generación y Registro</v>
      </c>
      <c r="B368" s="35">
        <f ca="1">IFERROR(__xludf.DUMMYFUNCTION("""COMPUTED_VALUE"""),1)</f>
        <v>1</v>
      </c>
      <c r="C368" s="35" t="str">
        <f ca="1">IFERROR(__xludf.DUMMYFUNCTION("""COMPUTED_VALUE"""),"1.3")</f>
        <v>1.3</v>
      </c>
      <c r="D368" s="35" t="str">
        <f ca="1">IFERROR(__xludf.DUMMYFUNCTION("""COMPUTED_VALUE"""),"Trim 3")</f>
        <v>Trim 3</v>
      </c>
      <c r="E368" s="35"/>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row>
    <row r="369" spans="1:37" ht="30">
      <c r="A369" s="35" t="str">
        <f ca="1">IFERROR(__xludf.DUMMYFUNCTION("""COMPUTED_VALUE"""),"Subdirección de Energía Eléctrica - GIT Generación y Registro")</f>
        <v>Subdirección de Energía Eléctrica - GIT Generación y Registro</v>
      </c>
      <c r="B369" s="35">
        <f ca="1">IFERROR(__xludf.DUMMYFUNCTION("""COMPUTED_VALUE"""),1)</f>
        <v>1</v>
      </c>
      <c r="C369" s="35" t="str">
        <f ca="1">IFERROR(__xludf.DUMMYFUNCTION("""COMPUTED_VALUE"""),"1.4")</f>
        <v>1.4</v>
      </c>
      <c r="D369" s="35" t="str">
        <f ca="1">IFERROR(__xludf.DUMMYFUNCTION("""COMPUTED_VALUE"""),"Trim 4")</f>
        <v>Trim 4</v>
      </c>
      <c r="E369" s="35"/>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row>
    <row r="370" spans="1:37" ht="30">
      <c r="A370" s="35" t="str">
        <f ca="1">IFERROR(__xludf.DUMMYFUNCTION("""COMPUTED_VALUE"""),"Subdirección de Energía Eléctrica - GIT Generación y Registro")</f>
        <v>Subdirección de Energía Eléctrica - GIT Generación y Registro</v>
      </c>
      <c r="B370" s="35">
        <f ca="1">IFERROR(__xludf.DUMMYFUNCTION("""COMPUTED_VALUE"""),1)</f>
        <v>1</v>
      </c>
      <c r="C370" s="35" t="str">
        <f ca="1">IFERROR(__xludf.DUMMYFUNCTION("""COMPUTED_VALUE"""),"1.4")</f>
        <v>1.4</v>
      </c>
      <c r="D370" s="35" t="str">
        <f ca="1">IFERROR(__xludf.DUMMYFUNCTION("""COMPUTED_VALUE"""),"Trim 4")</f>
        <v>Trim 4</v>
      </c>
      <c r="E370" s="35"/>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row>
    <row r="371" spans="1:37" ht="30">
      <c r="A371" s="35" t="str">
        <f ca="1">IFERROR(__xludf.DUMMYFUNCTION("""COMPUTED_VALUE"""),"Subdirección de Energía Eléctrica - GIT Generación y Registro")</f>
        <v>Subdirección de Energía Eléctrica - GIT Generación y Registro</v>
      </c>
      <c r="B371" s="35">
        <f ca="1">IFERROR(__xludf.DUMMYFUNCTION("""COMPUTED_VALUE"""),1)</f>
        <v>1</v>
      </c>
      <c r="C371" s="35" t="str">
        <f ca="1">IFERROR(__xludf.DUMMYFUNCTION("""COMPUTED_VALUE"""),"1.4")</f>
        <v>1.4</v>
      </c>
      <c r="D371" s="35" t="str">
        <f ca="1">IFERROR(__xludf.DUMMYFUNCTION("""COMPUTED_VALUE"""),"Trim 4")</f>
        <v>Trim 4</v>
      </c>
      <c r="E371" s="35"/>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row>
    <row r="372" spans="1:37" ht="30">
      <c r="A372" s="35" t="str">
        <f ca="1">IFERROR(__xludf.DUMMYFUNCTION("""COMPUTED_VALUE"""),"Subdirección de Energía Eléctrica - GIT Generación y Registro")</f>
        <v>Subdirección de Energía Eléctrica - GIT Generación y Registro</v>
      </c>
      <c r="B372" s="35">
        <f ca="1">IFERROR(__xludf.DUMMYFUNCTION("""COMPUTED_VALUE"""),2)</f>
        <v>2</v>
      </c>
      <c r="C372" s="35" t="str">
        <f ca="1">IFERROR(__xludf.DUMMYFUNCTION("""COMPUTED_VALUE"""),"2.1")</f>
        <v>2.1</v>
      </c>
      <c r="D372" s="35" t="str">
        <f ca="1">IFERROR(__xludf.DUMMYFUNCTION("""COMPUTED_VALUE"""),"Trim 1")</f>
        <v>Trim 1</v>
      </c>
      <c r="E372" s="35"/>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row>
    <row r="373" spans="1:37" ht="30">
      <c r="A373" s="35" t="str">
        <f ca="1">IFERROR(__xludf.DUMMYFUNCTION("""COMPUTED_VALUE"""),"Subdirección de Energía Eléctrica - GIT Generación y Registro")</f>
        <v>Subdirección de Energía Eléctrica - GIT Generación y Registro</v>
      </c>
      <c r="B373" s="35">
        <f ca="1">IFERROR(__xludf.DUMMYFUNCTION("""COMPUTED_VALUE"""),2)</f>
        <v>2</v>
      </c>
      <c r="C373" s="35" t="str">
        <f ca="1">IFERROR(__xludf.DUMMYFUNCTION("""COMPUTED_VALUE"""),"2.2")</f>
        <v>2.2</v>
      </c>
      <c r="D373" s="35" t="str">
        <f ca="1">IFERROR(__xludf.DUMMYFUNCTION("""COMPUTED_VALUE"""),"Trim 1")</f>
        <v>Trim 1</v>
      </c>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row>
    <row r="374" spans="1:37" ht="30">
      <c r="A374" s="35" t="str">
        <f ca="1">IFERROR(__xludf.DUMMYFUNCTION("""COMPUTED_VALUE"""),"Subdirección de Energía Eléctrica - GIT Generación y Registro")</f>
        <v>Subdirección de Energía Eléctrica - GIT Generación y Registro</v>
      </c>
      <c r="B374" s="35">
        <f ca="1">IFERROR(__xludf.DUMMYFUNCTION("""COMPUTED_VALUE"""),2)</f>
        <v>2</v>
      </c>
      <c r="C374" s="35" t="str">
        <f ca="1">IFERROR(__xludf.DUMMYFUNCTION("""COMPUTED_VALUE"""),"2.3")</f>
        <v>2.3</v>
      </c>
      <c r="D374" s="35" t="str">
        <f ca="1">IFERROR(__xludf.DUMMYFUNCTION("""COMPUTED_VALUE"""),"Trim 2")</f>
        <v>Trim 2</v>
      </c>
      <c r="E374" s="35"/>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row>
    <row r="375" spans="1:37" ht="30">
      <c r="A375" s="35" t="str">
        <f ca="1">IFERROR(__xludf.DUMMYFUNCTION("""COMPUTED_VALUE"""),"Subdirección de Energía Eléctrica - GIT Generación y Registro")</f>
        <v>Subdirección de Energía Eléctrica - GIT Generación y Registro</v>
      </c>
      <c r="B375" s="35">
        <f ca="1">IFERROR(__xludf.DUMMYFUNCTION("""COMPUTED_VALUE"""),2)</f>
        <v>2</v>
      </c>
      <c r="C375" s="35" t="str">
        <f ca="1">IFERROR(__xludf.DUMMYFUNCTION("""COMPUTED_VALUE"""),"2.4")</f>
        <v>2.4</v>
      </c>
      <c r="D375" s="35" t="str">
        <f ca="1">IFERROR(__xludf.DUMMYFUNCTION("""COMPUTED_VALUE"""),"Trim 2")</f>
        <v>Trim 2</v>
      </c>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row>
    <row r="376" spans="1:37" ht="30">
      <c r="A376" s="35" t="str">
        <f ca="1">IFERROR(__xludf.DUMMYFUNCTION("""COMPUTED_VALUE"""),"Subdirección de Energía Eléctrica - GIT Generación y Registro")</f>
        <v>Subdirección de Energía Eléctrica - GIT Generación y Registro</v>
      </c>
      <c r="B376" s="35">
        <f ca="1">IFERROR(__xludf.DUMMYFUNCTION("""COMPUTED_VALUE"""),2)</f>
        <v>2</v>
      </c>
      <c r="C376" s="35" t="str">
        <f ca="1">IFERROR(__xludf.DUMMYFUNCTION("""COMPUTED_VALUE"""),"2.5")</f>
        <v>2.5</v>
      </c>
      <c r="D376" s="35" t="str">
        <f ca="1">IFERROR(__xludf.DUMMYFUNCTION("""COMPUTED_VALUE"""),"Trim 3")</f>
        <v>Trim 3</v>
      </c>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row>
    <row r="377" spans="1:37" ht="30">
      <c r="A377" s="35" t="str">
        <f ca="1">IFERROR(__xludf.DUMMYFUNCTION("""COMPUTED_VALUE"""),"Subdirección de Energía Eléctrica - GIT Generación y Registro")</f>
        <v>Subdirección de Energía Eléctrica - GIT Generación y Registro</v>
      </c>
      <c r="B377" s="35">
        <f ca="1">IFERROR(__xludf.DUMMYFUNCTION("""COMPUTED_VALUE"""),2)</f>
        <v>2</v>
      </c>
      <c r="C377" s="35" t="str">
        <f ca="1">IFERROR(__xludf.DUMMYFUNCTION("""COMPUTED_VALUE"""),"2.6")</f>
        <v>2.6</v>
      </c>
      <c r="D377" s="35" t="str">
        <f ca="1">IFERROR(__xludf.DUMMYFUNCTION("""COMPUTED_VALUE"""),"Trim 3")</f>
        <v>Trim 3</v>
      </c>
      <c r="E377" s="35"/>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row>
    <row r="378" spans="1:37" ht="30">
      <c r="A378" s="35" t="str">
        <f ca="1">IFERROR(__xludf.DUMMYFUNCTION("""COMPUTED_VALUE"""),"Subdirección de Energía Eléctrica - GIT Generación y Registro")</f>
        <v>Subdirección de Energía Eléctrica - GIT Generación y Registro</v>
      </c>
      <c r="B378" s="35">
        <f ca="1">IFERROR(__xludf.DUMMYFUNCTION("""COMPUTED_VALUE"""),2)</f>
        <v>2</v>
      </c>
      <c r="C378" s="35" t="str">
        <f ca="1">IFERROR(__xludf.DUMMYFUNCTION("""COMPUTED_VALUE"""),"2.7")</f>
        <v>2.7</v>
      </c>
      <c r="D378" s="35" t="str">
        <f ca="1">IFERROR(__xludf.DUMMYFUNCTION("""COMPUTED_VALUE"""),"Trim 4")</f>
        <v>Trim 4</v>
      </c>
      <c r="E378" s="35"/>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row>
    <row r="379" spans="1:37" ht="30">
      <c r="A379" s="35" t="str">
        <f ca="1">IFERROR(__xludf.DUMMYFUNCTION("""COMPUTED_VALUE"""),"Subdirección de Energía Eléctrica - GIT Generación y Registro")</f>
        <v>Subdirección de Energía Eléctrica - GIT Generación y Registro</v>
      </c>
      <c r="B379" s="35">
        <f ca="1">IFERROR(__xludf.DUMMYFUNCTION("""COMPUTED_VALUE"""),2)</f>
        <v>2</v>
      </c>
      <c r="C379" s="35" t="str">
        <f ca="1">IFERROR(__xludf.DUMMYFUNCTION("""COMPUTED_VALUE"""),"2.8")</f>
        <v>2.8</v>
      </c>
      <c r="D379" s="35" t="str">
        <f ca="1">IFERROR(__xludf.DUMMYFUNCTION("""COMPUTED_VALUE"""),"Trim 4")</f>
        <v>Trim 4</v>
      </c>
      <c r="E379" s="35"/>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row>
    <row r="380" spans="1:37" ht="30">
      <c r="A380" s="35" t="str">
        <f ca="1">IFERROR(__xludf.DUMMYFUNCTION("""COMPUTED_VALUE"""),"Subdirección de Energía Eléctrica - GIT Generación y Registro")</f>
        <v>Subdirección de Energía Eléctrica - GIT Generación y Registro</v>
      </c>
      <c r="B380" s="35">
        <f ca="1">IFERROR(__xludf.DUMMYFUNCTION("""COMPUTED_VALUE"""),3)</f>
        <v>3</v>
      </c>
      <c r="C380" s="35" t="str">
        <f ca="1">IFERROR(__xludf.DUMMYFUNCTION("""COMPUTED_VALUE"""),"3.1")</f>
        <v>3.1</v>
      </c>
      <c r="D380" s="35" t="str">
        <f ca="1">IFERROR(__xludf.DUMMYFUNCTION("""COMPUTED_VALUE"""),"Trim 1")</f>
        <v>Trim 1</v>
      </c>
      <c r="E380" s="35"/>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row>
    <row r="381" spans="1:37" ht="30">
      <c r="A381" s="35" t="str">
        <f ca="1">IFERROR(__xludf.DUMMYFUNCTION("""COMPUTED_VALUE"""),"Subdirección de Energía Eléctrica - GIT Generación y Registro")</f>
        <v>Subdirección de Energía Eléctrica - GIT Generación y Registro</v>
      </c>
      <c r="B381" s="35">
        <f ca="1">IFERROR(__xludf.DUMMYFUNCTION("""COMPUTED_VALUE"""),3)</f>
        <v>3</v>
      </c>
      <c r="C381" s="35" t="str">
        <f ca="1">IFERROR(__xludf.DUMMYFUNCTION("""COMPUTED_VALUE"""),"3.2")</f>
        <v>3.2</v>
      </c>
      <c r="D381" s="35" t="str">
        <f ca="1">IFERROR(__xludf.DUMMYFUNCTION("""COMPUTED_VALUE"""),"Trim 1")</f>
        <v>Trim 1</v>
      </c>
      <c r="E381" s="35"/>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row>
    <row r="382" spans="1:37" ht="30">
      <c r="A382" s="35" t="str">
        <f ca="1">IFERROR(__xludf.DUMMYFUNCTION("""COMPUTED_VALUE"""),"Subdirección de Energía Eléctrica - GIT Generación y Registro")</f>
        <v>Subdirección de Energía Eléctrica - GIT Generación y Registro</v>
      </c>
      <c r="B382" s="35">
        <f ca="1">IFERROR(__xludf.DUMMYFUNCTION("""COMPUTED_VALUE"""),3)</f>
        <v>3</v>
      </c>
      <c r="C382" s="35" t="str">
        <f ca="1">IFERROR(__xludf.DUMMYFUNCTION("""COMPUTED_VALUE"""),"3.3")</f>
        <v>3.3</v>
      </c>
      <c r="D382" s="35" t="str">
        <f ca="1">IFERROR(__xludf.DUMMYFUNCTION("""COMPUTED_VALUE"""),"Trim 2")</f>
        <v>Trim 2</v>
      </c>
      <c r="E382" s="35"/>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row>
    <row r="383" spans="1:37" ht="30">
      <c r="A383" s="35" t="str">
        <f ca="1">IFERROR(__xludf.DUMMYFUNCTION("""COMPUTED_VALUE"""),"Subdirección de Energía Eléctrica - GIT Generación y Registro")</f>
        <v>Subdirección de Energía Eléctrica - GIT Generación y Registro</v>
      </c>
      <c r="B383" s="35">
        <f ca="1">IFERROR(__xludf.DUMMYFUNCTION("""COMPUTED_VALUE"""),3)</f>
        <v>3</v>
      </c>
      <c r="C383" s="35" t="str">
        <f ca="1">IFERROR(__xludf.DUMMYFUNCTION("""COMPUTED_VALUE"""),"3.4")</f>
        <v>3.4</v>
      </c>
      <c r="D383" s="35" t="str">
        <f ca="1">IFERROR(__xludf.DUMMYFUNCTION("""COMPUTED_VALUE"""),"Trim 2")</f>
        <v>Trim 2</v>
      </c>
      <c r="E383" s="35"/>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row>
    <row r="384" spans="1:37" ht="30">
      <c r="A384" s="35" t="str">
        <f ca="1">IFERROR(__xludf.DUMMYFUNCTION("""COMPUTED_VALUE"""),"Subdirección de Energía Eléctrica - GIT Generación y Registro")</f>
        <v>Subdirección de Energía Eléctrica - GIT Generación y Registro</v>
      </c>
      <c r="B384" s="35">
        <f ca="1">IFERROR(__xludf.DUMMYFUNCTION("""COMPUTED_VALUE"""),3)</f>
        <v>3</v>
      </c>
      <c r="C384" s="35" t="str">
        <f ca="1">IFERROR(__xludf.DUMMYFUNCTION("""COMPUTED_VALUE"""),"3.5")</f>
        <v>3.5</v>
      </c>
      <c r="D384" s="35" t="str">
        <f ca="1">IFERROR(__xludf.DUMMYFUNCTION("""COMPUTED_VALUE"""),"Trim 3")</f>
        <v>Trim 3</v>
      </c>
      <c r="E384" s="35"/>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row>
    <row r="385" spans="1:37" ht="30">
      <c r="A385" s="35" t="str">
        <f ca="1">IFERROR(__xludf.DUMMYFUNCTION("""COMPUTED_VALUE"""),"Subdirección de Energía Eléctrica - GIT Generación y Registro")</f>
        <v>Subdirección de Energía Eléctrica - GIT Generación y Registro</v>
      </c>
      <c r="B385" s="35">
        <f ca="1">IFERROR(__xludf.DUMMYFUNCTION("""COMPUTED_VALUE"""),3)</f>
        <v>3</v>
      </c>
      <c r="C385" s="35" t="str">
        <f ca="1">IFERROR(__xludf.DUMMYFUNCTION("""COMPUTED_VALUE"""),"3.6")</f>
        <v>3.6</v>
      </c>
      <c r="D385" s="35" t="str">
        <f ca="1">IFERROR(__xludf.DUMMYFUNCTION("""COMPUTED_VALUE"""),"Trim 3")</f>
        <v>Trim 3</v>
      </c>
      <c r="E385" s="35"/>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row>
    <row r="386" spans="1:37" ht="30">
      <c r="A386" s="35" t="str">
        <f ca="1">IFERROR(__xludf.DUMMYFUNCTION("""COMPUTED_VALUE"""),"Subdirección de Energía Eléctrica - GIT Generación y Registro")</f>
        <v>Subdirección de Energía Eléctrica - GIT Generación y Registro</v>
      </c>
      <c r="B386" s="35">
        <f ca="1">IFERROR(__xludf.DUMMYFUNCTION("""COMPUTED_VALUE"""),3)</f>
        <v>3</v>
      </c>
      <c r="C386" s="35" t="str">
        <f ca="1">IFERROR(__xludf.DUMMYFUNCTION("""COMPUTED_VALUE"""),"3.7")</f>
        <v>3.7</v>
      </c>
      <c r="D386" s="35" t="str">
        <f ca="1">IFERROR(__xludf.DUMMYFUNCTION("""COMPUTED_VALUE"""),"Trim 4")</f>
        <v>Trim 4</v>
      </c>
      <c r="E386" s="35"/>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row>
    <row r="387" spans="1:37" ht="30">
      <c r="A387" s="35" t="str">
        <f ca="1">IFERROR(__xludf.DUMMYFUNCTION("""COMPUTED_VALUE"""),"Subdirección de Energía Eléctrica - GIT Generación y Registro")</f>
        <v>Subdirección de Energía Eléctrica - GIT Generación y Registro</v>
      </c>
      <c r="B387" s="35">
        <f ca="1">IFERROR(__xludf.DUMMYFUNCTION("""COMPUTED_VALUE"""),3)</f>
        <v>3</v>
      </c>
      <c r="C387" s="35" t="str">
        <f ca="1">IFERROR(__xludf.DUMMYFUNCTION("""COMPUTED_VALUE"""),"3.8")</f>
        <v>3.8</v>
      </c>
      <c r="D387" s="35" t="str">
        <f ca="1">IFERROR(__xludf.DUMMYFUNCTION("""COMPUTED_VALUE"""),"Trim 4")</f>
        <v>Trim 4</v>
      </c>
      <c r="E387" s="35"/>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row>
    <row r="388" spans="1:37" ht="30">
      <c r="A388" s="35" t="str">
        <f ca="1">IFERROR(__xludf.DUMMYFUNCTION("""COMPUTED_VALUE"""),"Subdirección de Energía Eléctrica - GIT Generación y Registro")</f>
        <v>Subdirección de Energía Eléctrica - GIT Generación y Registro</v>
      </c>
      <c r="B388" s="35">
        <f ca="1">IFERROR(__xludf.DUMMYFUNCTION("""COMPUTED_VALUE"""),4)</f>
        <v>4</v>
      </c>
      <c r="C388" s="35" t="str">
        <f ca="1">IFERROR(__xludf.DUMMYFUNCTION("""COMPUTED_VALUE"""),"4.1")</f>
        <v>4.1</v>
      </c>
      <c r="D388" s="35" t="str">
        <f ca="1">IFERROR(__xludf.DUMMYFUNCTION("""COMPUTED_VALUE"""),"Trim 1")</f>
        <v>Trim 1</v>
      </c>
      <c r="E388" s="35"/>
      <c r="F388" s="35"/>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row>
    <row r="389" spans="1:37" ht="30">
      <c r="A389" s="35" t="str">
        <f ca="1">IFERROR(__xludf.DUMMYFUNCTION("""COMPUTED_VALUE"""),"Subdirección de Energía Eléctrica - GIT Generación y Registro")</f>
        <v>Subdirección de Energía Eléctrica - GIT Generación y Registro</v>
      </c>
      <c r="B389" s="35">
        <f ca="1">IFERROR(__xludf.DUMMYFUNCTION("""COMPUTED_VALUE"""),5)</f>
        <v>5</v>
      </c>
      <c r="C389" s="35" t="str">
        <f ca="1">IFERROR(__xludf.DUMMYFUNCTION("""COMPUTED_VALUE"""),"5.1")</f>
        <v>5.1</v>
      </c>
      <c r="D389" s="35" t="str">
        <f ca="1">IFERROR(__xludf.DUMMYFUNCTION("""COMPUTED_VALUE"""),"Trim 1")</f>
        <v>Trim 1</v>
      </c>
      <c r="E389" s="35"/>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row>
    <row r="390" spans="1:37" ht="30">
      <c r="A390" s="35" t="str">
        <f ca="1">IFERROR(__xludf.DUMMYFUNCTION("""COMPUTED_VALUE"""),"Subdirección de Energía Eléctrica - GIT Generación y Registro")</f>
        <v>Subdirección de Energía Eléctrica - GIT Generación y Registro</v>
      </c>
      <c r="B390" s="35">
        <f ca="1">IFERROR(__xludf.DUMMYFUNCTION("""COMPUTED_VALUE"""),5)</f>
        <v>5</v>
      </c>
      <c r="C390" s="35" t="str">
        <f ca="1">IFERROR(__xludf.DUMMYFUNCTION("""COMPUTED_VALUE"""),"5.2")</f>
        <v>5.2</v>
      </c>
      <c r="D390" s="35" t="str">
        <f ca="1">IFERROR(__xludf.DUMMYFUNCTION("""COMPUTED_VALUE"""),"Trim 2")</f>
        <v>Trim 2</v>
      </c>
      <c r="E390" s="35"/>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row>
    <row r="391" spans="1:37" ht="30">
      <c r="A391" s="35" t="str">
        <f ca="1">IFERROR(__xludf.DUMMYFUNCTION("""COMPUTED_VALUE"""),"Subdirección de Energía Eléctrica - GIT Generación y Registro")</f>
        <v>Subdirección de Energía Eléctrica - GIT Generación y Registro</v>
      </c>
      <c r="B391" s="35">
        <f ca="1">IFERROR(__xludf.DUMMYFUNCTION("""COMPUTED_VALUE"""),5)</f>
        <v>5</v>
      </c>
      <c r="C391" s="35" t="str">
        <f ca="1">IFERROR(__xludf.DUMMYFUNCTION("""COMPUTED_VALUE"""),"5.3")</f>
        <v>5.3</v>
      </c>
      <c r="D391" s="35" t="str">
        <f ca="1">IFERROR(__xludf.DUMMYFUNCTION("""COMPUTED_VALUE"""),"Trim 2")</f>
        <v>Trim 2</v>
      </c>
      <c r="E391" s="35"/>
      <c r="F391" s="35"/>
      <c r="G391" s="35"/>
      <c r="H391" s="35"/>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row>
    <row r="392" spans="1:37" ht="30">
      <c r="A392" s="35" t="str">
        <f ca="1">IFERROR(__xludf.DUMMYFUNCTION("""COMPUTED_VALUE"""),"Subdirección de Energía Eléctrica - GIT Generación y Registro")</f>
        <v>Subdirección de Energía Eléctrica - GIT Generación y Registro</v>
      </c>
      <c r="B392" s="35">
        <f ca="1">IFERROR(__xludf.DUMMYFUNCTION("""COMPUTED_VALUE"""),6)</f>
        <v>6</v>
      </c>
      <c r="C392" s="35" t="str">
        <f ca="1">IFERROR(__xludf.DUMMYFUNCTION("""COMPUTED_VALUE"""),"6.1")</f>
        <v>6.1</v>
      </c>
      <c r="D392" s="35" t="str">
        <f ca="1">IFERROR(__xludf.DUMMYFUNCTION("""COMPUTED_VALUE"""),"Trim 1")</f>
        <v>Trim 1</v>
      </c>
      <c r="E392" s="35"/>
      <c r="F392" s="35"/>
      <c r="G392" s="35"/>
      <c r="H392" s="35"/>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row>
    <row r="393" spans="1:37" ht="30">
      <c r="A393" s="35" t="str">
        <f ca="1">IFERROR(__xludf.DUMMYFUNCTION("""COMPUTED_VALUE"""),"Subdirección de Energía Eléctrica - GIT Generación y Registro")</f>
        <v>Subdirección de Energía Eléctrica - GIT Generación y Registro</v>
      </c>
      <c r="B393" s="35">
        <f ca="1">IFERROR(__xludf.DUMMYFUNCTION("""COMPUTED_VALUE"""),6)</f>
        <v>6</v>
      </c>
      <c r="C393" s="35" t="str">
        <f ca="1">IFERROR(__xludf.DUMMYFUNCTION("""COMPUTED_VALUE"""),"6.2")</f>
        <v>6.2</v>
      </c>
      <c r="D393" s="35" t="str">
        <f ca="1">IFERROR(__xludf.DUMMYFUNCTION("""COMPUTED_VALUE"""),"Trim 2")</f>
        <v>Trim 2</v>
      </c>
      <c r="E393" s="35"/>
      <c r="F393" s="35"/>
      <c r="G393" s="35"/>
      <c r="H393" s="35"/>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row>
    <row r="394" spans="1:37" ht="30">
      <c r="A394" s="35" t="str">
        <f ca="1">IFERROR(__xludf.DUMMYFUNCTION("""COMPUTED_VALUE"""),"Subdirección de Energía Eléctrica - GIT Generación y Registro")</f>
        <v>Subdirección de Energía Eléctrica - GIT Generación y Registro</v>
      </c>
      <c r="B394" s="35">
        <f ca="1">IFERROR(__xludf.DUMMYFUNCTION("""COMPUTED_VALUE"""),6)</f>
        <v>6</v>
      </c>
      <c r="C394" s="35" t="str">
        <f ca="1">IFERROR(__xludf.DUMMYFUNCTION("""COMPUTED_VALUE"""),"6.3")</f>
        <v>6.3</v>
      </c>
      <c r="D394" s="35" t="str">
        <f ca="1">IFERROR(__xludf.DUMMYFUNCTION("""COMPUTED_VALUE"""),"Trim 3")</f>
        <v>Trim 3</v>
      </c>
      <c r="E394" s="35"/>
      <c r="F394" s="35"/>
      <c r="G394" s="35"/>
      <c r="H394" s="35"/>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row>
    <row r="395" spans="1:37" ht="30">
      <c r="A395" s="35" t="str">
        <f ca="1">IFERROR(__xludf.DUMMYFUNCTION("""COMPUTED_VALUE"""),"Subdirección de Energía Eléctrica - GIT Generación y Registro")</f>
        <v>Subdirección de Energía Eléctrica - GIT Generación y Registro</v>
      </c>
      <c r="B395" s="35">
        <f ca="1">IFERROR(__xludf.DUMMYFUNCTION("""COMPUTED_VALUE"""),6)</f>
        <v>6</v>
      </c>
      <c r="C395" s="35" t="str">
        <f ca="1">IFERROR(__xludf.DUMMYFUNCTION("""COMPUTED_VALUE"""),"6.4")</f>
        <v>6.4</v>
      </c>
      <c r="D395" s="35" t="str">
        <f ca="1">IFERROR(__xludf.DUMMYFUNCTION("""COMPUTED_VALUE"""),"Trim 4")</f>
        <v>Trim 4</v>
      </c>
      <c r="E395" s="35"/>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row>
    <row r="396" spans="1:37" ht="30">
      <c r="A396" s="35" t="str">
        <f ca="1">IFERROR(__xludf.DUMMYFUNCTION("""COMPUTED_VALUE"""),"Subdirección de Energía Eléctrica - GIT Cobertura")</f>
        <v>Subdirección de Energía Eléctrica - GIT Cobertura</v>
      </c>
      <c r="B396" s="35">
        <f ca="1">IFERROR(__xludf.DUMMYFUNCTION("""COMPUTED_VALUE"""),1)</f>
        <v>1</v>
      </c>
      <c r="C396" s="35" t="str">
        <f ca="1">IFERROR(__xludf.DUMMYFUNCTION("""COMPUTED_VALUE"""),"1.1")</f>
        <v>1.1</v>
      </c>
      <c r="D396" s="35" t="str">
        <f ca="1">IFERROR(__xludf.DUMMYFUNCTION("""COMPUTED_VALUE"""),"Trim 1")</f>
        <v>Trim 1</v>
      </c>
      <c r="E396" s="35"/>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row>
    <row r="397" spans="1:37" ht="30">
      <c r="A397" s="35" t="str">
        <f ca="1">IFERROR(__xludf.DUMMYFUNCTION("""COMPUTED_VALUE"""),"Subdirección de Energía Eléctrica - GIT Cobertura")</f>
        <v>Subdirección de Energía Eléctrica - GIT Cobertura</v>
      </c>
      <c r="B397" s="35">
        <f ca="1">IFERROR(__xludf.DUMMYFUNCTION("""COMPUTED_VALUE"""),1)</f>
        <v>1</v>
      </c>
      <c r="C397" s="35" t="str">
        <f ca="1">IFERROR(__xludf.DUMMYFUNCTION("""COMPUTED_VALUE"""),"1.2")</f>
        <v>1.2</v>
      </c>
      <c r="D397" s="35" t="str">
        <f ca="1">IFERROR(__xludf.DUMMYFUNCTION("""COMPUTED_VALUE"""),"Trim 2")</f>
        <v>Trim 2</v>
      </c>
      <c r="E397" s="35"/>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row>
    <row r="398" spans="1:37" ht="30">
      <c r="A398" s="35" t="str">
        <f ca="1">IFERROR(__xludf.DUMMYFUNCTION("""COMPUTED_VALUE"""),"Subdirección de Energía Eléctrica - GIT Cobertura")</f>
        <v>Subdirección de Energía Eléctrica - GIT Cobertura</v>
      </c>
      <c r="B398" s="35">
        <f ca="1">IFERROR(__xludf.DUMMYFUNCTION("""COMPUTED_VALUE"""),1)</f>
        <v>1</v>
      </c>
      <c r="C398" s="35" t="str">
        <f ca="1">IFERROR(__xludf.DUMMYFUNCTION("""COMPUTED_VALUE"""),"1.3")</f>
        <v>1.3</v>
      </c>
      <c r="D398" s="35" t="str">
        <f ca="1">IFERROR(__xludf.DUMMYFUNCTION("""COMPUTED_VALUE"""),"Trim 2")</f>
        <v>Trim 2</v>
      </c>
      <c r="E398" s="35"/>
      <c r="F398" s="35"/>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row>
    <row r="399" spans="1:37" ht="30">
      <c r="A399" s="35" t="str">
        <f ca="1">IFERROR(__xludf.DUMMYFUNCTION("""COMPUTED_VALUE"""),"Subdirección de Energía Eléctrica - GIT Cobertura")</f>
        <v>Subdirección de Energía Eléctrica - GIT Cobertura</v>
      </c>
      <c r="B399" s="35">
        <f ca="1">IFERROR(__xludf.DUMMYFUNCTION("""COMPUTED_VALUE"""),1)</f>
        <v>1</v>
      </c>
      <c r="C399" s="35" t="str">
        <f ca="1">IFERROR(__xludf.DUMMYFUNCTION("""COMPUTED_VALUE"""),"1.4")</f>
        <v>1.4</v>
      </c>
      <c r="D399" s="35" t="str">
        <f ca="1">IFERROR(__xludf.DUMMYFUNCTION("""COMPUTED_VALUE"""),"Trim 2")</f>
        <v>Trim 2</v>
      </c>
      <c r="E399" s="35"/>
      <c r="F399" s="35"/>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row>
    <row r="400" spans="1:37" ht="30">
      <c r="A400" s="35" t="str">
        <f ca="1">IFERROR(__xludf.DUMMYFUNCTION("""COMPUTED_VALUE"""),"Subdirección de Energía Eléctrica - GIT Cobertura")</f>
        <v>Subdirección de Energía Eléctrica - GIT Cobertura</v>
      </c>
      <c r="B400" s="35">
        <f ca="1">IFERROR(__xludf.DUMMYFUNCTION("""COMPUTED_VALUE"""),2)</f>
        <v>2</v>
      </c>
      <c r="C400" s="35" t="str">
        <f ca="1">IFERROR(__xludf.DUMMYFUNCTION("""COMPUTED_VALUE"""),"2.1")</f>
        <v>2.1</v>
      </c>
      <c r="D400" s="35" t="str">
        <f ca="1">IFERROR(__xludf.DUMMYFUNCTION("""COMPUTED_VALUE"""),"Trim 1")</f>
        <v>Trim 1</v>
      </c>
      <c r="E400" s="35"/>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row>
    <row r="401" spans="1:37" ht="30">
      <c r="A401" s="35" t="str">
        <f ca="1">IFERROR(__xludf.DUMMYFUNCTION("""COMPUTED_VALUE"""),"Subdirección de Energía Eléctrica - GIT Cobertura")</f>
        <v>Subdirección de Energía Eléctrica - GIT Cobertura</v>
      </c>
      <c r="B401" s="35">
        <f ca="1">IFERROR(__xludf.DUMMYFUNCTION("""COMPUTED_VALUE"""),2)</f>
        <v>2</v>
      </c>
      <c r="C401" s="35" t="str">
        <f ca="1">IFERROR(__xludf.DUMMYFUNCTION("""COMPUTED_VALUE"""),"2.2")</f>
        <v>2.2</v>
      </c>
      <c r="D401" s="35" t="str">
        <f ca="1">IFERROR(__xludf.DUMMYFUNCTION("""COMPUTED_VALUE"""),"Trim 1")</f>
        <v>Trim 1</v>
      </c>
      <c r="E401" s="35"/>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row>
    <row r="402" spans="1:37" ht="30">
      <c r="A402" s="35" t="str">
        <f ca="1">IFERROR(__xludf.DUMMYFUNCTION("""COMPUTED_VALUE"""),"Subdirección de Energía Eléctrica - GIT Cobertura")</f>
        <v>Subdirección de Energía Eléctrica - GIT Cobertura</v>
      </c>
      <c r="B402" s="35">
        <f ca="1">IFERROR(__xludf.DUMMYFUNCTION("""COMPUTED_VALUE"""),2)</f>
        <v>2</v>
      </c>
      <c r="C402" s="35" t="str">
        <f ca="1">IFERROR(__xludf.DUMMYFUNCTION("""COMPUTED_VALUE"""),"2.3")</f>
        <v>2.3</v>
      </c>
      <c r="D402" s="35" t="str">
        <f ca="1">IFERROR(__xludf.DUMMYFUNCTION("""COMPUTED_VALUE"""),"Trim 1")</f>
        <v>Trim 1</v>
      </c>
      <c r="E402" s="35"/>
      <c r="F402" s="35"/>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row>
    <row r="403" spans="1:37" ht="30">
      <c r="A403" s="35" t="str">
        <f ca="1">IFERROR(__xludf.DUMMYFUNCTION("""COMPUTED_VALUE"""),"Subdirección de Energía Eléctrica - GIT Cobertura")</f>
        <v>Subdirección de Energía Eléctrica - GIT Cobertura</v>
      </c>
      <c r="B403" s="35">
        <f ca="1">IFERROR(__xludf.DUMMYFUNCTION("""COMPUTED_VALUE"""),2)</f>
        <v>2</v>
      </c>
      <c r="C403" s="35" t="str">
        <f ca="1">IFERROR(__xludf.DUMMYFUNCTION("""COMPUTED_VALUE"""),"2.4")</f>
        <v>2.4</v>
      </c>
      <c r="D403" s="35" t="str">
        <f ca="1">IFERROR(__xludf.DUMMYFUNCTION("""COMPUTED_VALUE"""),"Trim 2")</f>
        <v>Trim 2</v>
      </c>
      <c r="E403" s="35"/>
      <c r="F403" s="35"/>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row>
    <row r="404" spans="1:37" ht="30">
      <c r="A404" s="35" t="str">
        <f ca="1">IFERROR(__xludf.DUMMYFUNCTION("""COMPUTED_VALUE"""),"Subdirección de Energía Eléctrica - GIT Cobertura")</f>
        <v>Subdirección de Energía Eléctrica - GIT Cobertura</v>
      </c>
      <c r="B404" s="35">
        <f ca="1">IFERROR(__xludf.DUMMYFUNCTION("""COMPUTED_VALUE"""),2)</f>
        <v>2</v>
      </c>
      <c r="C404" s="35" t="str">
        <f ca="1">IFERROR(__xludf.DUMMYFUNCTION("""COMPUTED_VALUE"""),"2.5")</f>
        <v>2.5</v>
      </c>
      <c r="D404" s="35" t="str">
        <f ca="1">IFERROR(__xludf.DUMMYFUNCTION("""COMPUTED_VALUE"""),"Trim 1")</f>
        <v>Trim 1</v>
      </c>
      <c r="E404" s="35"/>
      <c r="F404" s="35"/>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row>
    <row r="405" spans="1:37" ht="30">
      <c r="A405" s="35" t="str">
        <f ca="1">IFERROR(__xludf.DUMMYFUNCTION("""COMPUTED_VALUE"""),"Subdirección de Energía Eléctrica - GIT Cobertura")</f>
        <v>Subdirección de Energía Eléctrica - GIT Cobertura</v>
      </c>
      <c r="B405" s="35">
        <f ca="1">IFERROR(__xludf.DUMMYFUNCTION("""COMPUTED_VALUE"""),2)</f>
        <v>2</v>
      </c>
      <c r="C405" s="35" t="str">
        <f ca="1">IFERROR(__xludf.DUMMYFUNCTION("""COMPUTED_VALUE"""),"2.6")</f>
        <v>2.6</v>
      </c>
      <c r="D405" s="35" t="str">
        <f ca="1">IFERROR(__xludf.DUMMYFUNCTION("""COMPUTED_VALUE"""),"Trim 2")</f>
        <v>Trim 2</v>
      </c>
      <c r="E405" s="35"/>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row>
    <row r="406" spans="1:37" ht="30">
      <c r="A406" s="35" t="str">
        <f ca="1">IFERROR(__xludf.DUMMYFUNCTION("""COMPUTED_VALUE"""),"Subdirección de Energía Eléctrica - GIT Cobertura")</f>
        <v>Subdirección de Energía Eléctrica - GIT Cobertura</v>
      </c>
      <c r="B406" s="35">
        <f ca="1">IFERROR(__xludf.DUMMYFUNCTION("""COMPUTED_VALUE"""),2)</f>
        <v>2</v>
      </c>
      <c r="C406" s="35" t="str">
        <f ca="1">IFERROR(__xludf.DUMMYFUNCTION("""COMPUTED_VALUE"""),"2.7")</f>
        <v>2.7</v>
      </c>
      <c r="D406" s="35" t="str">
        <f ca="1">IFERROR(__xludf.DUMMYFUNCTION("""COMPUTED_VALUE"""),"Trim 2")</f>
        <v>Trim 2</v>
      </c>
      <c r="E406" s="35"/>
      <c r="F406" s="35"/>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row>
    <row r="407" spans="1:37" ht="30">
      <c r="A407" s="35" t="str">
        <f ca="1">IFERROR(__xludf.DUMMYFUNCTION("""COMPUTED_VALUE"""),"Subdirección de Energía Eléctrica - GIT Cobertura")</f>
        <v>Subdirección de Energía Eléctrica - GIT Cobertura</v>
      </c>
      <c r="B407" s="35">
        <f ca="1">IFERROR(__xludf.DUMMYFUNCTION("""COMPUTED_VALUE"""),3)</f>
        <v>3</v>
      </c>
      <c r="C407" s="35" t="str">
        <f ca="1">IFERROR(__xludf.DUMMYFUNCTION("""COMPUTED_VALUE"""),"3.1")</f>
        <v>3.1</v>
      </c>
      <c r="D407" s="35" t="str">
        <f ca="1">IFERROR(__xludf.DUMMYFUNCTION("""COMPUTED_VALUE"""),"Trim 2")</f>
        <v>Trim 2</v>
      </c>
      <c r="E407" s="35"/>
      <c r="F407" s="35"/>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row>
    <row r="408" spans="1:37" ht="30">
      <c r="A408" s="35" t="str">
        <f ca="1">IFERROR(__xludf.DUMMYFUNCTION("""COMPUTED_VALUE"""),"Subdirección de Energía Eléctrica - GIT Cobertura")</f>
        <v>Subdirección de Energía Eléctrica - GIT Cobertura</v>
      </c>
      <c r="B408" s="35">
        <f ca="1">IFERROR(__xludf.DUMMYFUNCTION("""COMPUTED_VALUE"""),3)</f>
        <v>3</v>
      </c>
      <c r="C408" s="35" t="str">
        <f ca="1">IFERROR(__xludf.DUMMYFUNCTION("""COMPUTED_VALUE"""),"3.2")</f>
        <v>3.2</v>
      </c>
      <c r="D408" s="35" t="str">
        <f ca="1">IFERROR(__xludf.DUMMYFUNCTION("""COMPUTED_VALUE"""),"Trim 2")</f>
        <v>Trim 2</v>
      </c>
      <c r="E408" s="35"/>
      <c r="F408" s="35"/>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row>
    <row r="409" spans="1:37" ht="30">
      <c r="A409" s="35" t="str">
        <f ca="1">IFERROR(__xludf.DUMMYFUNCTION("""COMPUTED_VALUE"""),"Subdirección de Energía Eléctrica - GIT Cobertura")</f>
        <v>Subdirección de Energía Eléctrica - GIT Cobertura</v>
      </c>
      <c r="B409" s="35">
        <f ca="1">IFERROR(__xludf.DUMMYFUNCTION("""COMPUTED_VALUE"""),3)</f>
        <v>3</v>
      </c>
      <c r="C409" s="35" t="str">
        <f ca="1">IFERROR(__xludf.DUMMYFUNCTION("""COMPUTED_VALUE"""),"3.3")</f>
        <v>3.3</v>
      </c>
      <c r="D409" s="35" t="str">
        <f ca="1">IFERROR(__xludf.DUMMYFUNCTION("""COMPUTED_VALUE"""),"Trim 2")</f>
        <v>Trim 2</v>
      </c>
      <c r="E409" s="35"/>
      <c r="F409" s="35"/>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row>
    <row r="410" spans="1:37" ht="30">
      <c r="A410" s="35" t="str">
        <f ca="1">IFERROR(__xludf.DUMMYFUNCTION("""COMPUTED_VALUE"""),"Subdirección de Energía Eléctrica - GIT Cobertura")</f>
        <v>Subdirección de Energía Eléctrica - GIT Cobertura</v>
      </c>
      <c r="B410" s="35">
        <f ca="1">IFERROR(__xludf.DUMMYFUNCTION("""COMPUTED_VALUE"""),3)</f>
        <v>3</v>
      </c>
      <c r="C410" s="35" t="str">
        <f ca="1">IFERROR(__xludf.DUMMYFUNCTION("""COMPUTED_VALUE"""),"3.4")</f>
        <v>3.4</v>
      </c>
      <c r="D410" s="35" t="str">
        <f ca="1">IFERROR(__xludf.DUMMYFUNCTION("""COMPUTED_VALUE"""),"Trim 3")</f>
        <v>Trim 3</v>
      </c>
      <c r="E410" s="35"/>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row>
    <row r="411" spans="1:37" ht="30">
      <c r="A411" s="35" t="str">
        <f ca="1">IFERROR(__xludf.DUMMYFUNCTION("""COMPUTED_VALUE"""),"Subdirección de Energía Eléctrica - GIT Cobertura")</f>
        <v>Subdirección de Energía Eléctrica - GIT Cobertura</v>
      </c>
      <c r="B411" s="35">
        <f ca="1">IFERROR(__xludf.DUMMYFUNCTION("""COMPUTED_VALUE"""),3)</f>
        <v>3</v>
      </c>
      <c r="C411" s="35" t="str">
        <f ca="1">IFERROR(__xludf.DUMMYFUNCTION("""COMPUTED_VALUE"""),"3.5")</f>
        <v>3.5</v>
      </c>
      <c r="D411" s="35" t="str">
        <f ca="1">IFERROR(__xludf.DUMMYFUNCTION("""COMPUTED_VALUE"""),"Trim 4")</f>
        <v>Trim 4</v>
      </c>
      <c r="E411" s="35"/>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row>
    <row r="412" spans="1:37" ht="30">
      <c r="A412" s="35" t="str">
        <f ca="1">IFERROR(__xludf.DUMMYFUNCTION("""COMPUTED_VALUE"""),"Subdirección de Energía Eléctrica - GIT Cobertura")</f>
        <v>Subdirección de Energía Eléctrica - GIT Cobertura</v>
      </c>
      <c r="B412" s="35">
        <f ca="1">IFERROR(__xludf.DUMMYFUNCTION("""COMPUTED_VALUE"""),3)</f>
        <v>3</v>
      </c>
      <c r="C412" s="35" t="str">
        <f ca="1">IFERROR(__xludf.DUMMYFUNCTION("""COMPUTED_VALUE"""),"3.5")</f>
        <v>3.5</v>
      </c>
      <c r="D412" s="35" t="str">
        <f ca="1">IFERROR(__xludf.DUMMYFUNCTION("""COMPUTED_VALUE"""),"Trim 4")</f>
        <v>Trim 4</v>
      </c>
      <c r="E412" s="35"/>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row>
    <row r="413" spans="1:37" ht="30">
      <c r="A413" s="35" t="str">
        <f ca="1">IFERROR(__xludf.DUMMYFUNCTION("""COMPUTED_VALUE"""),"Oficina de Gestión de Proyectos de Fondos")</f>
        <v>Oficina de Gestión de Proyectos de Fondos</v>
      </c>
      <c r="B413" s="35">
        <f ca="1">IFERROR(__xludf.DUMMYFUNCTION("""COMPUTED_VALUE"""),1)</f>
        <v>1</v>
      </c>
      <c r="C413" s="35" t="str">
        <f ca="1">IFERROR(__xludf.DUMMYFUNCTION("""COMPUTED_VALUE"""),"1.1")</f>
        <v>1.1</v>
      </c>
      <c r="D413" s="35" t="str">
        <f ca="1">IFERROR(__xludf.DUMMYFUNCTION("""COMPUTED_VALUE"""),"Trim 4")</f>
        <v>Trim 4</v>
      </c>
      <c r="E413" s="35"/>
      <c r="F413" s="35"/>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row>
    <row r="414" spans="1:37" ht="30">
      <c r="A414" s="35" t="str">
        <f ca="1">IFERROR(__xludf.DUMMYFUNCTION("""COMPUTED_VALUE"""),"Oficina de Gestión de Proyectos de Fondos")</f>
        <v>Oficina de Gestión de Proyectos de Fondos</v>
      </c>
      <c r="B414" s="35">
        <f ca="1">IFERROR(__xludf.DUMMYFUNCTION("""COMPUTED_VALUE"""),1)</f>
        <v>1</v>
      </c>
      <c r="C414" s="35" t="str">
        <f ca="1">IFERROR(__xludf.DUMMYFUNCTION("""COMPUTED_VALUE"""),"1.1")</f>
        <v>1.1</v>
      </c>
      <c r="D414" s="35" t="str">
        <f ca="1">IFERROR(__xludf.DUMMYFUNCTION("""COMPUTED_VALUE"""),"Trim 4")</f>
        <v>Trim 4</v>
      </c>
      <c r="E414" s="35"/>
      <c r="F414" s="35"/>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row>
    <row r="415" spans="1:37" ht="30">
      <c r="A415" s="35" t="str">
        <f ca="1">IFERROR(__xludf.DUMMYFUNCTION("""COMPUTED_VALUE"""),"Oficina de Gestión de Proyectos de Fondos")</f>
        <v>Oficina de Gestión de Proyectos de Fondos</v>
      </c>
      <c r="B415" s="35">
        <f ca="1">IFERROR(__xludf.DUMMYFUNCTION("""COMPUTED_VALUE"""),1)</f>
        <v>1</v>
      </c>
      <c r="C415" s="35" t="str">
        <f ca="1">IFERROR(__xludf.DUMMYFUNCTION("""COMPUTED_VALUE"""),"1.1")</f>
        <v>1.1</v>
      </c>
      <c r="D415" s="35" t="str">
        <f ca="1">IFERROR(__xludf.DUMMYFUNCTION("""COMPUTED_VALUE"""),"Trim 4")</f>
        <v>Trim 4</v>
      </c>
      <c r="E415" s="35"/>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row>
    <row r="416" spans="1:37" ht="30">
      <c r="A416" s="35" t="str">
        <f ca="1">IFERROR(__xludf.DUMMYFUNCTION("""COMPUTED_VALUE"""),"Oficina de Gestión de Proyectos de Fondos")</f>
        <v>Oficina de Gestión de Proyectos de Fondos</v>
      </c>
      <c r="B416" s="35">
        <f ca="1">IFERROR(__xludf.DUMMYFUNCTION("""COMPUTED_VALUE"""),1)</f>
        <v>1</v>
      </c>
      <c r="C416" s="35" t="str">
        <f ca="1">IFERROR(__xludf.DUMMYFUNCTION("""COMPUTED_VALUE"""),"1.1")</f>
        <v>1.1</v>
      </c>
      <c r="D416" s="35" t="str">
        <f ca="1">IFERROR(__xludf.DUMMYFUNCTION("""COMPUTED_VALUE"""),"Trim 4")</f>
        <v>Trim 4</v>
      </c>
      <c r="E416" s="35"/>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row>
    <row r="417" spans="1:37" ht="30">
      <c r="A417" s="35" t="str">
        <f ca="1">IFERROR(__xludf.DUMMYFUNCTION("""COMPUTED_VALUE"""),"Oficina de Gestión de Proyectos de Fondos")</f>
        <v>Oficina de Gestión de Proyectos de Fondos</v>
      </c>
      <c r="B417" s="35">
        <f ca="1">IFERROR(__xludf.DUMMYFUNCTION("""COMPUTED_VALUE"""),1)</f>
        <v>1</v>
      </c>
      <c r="C417" s="35" t="str">
        <f ca="1">IFERROR(__xludf.DUMMYFUNCTION("""COMPUTED_VALUE"""),"1.2")</f>
        <v>1.2</v>
      </c>
      <c r="D417" s="35" t="str">
        <f ca="1">IFERROR(__xludf.DUMMYFUNCTION("""COMPUTED_VALUE"""),"Trim 4")</f>
        <v>Trim 4</v>
      </c>
      <c r="E417" s="35"/>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row>
    <row r="418" spans="1:37" ht="30">
      <c r="A418" s="35" t="str">
        <f ca="1">IFERROR(__xludf.DUMMYFUNCTION("""COMPUTED_VALUE"""),"Oficina de Gestión de Proyectos de Fondos")</f>
        <v>Oficina de Gestión de Proyectos de Fondos</v>
      </c>
      <c r="B418" s="35">
        <f ca="1">IFERROR(__xludf.DUMMYFUNCTION("""COMPUTED_VALUE"""),1)</f>
        <v>1</v>
      </c>
      <c r="C418" s="35" t="str">
        <f ca="1">IFERROR(__xludf.DUMMYFUNCTION("""COMPUTED_VALUE"""),"1.2")</f>
        <v>1.2</v>
      </c>
      <c r="D418" s="35"/>
      <c r="E418" s="35"/>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row>
    <row r="419" spans="1:37" ht="30">
      <c r="A419" s="35" t="str">
        <f ca="1">IFERROR(__xludf.DUMMYFUNCTION("""COMPUTED_VALUE"""),"Oficina de Gestión de Proyectos de Fondos")</f>
        <v>Oficina de Gestión de Proyectos de Fondos</v>
      </c>
      <c r="B419" s="35">
        <f ca="1">IFERROR(__xludf.DUMMYFUNCTION("""COMPUTED_VALUE"""),1)</f>
        <v>1</v>
      </c>
      <c r="C419" s="35" t="str">
        <f ca="1">IFERROR(__xludf.DUMMYFUNCTION("""COMPUTED_VALUE"""),"1.2")</f>
        <v>1.2</v>
      </c>
      <c r="D419" s="35"/>
      <c r="E419" s="35"/>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row>
    <row r="420" spans="1:37" ht="30">
      <c r="A420" s="35" t="str">
        <f ca="1">IFERROR(__xludf.DUMMYFUNCTION("""COMPUTED_VALUE"""),"Oficina de Gestión de Proyectos de Fondos")</f>
        <v>Oficina de Gestión de Proyectos de Fondos</v>
      </c>
      <c r="B420" s="35">
        <f ca="1">IFERROR(__xludf.DUMMYFUNCTION("""COMPUTED_VALUE"""),1)</f>
        <v>1</v>
      </c>
      <c r="C420" s="35" t="str">
        <f ca="1">IFERROR(__xludf.DUMMYFUNCTION("""COMPUTED_VALUE"""),"1.2")</f>
        <v>1.2</v>
      </c>
      <c r="D420" s="35"/>
      <c r="E420" s="35"/>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row>
    <row r="421" spans="1:37" ht="30">
      <c r="A421" s="35" t="str">
        <f ca="1">IFERROR(__xludf.DUMMYFUNCTION("""COMPUTED_VALUE"""),"Oficina de Gestión de Proyectos de Fondos")</f>
        <v>Oficina de Gestión de Proyectos de Fondos</v>
      </c>
      <c r="B421" s="35">
        <f ca="1">IFERROR(__xludf.DUMMYFUNCTION("""COMPUTED_VALUE"""),1)</f>
        <v>1</v>
      </c>
      <c r="C421" s="35" t="str">
        <f ca="1">IFERROR(__xludf.DUMMYFUNCTION("""COMPUTED_VALUE"""),"1.3")</f>
        <v>1.3</v>
      </c>
      <c r="D421" s="35" t="str">
        <f ca="1">IFERROR(__xludf.DUMMYFUNCTION("""COMPUTED_VALUE"""),"Trim 4")</f>
        <v>Trim 4</v>
      </c>
      <c r="E421" s="35"/>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row>
    <row r="422" spans="1:37" ht="30">
      <c r="A422" s="35" t="str">
        <f ca="1">IFERROR(__xludf.DUMMYFUNCTION("""COMPUTED_VALUE"""),"Oficina de Gestión de Proyectos de Fondos")</f>
        <v>Oficina de Gestión de Proyectos de Fondos</v>
      </c>
      <c r="B422" s="35">
        <f ca="1">IFERROR(__xludf.DUMMYFUNCTION("""COMPUTED_VALUE"""),1)</f>
        <v>1</v>
      </c>
      <c r="C422" s="35" t="str">
        <f ca="1">IFERROR(__xludf.DUMMYFUNCTION("""COMPUTED_VALUE"""),"1.3")</f>
        <v>1.3</v>
      </c>
      <c r="D422" s="35"/>
      <c r="E422" s="35"/>
      <c r="F422" s="35"/>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row>
    <row r="423" spans="1:37" ht="30">
      <c r="A423" s="35" t="str">
        <f ca="1">IFERROR(__xludf.DUMMYFUNCTION("""COMPUTED_VALUE"""),"Oficina de Gestión de Proyectos de Fondos")</f>
        <v>Oficina de Gestión de Proyectos de Fondos</v>
      </c>
      <c r="B423" s="35">
        <f ca="1">IFERROR(__xludf.DUMMYFUNCTION("""COMPUTED_VALUE"""),1)</f>
        <v>1</v>
      </c>
      <c r="C423" s="35" t="str">
        <f ca="1">IFERROR(__xludf.DUMMYFUNCTION("""COMPUTED_VALUE"""),"1.3")</f>
        <v>1.3</v>
      </c>
      <c r="D423" s="35"/>
      <c r="E423" s="35"/>
      <c r="F423" s="35"/>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row>
    <row r="424" spans="1:37" ht="30">
      <c r="A424" s="35" t="str">
        <f ca="1">IFERROR(__xludf.DUMMYFUNCTION("""COMPUTED_VALUE"""),"Oficina de Gestión de Proyectos de Fondos")</f>
        <v>Oficina de Gestión de Proyectos de Fondos</v>
      </c>
      <c r="B424" s="35">
        <f ca="1">IFERROR(__xludf.DUMMYFUNCTION("""COMPUTED_VALUE"""),1)</f>
        <v>1</v>
      </c>
      <c r="C424" s="35" t="str">
        <f ca="1">IFERROR(__xludf.DUMMYFUNCTION("""COMPUTED_VALUE"""),"1.3")</f>
        <v>1.3</v>
      </c>
      <c r="D424" s="35"/>
      <c r="E424" s="35"/>
      <c r="F424" s="35"/>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row>
    <row r="425" spans="1:37" ht="30">
      <c r="A425" s="35" t="str">
        <f ca="1">IFERROR(__xludf.DUMMYFUNCTION("""COMPUTED_VALUE"""),"Oficina de Gestión de Proyectos de Fondos")</f>
        <v>Oficina de Gestión de Proyectos de Fondos</v>
      </c>
      <c r="B425" s="35">
        <f ca="1">IFERROR(__xludf.DUMMYFUNCTION("""COMPUTED_VALUE"""),1)</f>
        <v>1</v>
      </c>
      <c r="C425" s="35" t="str">
        <f ca="1">IFERROR(__xludf.DUMMYFUNCTION("""COMPUTED_VALUE"""),"1.4")</f>
        <v>1.4</v>
      </c>
      <c r="D425" s="35" t="str">
        <f ca="1">IFERROR(__xludf.DUMMYFUNCTION("""COMPUTED_VALUE"""),"Trim 4")</f>
        <v>Trim 4</v>
      </c>
      <c r="E425" s="35"/>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row>
    <row r="426" spans="1:37" ht="30">
      <c r="A426" s="35" t="str">
        <f ca="1">IFERROR(__xludf.DUMMYFUNCTION("""COMPUTED_VALUE"""),"Oficina de Gestión de Proyectos de Fondos")</f>
        <v>Oficina de Gestión de Proyectos de Fondos</v>
      </c>
      <c r="B426" s="35">
        <f ca="1">IFERROR(__xludf.DUMMYFUNCTION("""COMPUTED_VALUE"""),1)</f>
        <v>1</v>
      </c>
      <c r="C426" s="35" t="str">
        <f ca="1">IFERROR(__xludf.DUMMYFUNCTION("""COMPUTED_VALUE"""),"1.4")</f>
        <v>1.4</v>
      </c>
      <c r="D426" s="35"/>
      <c r="E426" s="35"/>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row>
    <row r="427" spans="1:37" ht="30">
      <c r="A427" s="35" t="str">
        <f ca="1">IFERROR(__xludf.DUMMYFUNCTION("""COMPUTED_VALUE"""),"Oficina de Gestión de Proyectos de Fondos")</f>
        <v>Oficina de Gestión de Proyectos de Fondos</v>
      </c>
      <c r="B427" s="35">
        <f ca="1">IFERROR(__xludf.DUMMYFUNCTION("""COMPUTED_VALUE"""),1)</f>
        <v>1</v>
      </c>
      <c r="C427" s="35" t="str">
        <f ca="1">IFERROR(__xludf.DUMMYFUNCTION("""COMPUTED_VALUE"""),"1.4")</f>
        <v>1.4</v>
      </c>
      <c r="D427" s="35"/>
      <c r="E427" s="35"/>
      <c r="F427" s="35"/>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row>
    <row r="428" spans="1:37" ht="30">
      <c r="A428" s="35" t="str">
        <f ca="1">IFERROR(__xludf.DUMMYFUNCTION("""COMPUTED_VALUE"""),"Oficina de Gestión de Proyectos de Fondos")</f>
        <v>Oficina de Gestión de Proyectos de Fondos</v>
      </c>
      <c r="B428" s="35">
        <f ca="1">IFERROR(__xludf.DUMMYFUNCTION("""COMPUTED_VALUE"""),1)</f>
        <v>1</v>
      </c>
      <c r="C428" s="35" t="str">
        <f ca="1">IFERROR(__xludf.DUMMYFUNCTION("""COMPUTED_VALUE"""),"1.4")</f>
        <v>1.4</v>
      </c>
      <c r="D428" s="35"/>
      <c r="E428" s="35"/>
      <c r="F428" s="35"/>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row>
    <row r="429" spans="1:37" ht="30">
      <c r="A429" s="35" t="str">
        <f ca="1">IFERROR(__xludf.DUMMYFUNCTION("""COMPUTED_VALUE"""),"Oficina de Gestión de Proyectos de Fondos")</f>
        <v>Oficina de Gestión de Proyectos de Fondos</v>
      </c>
      <c r="B429" s="35">
        <f ca="1">IFERROR(__xludf.DUMMYFUNCTION("""COMPUTED_VALUE"""),1)</f>
        <v>1</v>
      </c>
      <c r="C429" s="35" t="str">
        <f ca="1">IFERROR(__xludf.DUMMYFUNCTION("""COMPUTED_VALUE"""),"1.5")</f>
        <v>1.5</v>
      </c>
      <c r="D429" s="35" t="str">
        <f ca="1">IFERROR(__xludf.DUMMYFUNCTION("""COMPUTED_VALUE"""),"Trim 4")</f>
        <v>Trim 4</v>
      </c>
      <c r="E429" s="35"/>
      <c r="F429" s="35"/>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row>
    <row r="430" spans="1:37" ht="30">
      <c r="A430" s="35" t="str">
        <f ca="1">IFERROR(__xludf.DUMMYFUNCTION("""COMPUTED_VALUE"""),"Oficina de Gestión de Proyectos de Fondos")</f>
        <v>Oficina de Gestión de Proyectos de Fondos</v>
      </c>
      <c r="B430" s="35">
        <f ca="1">IFERROR(__xludf.DUMMYFUNCTION("""COMPUTED_VALUE"""),1)</f>
        <v>1</v>
      </c>
      <c r="C430" s="35" t="str">
        <f ca="1">IFERROR(__xludf.DUMMYFUNCTION("""COMPUTED_VALUE"""),"1.5")</f>
        <v>1.5</v>
      </c>
      <c r="D430" s="35" t="str">
        <f ca="1">IFERROR(__xludf.DUMMYFUNCTION("""COMPUTED_VALUE"""),"Trim 4")</f>
        <v>Trim 4</v>
      </c>
      <c r="E430" s="35"/>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row>
    <row r="431" spans="1:37" ht="30">
      <c r="A431" s="35" t="str">
        <f ca="1">IFERROR(__xludf.DUMMYFUNCTION("""COMPUTED_VALUE"""),"Oficina de Gestión de Proyectos de Fondos")</f>
        <v>Oficina de Gestión de Proyectos de Fondos</v>
      </c>
      <c r="B431" s="35">
        <f ca="1">IFERROR(__xludf.DUMMYFUNCTION("""COMPUTED_VALUE"""),1)</f>
        <v>1</v>
      </c>
      <c r="C431" s="35" t="str">
        <f ca="1">IFERROR(__xludf.DUMMYFUNCTION("""COMPUTED_VALUE"""),"1.5")</f>
        <v>1.5</v>
      </c>
      <c r="D431" s="35" t="str">
        <f ca="1">IFERROR(__xludf.DUMMYFUNCTION("""COMPUTED_VALUE"""),"Trim 4")</f>
        <v>Trim 4</v>
      </c>
      <c r="E431" s="35"/>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row>
    <row r="432" spans="1:37" ht="30">
      <c r="A432" s="35" t="str">
        <f ca="1">IFERROR(__xludf.DUMMYFUNCTION("""COMPUTED_VALUE"""),"Oficina de Gestión de Proyectos de Fondos")</f>
        <v>Oficina de Gestión de Proyectos de Fondos</v>
      </c>
      <c r="B432" s="35">
        <f ca="1">IFERROR(__xludf.DUMMYFUNCTION("""COMPUTED_VALUE"""),1)</f>
        <v>1</v>
      </c>
      <c r="C432" s="35" t="str">
        <f ca="1">IFERROR(__xludf.DUMMYFUNCTION("""COMPUTED_VALUE"""),"1.5")</f>
        <v>1.5</v>
      </c>
      <c r="D432" s="35" t="str">
        <f ca="1">IFERROR(__xludf.DUMMYFUNCTION("""COMPUTED_VALUE"""),"Trim 4")</f>
        <v>Trim 4</v>
      </c>
      <c r="E432" s="35"/>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row>
    <row r="433" spans="1:37" ht="30">
      <c r="A433" s="35" t="str">
        <f ca="1">IFERROR(__xludf.DUMMYFUNCTION("""COMPUTED_VALUE"""),"Oficina de Gestión de Proyectos de Fondos")</f>
        <v>Oficina de Gestión de Proyectos de Fondos</v>
      </c>
      <c r="B433" s="35">
        <f ca="1">IFERROR(__xludf.DUMMYFUNCTION("""COMPUTED_VALUE"""),1)</f>
        <v>1</v>
      </c>
      <c r="C433" s="35" t="str">
        <f ca="1">IFERROR(__xludf.DUMMYFUNCTION("""COMPUTED_VALUE"""),"1.6")</f>
        <v>1.6</v>
      </c>
      <c r="D433" s="35" t="str">
        <f ca="1">IFERROR(__xludf.DUMMYFUNCTION("""COMPUTED_VALUE"""),"Trim 4")</f>
        <v>Trim 4</v>
      </c>
      <c r="E433" s="35"/>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row>
    <row r="434" spans="1:37" ht="30">
      <c r="A434" s="35" t="str">
        <f ca="1">IFERROR(__xludf.DUMMYFUNCTION("""COMPUTED_VALUE"""),"Oficina de Gestión de Proyectos de Fondos")</f>
        <v>Oficina de Gestión de Proyectos de Fondos</v>
      </c>
      <c r="B434" s="35">
        <f ca="1">IFERROR(__xludf.DUMMYFUNCTION("""COMPUTED_VALUE"""),1)</f>
        <v>1</v>
      </c>
      <c r="C434" s="35" t="str">
        <f ca="1">IFERROR(__xludf.DUMMYFUNCTION("""COMPUTED_VALUE"""),"1.6")</f>
        <v>1.6</v>
      </c>
      <c r="D434" s="35" t="str">
        <f ca="1">IFERROR(__xludf.DUMMYFUNCTION("""COMPUTED_VALUE"""),"Trim 4")</f>
        <v>Trim 4</v>
      </c>
      <c r="E434" s="35"/>
      <c r="F434" s="35"/>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row>
    <row r="435" spans="1:37" ht="30">
      <c r="A435" s="35" t="str">
        <f ca="1">IFERROR(__xludf.DUMMYFUNCTION("""COMPUTED_VALUE"""),"Oficina de Gestión de Proyectos de Fondos")</f>
        <v>Oficina de Gestión de Proyectos de Fondos</v>
      </c>
      <c r="B435" s="35">
        <f ca="1">IFERROR(__xludf.DUMMYFUNCTION("""COMPUTED_VALUE"""),1)</f>
        <v>1</v>
      </c>
      <c r="C435" s="35" t="str">
        <f ca="1">IFERROR(__xludf.DUMMYFUNCTION("""COMPUTED_VALUE"""),"1.6")</f>
        <v>1.6</v>
      </c>
      <c r="D435" s="35" t="str">
        <f ca="1">IFERROR(__xludf.DUMMYFUNCTION("""COMPUTED_VALUE"""),"Trim 4")</f>
        <v>Trim 4</v>
      </c>
      <c r="E435" s="35"/>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row>
    <row r="436" spans="1:37" ht="30">
      <c r="A436" s="35" t="str">
        <f ca="1">IFERROR(__xludf.DUMMYFUNCTION("""COMPUTED_VALUE"""),"Oficina de Gestión de Proyectos de Fondos")</f>
        <v>Oficina de Gestión de Proyectos de Fondos</v>
      </c>
      <c r="B436" s="35">
        <f ca="1">IFERROR(__xludf.DUMMYFUNCTION("""COMPUTED_VALUE"""),1)</f>
        <v>1</v>
      </c>
      <c r="C436" s="35" t="str">
        <f ca="1">IFERROR(__xludf.DUMMYFUNCTION("""COMPUTED_VALUE"""),"1.6")</f>
        <v>1.6</v>
      </c>
      <c r="D436" s="35" t="str">
        <f ca="1">IFERROR(__xludf.DUMMYFUNCTION("""COMPUTED_VALUE"""),"Trim 4")</f>
        <v>Trim 4</v>
      </c>
      <c r="E436" s="35"/>
      <c r="F436" s="35"/>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row>
    <row r="437" spans="1:37" ht="30">
      <c r="A437" s="35" t="str">
        <f ca="1">IFERROR(__xludf.DUMMYFUNCTION("""COMPUTED_VALUE"""),"Oficina de Gestión de Proyectos de Fondos")</f>
        <v>Oficina de Gestión de Proyectos de Fondos</v>
      </c>
      <c r="B437" s="35">
        <f ca="1">IFERROR(__xludf.DUMMYFUNCTION("""COMPUTED_VALUE"""),1)</f>
        <v>1</v>
      </c>
      <c r="C437" s="35" t="str">
        <f ca="1">IFERROR(__xludf.DUMMYFUNCTION("""COMPUTED_VALUE"""),"1.7")</f>
        <v>1.7</v>
      </c>
      <c r="D437" s="35" t="str">
        <f ca="1">IFERROR(__xludf.DUMMYFUNCTION("""COMPUTED_VALUE"""),"Trim 4")</f>
        <v>Trim 4</v>
      </c>
      <c r="E437" s="35"/>
      <c r="F437" s="35"/>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row>
    <row r="438" spans="1:37" ht="30">
      <c r="A438" s="35" t="str">
        <f ca="1">IFERROR(__xludf.DUMMYFUNCTION("""COMPUTED_VALUE"""),"Oficina de Gestión de Proyectos de Fondos")</f>
        <v>Oficina de Gestión de Proyectos de Fondos</v>
      </c>
      <c r="B438" s="35">
        <f ca="1">IFERROR(__xludf.DUMMYFUNCTION("""COMPUTED_VALUE"""),1)</f>
        <v>1</v>
      </c>
      <c r="C438" s="35" t="str">
        <f ca="1">IFERROR(__xludf.DUMMYFUNCTION("""COMPUTED_VALUE"""),"1.7")</f>
        <v>1.7</v>
      </c>
      <c r="D438" s="35"/>
      <c r="E438" s="35"/>
      <c r="F438" s="35"/>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row>
    <row r="439" spans="1:37" ht="30">
      <c r="A439" s="35" t="str">
        <f ca="1">IFERROR(__xludf.DUMMYFUNCTION("""COMPUTED_VALUE"""),"Oficina de Gestión de Proyectos de Fondos")</f>
        <v>Oficina de Gestión de Proyectos de Fondos</v>
      </c>
      <c r="B439" s="35">
        <f ca="1">IFERROR(__xludf.DUMMYFUNCTION("""COMPUTED_VALUE"""),1)</f>
        <v>1</v>
      </c>
      <c r="C439" s="35" t="str">
        <f ca="1">IFERROR(__xludf.DUMMYFUNCTION("""COMPUTED_VALUE"""),"1.7")</f>
        <v>1.7</v>
      </c>
      <c r="D439" s="35"/>
      <c r="E439" s="35"/>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row>
    <row r="440" spans="1:37">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row>
    <row r="441" spans="1:37">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row>
    <row r="442" spans="1:37">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row>
    <row r="443" spans="1:37">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row>
    <row r="444" spans="1:37">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row>
    <row r="445" spans="1:37">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row>
    <row r="446" spans="1:37">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row>
    <row r="447" spans="1:37">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row>
    <row r="448" spans="1:37">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row>
    <row r="449" spans="1:37">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row>
    <row r="450" spans="1:37">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row>
    <row r="451" spans="1:37">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row>
    <row r="452" spans="1:37">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row>
    <row r="453" spans="1:37">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row>
    <row r="454" spans="1:37">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row>
    <row r="455" spans="1:37">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row>
    <row r="456" spans="1:37">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row>
    <row r="457" spans="1:37">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row>
    <row r="458" spans="1:37">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row>
    <row r="459" spans="1:37">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row>
    <row r="460" spans="1:37">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row>
    <row r="461" spans="1:37">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row>
    <row r="462" spans="1:37">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row>
    <row r="463" spans="1:37">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row>
    <row r="464" spans="1:37">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row>
    <row r="465" spans="1:37">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row>
    <row r="466" spans="1:37">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row>
    <row r="467" spans="1:37">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row>
    <row r="468" spans="1:37">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row>
    <row r="469" spans="1:37">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row>
    <row r="470" spans="1:37">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row>
    <row r="471" spans="1:37">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row>
    <row r="472" spans="1:37">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row>
    <row r="473" spans="1:37">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row>
    <row r="474" spans="1:37">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row>
    <row r="475" spans="1:37">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row>
    <row r="476" spans="1:37">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row>
    <row r="477" spans="1:37">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row>
    <row r="478" spans="1:37">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row>
    <row r="479" spans="1:37">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row>
    <row r="480" spans="1:37">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row>
    <row r="481" spans="1:37">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row>
    <row r="482" spans="1:37">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row>
    <row r="483" spans="1:37">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row>
    <row r="484" spans="1:37">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row>
    <row r="485" spans="1:37">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row>
    <row r="486" spans="1:37">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row>
    <row r="487" spans="1:37">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row>
    <row r="488" spans="1:37">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row>
    <row r="489" spans="1:37">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row>
    <row r="490" spans="1:37">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row>
    <row r="491" spans="1:37">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row>
    <row r="492" spans="1:37">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row>
    <row r="493" spans="1:37">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row>
    <row r="494" spans="1:37">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row>
    <row r="495" spans="1:37">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row>
    <row r="496" spans="1:37">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row>
    <row r="497" spans="1:37">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row>
    <row r="498" spans="1:37">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row>
    <row r="499" spans="1:37">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row>
    <row r="500" spans="1:37">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row>
    <row r="501" spans="1:37">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row>
    <row r="502" spans="1:37">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row>
    <row r="503" spans="1:37">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row>
    <row r="504" spans="1:37">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row>
    <row r="505" spans="1:37">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row>
    <row r="506" spans="1:37">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row>
    <row r="507" spans="1:37">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row>
    <row r="508" spans="1:37">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row>
    <row r="509" spans="1:37">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row>
    <row r="510" spans="1:37">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row>
    <row r="511" spans="1:37">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row>
    <row r="512" spans="1:37">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row>
    <row r="513" spans="1:37">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row>
    <row r="514" spans="1:37">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row>
    <row r="515" spans="1:37">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row>
    <row r="516" spans="1:37">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row>
    <row r="517" spans="1:37">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row>
    <row r="518" spans="1:37">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row>
    <row r="519" spans="1:37">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row>
    <row r="520" spans="1:37">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row>
    <row r="521" spans="1:37">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row>
    <row r="522" spans="1:37">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row>
    <row r="523" spans="1:37">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row>
    <row r="524" spans="1:37">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row>
    <row r="525" spans="1:37">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row>
    <row r="526" spans="1:37">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row>
    <row r="527" spans="1:37">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row>
    <row r="528" spans="1:37">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row>
    <row r="529" spans="1:37">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row>
    <row r="530" spans="1:37">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row>
    <row r="531" spans="1:37">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row>
    <row r="532" spans="1:37">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row>
    <row r="533" spans="1:37">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row>
    <row r="534" spans="1:37">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row>
    <row r="535" spans="1:37">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row>
    <row r="536" spans="1:37">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row>
    <row r="537" spans="1:37">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row>
    <row r="538" spans="1:37">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row>
    <row r="539" spans="1:37">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row>
    <row r="540" spans="1:37">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row>
    <row r="541" spans="1:37">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row>
    <row r="542" spans="1:37">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row>
    <row r="543" spans="1:37">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row>
    <row r="544" spans="1:37">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row>
    <row r="545" spans="1:37">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row>
    <row r="546" spans="1:37">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row>
    <row r="547" spans="1:37">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row>
    <row r="548" spans="1:37">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row>
    <row r="549" spans="1:37">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row>
    <row r="550" spans="1:37">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row>
    <row r="551" spans="1:37">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row>
    <row r="552" spans="1:37">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row>
    <row r="553" spans="1:37">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row>
    <row r="554" spans="1:37">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row>
    <row r="555" spans="1:37">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row>
    <row r="556" spans="1:37">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row>
    <row r="557" spans="1:37">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row>
    <row r="558" spans="1:37">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row>
    <row r="559" spans="1:37">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row>
    <row r="560" spans="1:37">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row>
    <row r="561" spans="1:37">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row>
    <row r="562" spans="1:37">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row>
    <row r="563" spans="1:37">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row>
    <row r="564" spans="1:37">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row>
    <row r="565" spans="1:37">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row>
    <row r="566" spans="1:37">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row>
    <row r="567" spans="1:37">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row>
    <row r="568" spans="1:37">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row>
    <row r="569" spans="1:37">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row>
    <row r="570" spans="1:37">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row>
    <row r="571" spans="1:37">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row>
    <row r="572" spans="1:37">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row>
    <row r="573" spans="1:37">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row>
    <row r="574" spans="1:37">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row>
    <row r="575" spans="1:37">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row>
    <row r="576" spans="1:37">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row>
    <row r="577" spans="1:37">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row>
    <row r="578" spans="1:37">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row>
    <row r="579" spans="1:37">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row>
    <row r="580" spans="1:37">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row>
    <row r="581" spans="1:37">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row>
    <row r="582" spans="1:37">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row>
    <row r="583" spans="1:37">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row>
    <row r="584" spans="1:37">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row>
    <row r="585" spans="1:37">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row>
    <row r="586" spans="1:37">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row>
    <row r="587" spans="1:37">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row>
    <row r="588" spans="1:37">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row>
    <row r="589" spans="1:37">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row>
    <row r="590" spans="1:37">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row>
    <row r="591" spans="1:37">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row>
    <row r="592" spans="1:37">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row>
    <row r="593" spans="1:37">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row>
    <row r="594" spans="1:37">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row>
    <row r="595" spans="1:37">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row>
    <row r="596" spans="1:37">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row>
    <row r="597" spans="1:37">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row>
    <row r="598" spans="1:37">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row>
    <row r="599" spans="1:37">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row>
    <row r="600" spans="1:37">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row>
    <row r="601" spans="1:37">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row>
    <row r="602" spans="1:37">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row>
    <row r="603" spans="1:37">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row>
    <row r="604" spans="1:37">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row>
    <row r="605" spans="1:37">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row>
    <row r="606" spans="1:37">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row>
    <row r="607" spans="1:37">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row>
    <row r="608" spans="1:37">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row>
    <row r="609" spans="1:37">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row>
    <row r="610" spans="1:37">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row>
    <row r="611" spans="1:37">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row>
    <row r="612" spans="1:37">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row>
    <row r="613" spans="1:37">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row>
    <row r="614" spans="1:37">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row>
    <row r="615" spans="1:37">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row>
    <row r="616" spans="1:37">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row>
    <row r="617" spans="1:37">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row>
    <row r="618" spans="1:37">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row>
    <row r="619" spans="1:37">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row>
    <row r="620" spans="1:37">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row>
    <row r="621" spans="1:37">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row>
    <row r="622" spans="1:37">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row>
    <row r="623" spans="1:37">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row>
    <row r="624" spans="1:37">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row>
    <row r="625" spans="1:37">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row>
    <row r="626" spans="1:37">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row>
    <row r="627" spans="1:37">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row>
    <row r="628" spans="1:37">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row>
    <row r="629" spans="1:37">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row>
    <row r="630" spans="1:37">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row>
    <row r="631" spans="1:37">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row>
    <row r="632" spans="1:37">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row>
    <row r="633" spans="1:37">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row>
    <row r="634" spans="1:37">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row>
    <row r="635" spans="1:37">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row>
    <row r="636" spans="1:37">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row>
    <row r="637" spans="1:37">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row>
    <row r="638" spans="1:37">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row>
    <row r="639" spans="1:37">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row>
    <row r="640" spans="1:37">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row>
    <row r="641" spans="1:37">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row>
    <row r="642" spans="1:37">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row>
    <row r="643" spans="1:37">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row>
    <row r="644" spans="1:37">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row>
    <row r="645" spans="1:37">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row>
    <row r="646" spans="1:37">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row>
    <row r="647" spans="1:37">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row>
    <row r="648" spans="1:37">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row>
    <row r="649" spans="1:37">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row>
    <row r="650" spans="1:37">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row>
    <row r="651" spans="1:37">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row>
    <row r="652" spans="1:37">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row>
    <row r="653" spans="1:37">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row>
    <row r="654" spans="1:37">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row>
    <row r="655" spans="1:37">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row>
    <row r="656" spans="1:37">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row>
    <row r="657" spans="1:37">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row>
    <row r="658" spans="1:37">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row>
    <row r="659" spans="1:37">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row>
    <row r="660" spans="1:37">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row>
    <row r="661" spans="1:37">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row>
    <row r="662" spans="1:37">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row>
    <row r="663" spans="1:37">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row>
    <row r="664" spans="1:37">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row>
    <row r="665" spans="1:37">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row>
    <row r="666" spans="1:37">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row>
    <row r="667" spans="1:37">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row>
    <row r="668" spans="1:37">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row>
    <row r="669" spans="1:37">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row>
    <row r="670" spans="1:37">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row>
    <row r="671" spans="1:37">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row>
    <row r="672" spans="1:37">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row>
    <row r="673" spans="1:37">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row>
    <row r="674" spans="1:37">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row>
    <row r="675" spans="1:37">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row>
    <row r="676" spans="1:37">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row>
    <row r="677" spans="1:37">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row>
    <row r="678" spans="1:37">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row>
    <row r="679" spans="1:37">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row>
    <row r="680" spans="1:37">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row>
    <row r="681" spans="1:37">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row>
    <row r="682" spans="1:37">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row>
    <row r="683" spans="1:37">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row>
    <row r="684" spans="1:37">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row>
    <row r="685" spans="1:37">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row>
    <row r="686" spans="1:37">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row>
    <row r="687" spans="1:37">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row>
    <row r="688" spans="1:37">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row>
    <row r="689" spans="1:37">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row>
    <row r="690" spans="1:37">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row>
    <row r="691" spans="1:37">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row>
    <row r="692" spans="1:37">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row>
    <row r="693" spans="1:37">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row>
    <row r="694" spans="1:37">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row>
    <row r="695" spans="1:37">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row>
    <row r="696" spans="1:37">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row>
    <row r="697" spans="1:37">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row>
    <row r="698" spans="1:37">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row>
    <row r="699" spans="1:37">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row>
    <row r="700" spans="1:37">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row>
    <row r="701" spans="1:37">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row>
    <row r="702" spans="1:37">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row>
    <row r="703" spans="1:37">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row>
    <row r="704" spans="1:37">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row>
    <row r="705" spans="1:37">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row>
    <row r="706" spans="1:37">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row>
    <row r="707" spans="1:37">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row>
    <row r="708" spans="1:37">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row>
    <row r="709" spans="1:37">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row>
    <row r="710" spans="1:37">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row>
    <row r="711" spans="1:37">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row>
    <row r="712" spans="1:37">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row>
    <row r="713" spans="1:37">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row>
    <row r="714" spans="1:37">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row>
    <row r="715" spans="1:37">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row>
    <row r="716" spans="1:37">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row>
    <row r="717" spans="1:37">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row>
    <row r="718" spans="1:37">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row>
    <row r="719" spans="1:37">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row>
    <row r="720" spans="1:37">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row>
    <row r="721" spans="1:37">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row>
    <row r="722" spans="1:37">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row>
    <row r="723" spans="1:37">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row>
    <row r="724" spans="1:37">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row>
    <row r="725" spans="1:37">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row>
    <row r="726" spans="1:37">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row>
    <row r="727" spans="1:37">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row>
    <row r="728" spans="1:37">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row>
    <row r="729" spans="1:37">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row>
    <row r="730" spans="1:37">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row>
    <row r="731" spans="1:37">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row>
    <row r="732" spans="1:37">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row>
    <row r="733" spans="1:37">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row>
    <row r="734" spans="1:37">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row>
    <row r="735" spans="1:37">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row>
    <row r="736" spans="1:37">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row>
    <row r="737" spans="1:37">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row>
    <row r="738" spans="1:37">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row>
    <row r="739" spans="1:37">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row>
    <row r="740" spans="1:37">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row>
    <row r="741" spans="1:37">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row>
    <row r="742" spans="1:37">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row>
    <row r="743" spans="1:37">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row>
    <row r="744" spans="1:37">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row>
    <row r="745" spans="1:37">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row>
    <row r="746" spans="1:37">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row>
    <row r="747" spans="1:37">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row>
    <row r="748" spans="1:37">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row>
    <row r="749" spans="1:37">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row>
    <row r="750" spans="1:37">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row>
    <row r="751" spans="1:37">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row>
    <row r="752" spans="1:37">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row>
    <row r="753" spans="1:37">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row>
    <row r="754" spans="1:37">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row>
    <row r="755" spans="1:37">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row>
    <row r="756" spans="1:37">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row>
    <row r="757" spans="1:37">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row>
    <row r="758" spans="1:37">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row>
    <row r="759" spans="1:37">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row>
    <row r="760" spans="1:37">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row>
    <row r="761" spans="1:37">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row>
    <row r="762" spans="1:37">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row>
    <row r="763" spans="1:37">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row>
    <row r="764" spans="1:37">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row>
    <row r="765" spans="1:37">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row>
    <row r="766" spans="1:37">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row>
    <row r="767" spans="1:37">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row>
    <row r="768" spans="1:37">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row>
    <row r="769" spans="1:37">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row>
    <row r="770" spans="1:37">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row>
    <row r="771" spans="1:37">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row>
    <row r="772" spans="1:37">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row>
    <row r="773" spans="1:37">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row>
    <row r="774" spans="1:37">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row>
    <row r="775" spans="1:37">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row>
    <row r="776" spans="1:37">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row>
    <row r="777" spans="1:37">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row>
    <row r="778" spans="1:37">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row>
    <row r="779" spans="1:37">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row>
    <row r="780" spans="1:37">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row>
    <row r="781" spans="1:37">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row>
    <row r="782" spans="1:37">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row>
    <row r="783" spans="1:37">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row>
    <row r="784" spans="1:37">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row>
    <row r="785" spans="1:37">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row>
    <row r="786" spans="1:37">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row>
    <row r="787" spans="1:37">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row>
    <row r="788" spans="1:37">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row>
    <row r="789" spans="1:37">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row>
    <row r="790" spans="1:37">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row>
    <row r="791" spans="1:37">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row>
    <row r="792" spans="1:37">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row>
    <row r="793" spans="1:37">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row>
    <row r="794" spans="1:37">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row>
    <row r="795" spans="1:37">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row>
    <row r="796" spans="1:37">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row>
    <row r="797" spans="1:37">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row>
    <row r="798" spans="1:37">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row>
    <row r="799" spans="1:37">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row>
    <row r="800" spans="1:37">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row>
    <row r="801" spans="1:37">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row>
    <row r="802" spans="1:37">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row>
    <row r="803" spans="1:37">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row>
    <row r="804" spans="1:37">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row>
    <row r="805" spans="1:37">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row>
    <row r="806" spans="1:37">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row>
    <row r="807" spans="1:37">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row>
    <row r="808" spans="1:37">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row>
    <row r="809" spans="1:37">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row>
    <row r="810" spans="1:37">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row>
    <row r="811" spans="1:37">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row>
    <row r="812" spans="1:37">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row>
    <row r="813" spans="1:37">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row>
    <row r="814" spans="1:37">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row>
    <row r="815" spans="1:37">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row>
    <row r="816" spans="1:37">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row>
    <row r="817" spans="1:37">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row>
    <row r="818" spans="1:37">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row>
    <row r="819" spans="1:37">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row>
    <row r="820" spans="1:37">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row>
    <row r="821" spans="1:37">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row>
    <row r="822" spans="1:37">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row>
    <row r="823" spans="1:37">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row>
    <row r="824" spans="1:37">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row>
    <row r="825" spans="1:37">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row>
    <row r="826" spans="1:37">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row>
    <row r="827" spans="1:37">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row>
    <row r="828" spans="1:37">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row>
    <row r="829" spans="1:37">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row>
    <row r="830" spans="1:37">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row>
    <row r="831" spans="1:37">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row>
    <row r="832" spans="1:37">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row>
    <row r="833" spans="1:37">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row>
    <row r="834" spans="1:37">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row>
    <row r="835" spans="1:37">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row>
    <row r="836" spans="1:37">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row>
    <row r="837" spans="1:37">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row>
    <row r="838" spans="1:37">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row>
    <row r="839" spans="1:37">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row>
    <row r="840" spans="1:37">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row>
    <row r="841" spans="1:37">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row>
    <row r="842" spans="1:37">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row>
    <row r="843" spans="1:37">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row>
    <row r="844" spans="1:37">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row>
    <row r="845" spans="1:37">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row>
    <row r="846" spans="1:37">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row>
    <row r="847" spans="1:37">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row>
    <row r="848" spans="1:37">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row>
    <row r="849" spans="1:37">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row>
    <row r="850" spans="1:37">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row>
    <row r="851" spans="1:37">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row>
    <row r="852" spans="1:37">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row>
    <row r="853" spans="1:37">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row>
    <row r="854" spans="1:37">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row>
    <row r="855" spans="1:37">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row>
    <row r="856" spans="1:37">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row>
    <row r="857" spans="1:37">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row>
    <row r="858" spans="1:37">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row>
    <row r="859" spans="1:37">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row>
    <row r="860" spans="1:37">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row>
    <row r="861" spans="1:37">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row>
    <row r="862" spans="1:37">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row>
    <row r="863" spans="1:37">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row>
    <row r="864" spans="1:37">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row>
    <row r="865" spans="1:37">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row>
    <row r="866" spans="1:37">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row>
    <row r="867" spans="1:37">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row>
    <row r="868" spans="1:37">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row>
    <row r="869" spans="1:37">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row>
    <row r="870" spans="1:37">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row>
    <row r="871" spans="1:37">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row>
    <row r="872" spans="1:37">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row>
    <row r="873" spans="1:37">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row>
    <row r="874" spans="1:37">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row>
    <row r="875" spans="1:37">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row>
    <row r="876" spans="1:37">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row>
    <row r="877" spans="1:37">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row>
    <row r="878" spans="1:37">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row>
    <row r="879" spans="1:37">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row>
    <row r="880" spans="1:37">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row>
    <row r="881" spans="1:37">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row>
    <row r="882" spans="1:37">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row>
    <row r="883" spans="1:37">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row>
    <row r="884" spans="1:37">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row>
    <row r="885" spans="1:37">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row>
    <row r="886" spans="1:37">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row>
    <row r="887" spans="1:37">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row>
    <row r="888" spans="1:37">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row>
    <row r="889" spans="1:37">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row>
    <row r="890" spans="1:37">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row>
    <row r="891" spans="1:37">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row>
    <row r="892" spans="1:37">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row>
    <row r="893" spans="1:37">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row>
    <row r="894" spans="1:37">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row>
    <row r="895" spans="1:37">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row>
    <row r="896" spans="1:37">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row>
    <row r="897" spans="1:37">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row>
    <row r="898" spans="1:37">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row>
    <row r="899" spans="1:37">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row>
    <row r="900" spans="1:37">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row>
    <row r="901" spans="1:37">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row>
    <row r="902" spans="1:37">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row>
    <row r="903" spans="1:37">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row>
    <row r="904" spans="1:37">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row>
    <row r="905" spans="1:37">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row>
    <row r="906" spans="1:37">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row>
    <row r="907" spans="1:37">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row>
    <row r="908" spans="1:37">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row>
    <row r="909" spans="1:37">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row>
    <row r="910" spans="1:37">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row>
    <row r="911" spans="1:37">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row>
    <row r="912" spans="1:37">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row>
    <row r="913" spans="1:37">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row>
    <row r="914" spans="1:37">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row>
    <row r="915" spans="1:37">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row>
    <row r="916" spans="1:37">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row>
    <row r="917" spans="1:37">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row>
    <row r="918" spans="1:37">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row>
    <row r="919" spans="1:37">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row>
    <row r="920" spans="1:37">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row>
    <row r="921" spans="1:37">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row>
    <row r="922" spans="1:37">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row>
    <row r="923" spans="1:37">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row>
    <row r="924" spans="1:37">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row>
    <row r="925" spans="1:37">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row>
    <row r="926" spans="1:37">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row>
    <row r="927" spans="1:37">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row>
    <row r="928" spans="1:37">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row>
    <row r="929" spans="1:37">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row>
    <row r="930" spans="1:37">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row>
    <row r="931" spans="1:37">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row>
    <row r="932" spans="1:37">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row>
    <row r="933" spans="1:37">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row>
    <row r="934" spans="1:37">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row>
    <row r="935" spans="1:37">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row>
    <row r="936" spans="1:37">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row>
    <row r="937" spans="1:37">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row>
    <row r="938" spans="1:37">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row>
    <row r="939" spans="1:37">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row>
    <row r="940" spans="1:37">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row>
    <row r="941" spans="1:37">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row>
    <row r="942" spans="1:37">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row>
    <row r="943" spans="1:37">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row>
    <row r="944" spans="1:37">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row>
    <row r="945" spans="1:37">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row>
    <row r="946" spans="1:37">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row>
    <row r="947" spans="1:37">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row>
    <row r="948" spans="1:37">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row>
    <row r="949" spans="1:37">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row>
    <row r="950" spans="1:37">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row>
    <row r="951" spans="1:37">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row>
    <row r="952" spans="1:37">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row>
    <row r="953" spans="1:37">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row>
    <row r="954" spans="1:37">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row>
    <row r="955" spans="1:37">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row>
    <row r="956" spans="1:37">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row>
    <row r="957" spans="1:37">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row>
    <row r="958" spans="1:37">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row>
    <row r="959" spans="1:37">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row>
    <row r="960" spans="1:37">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row>
    <row r="961" spans="1:37">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row>
    <row r="962" spans="1:37">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row>
    <row r="963" spans="1:37">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row>
    <row r="964" spans="1:37">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row>
    <row r="965" spans="1:37">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row>
    <row r="966" spans="1:37">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row>
    <row r="967" spans="1:37">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row>
    <row r="968" spans="1:37">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row>
    <row r="969" spans="1:37">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row>
    <row r="970" spans="1:37">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row>
    <row r="971" spans="1:37">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row>
    <row r="972" spans="1:37">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35"/>
      <c r="AB972" s="35"/>
      <c r="AC972" s="35"/>
      <c r="AD972" s="35"/>
      <c r="AE972" s="35"/>
      <c r="AF972" s="35"/>
      <c r="AG972" s="35"/>
      <c r="AH972" s="35"/>
      <c r="AI972" s="35"/>
      <c r="AJ972" s="35"/>
      <c r="AK972" s="35"/>
    </row>
    <row r="973" spans="1:37">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row>
    <row r="974" spans="1:37">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AA974" s="35"/>
      <c r="AB974" s="35"/>
      <c r="AC974" s="35"/>
      <c r="AD974" s="35"/>
      <c r="AE974" s="35"/>
      <c r="AF974" s="35"/>
      <c r="AG974" s="35"/>
      <c r="AH974" s="35"/>
      <c r="AI974" s="35"/>
      <c r="AJ974" s="35"/>
      <c r="AK974" s="35"/>
    </row>
    <row r="975" spans="1:37">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AB975" s="35"/>
      <c r="AC975" s="35"/>
      <c r="AD975" s="35"/>
      <c r="AE975" s="35"/>
      <c r="AF975" s="35"/>
      <c r="AG975" s="35"/>
      <c r="AH975" s="35"/>
      <c r="AI975" s="35"/>
      <c r="AJ975" s="35"/>
      <c r="AK975" s="35"/>
    </row>
    <row r="976" spans="1:37">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row>
    <row r="977" spans="1:37">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row>
    <row r="978" spans="1:37">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row>
    <row r="979" spans="1:37">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row>
    <row r="980" spans="1:37">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row>
    <row r="981" spans="1:37">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row>
    <row r="982" spans="1:37">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c r="AA982" s="35"/>
      <c r="AB982" s="35"/>
      <c r="AC982" s="35"/>
      <c r="AD982" s="35"/>
      <c r="AE982" s="35"/>
      <c r="AF982" s="35"/>
      <c r="AG982" s="35"/>
      <c r="AH982" s="35"/>
      <c r="AI982" s="35"/>
      <c r="AJ982" s="35"/>
      <c r="AK982" s="35"/>
    </row>
    <row r="983" spans="1:37">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c r="AA983" s="35"/>
      <c r="AB983" s="35"/>
      <c r="AC983" s="35"/>
      <c r="AD983" s="35"/>
      <c r="AE983" s="35"/>
      <c r="AF983" s="35"/>
      <c r="AG983" s="35"/>
      <c r="AH983" s="35"/>
      <c r="AI983" s="35"/>
      <c r="AJ983" s="35"/>
      <c r="AK983" s="35"/>
    </row>
    <row r="984" spans="1:37">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c r="AA984" s="35"/>
      <c r="AB984" s="35"/>
      <c r="AC984" s="35"/>
      <c r="AD984" s="35"/>
      <c r="AE984" s="35"/>
      <c r="AF984" s="35"/>
      <c r="AG984" s="35"/>
      <c r="AH984" s="35"/>
      <c r="AI984" s="35"/>
      <c r="AJ984" s="35"/>
      <c r="AK984" s="35"/>
    </row>
    <row r="985" spans="1:37">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c r="AA985" s="35"/>
      <c r="AB985" s="35"/>
      <c r="AC985" s="35"/>
      <c r="AD985" s="35"/>
      <c r="AE985" s="35"/>
      <c r="AF985" s="35"/>
      <c r="AG985" s="35"/>
      <c r="AH985" s="35"/>
      <c r="AI985" s="35"/>
      <c r="AJ985" s="35"/>
      <c r="AK985" s="35"/>
    </row>
    <row r="986" spans="1:37">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c r="AA986" s="35"/>
      <c r="AB986" s="35"/>
      <c r="AC986" s="35"/>
      <c r="AD986" s="35"/>
      <c r="AE986" s="35"/>
      <c r="AF986" s="35"/>
      <c r="AG986" s="35"/>
      <c r="AH986" s="35"/>
      <c r="AI986" s="35"/>
      <c r="AJ986" s="35"/>
      <c r="AK986" s="35"/>
    </row>
    <row r="987" spans="1:37">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c r="AA987" s="35"/>
      <c r="AB987" s="35"/>
      <c r="AC987" s="35"/>
      <c r="AD987" s="35"/>
      <c r="AE987" s="35"/>
      <c r="AF987" s="35"/>
      <c r="AG987" s="35"/>
      <c r="AH987" s="35"/>
      <c r="AI987" s="35"/>
      <c r="AJ987" s="35"/>
      <c r="AK987" s="35"/>
    </row>
    <row r="988" spans="1:37">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c r="AA988" s="35"/>
      <c r="AB988" s="35"/>
      <c r="AC988" s="35"/>
      <c r="AD988" s="35"/>
      <c r="AE988" s="35"/>
      <c r="AF988" s="35"/>
      <c r="AG988" s="35"/>
      <c r="AH988" s="35"/>
      <c r="AI988" s="35"/>
      <c r="AJ988" s="35"/>
      <c r="AK988" s="35"/>
    </row>
    <row r="989" spans="1:37">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c r="AA989" s="35"/>
      <c r="AB989" s="35"/>
      <c r="AC989" s="35"/>
      <c r="AD989" s="35"/>
      <c r="AE989" s="35"/>
      <c r="AF989" s="35"/>
      <c r="AG989" s="35"/>
      <c r="AH989" s="35"/>
      <c r="AI989" s="35"/>
      <c r="AJ989" s="35"/>
      <c r="AK989" s="35"/>
    </row>
    <row r="990" spans="1:37">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c r="AA990" s="35"/>
      <c r="AB990" s="35"/>
      <c r="AC990" s="35"/>
      <c r="AD990" s="35"/>
      <c r="AE990" s="35"/>
      <c r="AF990" s="35"/>
      <c r="AG990" s="35"/>
      <c r="AH990" s="35"/>
      <c r="AI990" s="35"/>
      <c r="AJ990" s="35"/>
      <c r="AK990" s="35"/>
    </row>
    <row r="991" spans="1:37">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c r="AA991" s="35"/>
      <c r="AB991" s="35"/>
      <c r="AC991" s="35"/>
      <c r="AD991" s="35"/>
      <c r="AE991" s="35"/>
      <c r="AF991" s="35"/>
      <c r="AG991" s="35"/>
      <c r="AH991" s="35"/>
      <c r="AI991" s="35"/>
      <c r="AJ991" s="35"/>
      <c r="AK991" s="35"/>
    </row>
    <row r="992" spans="1:37">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c r="AA992" s="35"/>
      <c r="AB992" s="35"/>
      <c r="AC992" s="35"/>
      <c r="AD992" s="35"/>
      <c r="AE992" s="35"/>
      <c r="AF992" s="35"/>
      <c r="AG992" s="35"/>
      <c r="AH992" s="35"/>
      <c r="AI992" s="35"/>
      <c r="AJ992" s="35"/>
      <c r="AK992" s="35"/>
    </row>
    <row r="993" spans="1:37">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c r="AA993" s="35"/>
      <c r="AB993" s="35"/>
      <c r="AC993" s="35"/>
      <c r="AD993" s="35"/>
      <c r="AE993" s="35"/>
      <c r="AF993" s="35"/>
      <c r="AG993" s="35"/>
      <c r="AH993" s="35"/>
      <c r="AI993" s="35"/>
      <c r="AJ993" s="35"/>
      <c r="AK993" s="35"/>
    </row>
    <row r="994" spans="1:37">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c r="AA994" s="35"/>
      <c r="AB994" s="35"/>
      <c r="AC994" s="35"/>
      <c r="AD994" s="35"/>
      <c r="AE994" s="35"/>
      <c r="AF994" s="35"/>
      <c r="AG994" s="35"/>
      <c r="AH994" s="35"/>
      <c r="AI994" s="35"/>
      <c r="AJ994" s="35"/>
      <c r="AK994" s="35"/>
    </row>
    <row r="995" spans="1:37">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c r="AA995" s="35"/>
      <c r="AB995" s="35"/>
      <c r="AC995" s="35"/>
      <c r="AD995" s="35"/>
      <c r="AE995" s="35"/>
      <c r="AF995" s="35"/>
      <c r="AG995" s="35"/>
      <c r="AH995" s="35"/>
      <c r="AI995" s="35"/>
      <c r="AJ995" s="35"/>
      <c r="AK995" s="35"/>
    </row>
    <row r="996" spans="1:37">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c r="AA996" s="35"/>
      <c r="AB996" s="35"/>
      <c r="AC996" s="35"/>
      <c r="AD996" s="35"/>
      <c r="AE996" s="35"/>
      <c r="AF996" s="35"/>
      <c r="AG996" s="35"/>
      <c r="AH996" s="35"/>
      <c r="AI996" s="35"/>
      <c r="AJ996" s="35"/>
      <c r="AK996" s="35"/>
    </row>
    <row r="997" spans="1:37">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c r="AA997" s="35"/>
      <c r="AB997" s="35"/>
      <c r="AC997" s="35"/>
      <c r="AD997" s="35"/>
      <c r="AE997" s="35"/>
      <c r="AF997" s="35"/>
      <c r="AG997" s="35"/>
      <c r="AH997" s="35"/>
      <c r="AI997" s="35"/>
      <c r="AJ997" s="35"/>
      <c r="AK997" s="35"/>
    </row>
    <row r="998" spans="1:37">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c r="AA998" s="35"/>
      <c r="AB998" s="35"/>
      <c r="AC998" s="35"/>
      <c r="AD998" s="35"/>
      <c r="AE998" s="35"/>
      <c r="AF998" s="35"/>
      <c r="AG998" s="35"/>
      <c r="AH998" s="35"/>
      <c r="AI998" s="35"/>
      <c r="AJ998" s="35"/>
      <c r="AK998" s="35"/>
    </row>
    <row r="999" spans="1:37">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c r="AA999" s="35"/>
      <c r="AB999" s="35"/>
      <c r="AC999" s="35"/>
      <c r="AD999" s="35"/>
      <c r="AE999" s="35"/>
      <c r="AF999" s="35"/>
      <c r="AG999" s="35"/>
      <c r="AH999" s="35"/>
      <c r="AI999" s="35"/>
      <c r="AJ999" s="35"/>
      <c r="AK999" s="35"/>
    </row>
    <row r="1000" spans="1:37">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c r="AA1000" s="35"/>
      <c r="AB1000" s="35"/>
      <c r="AC1000" s="35"/>
      <c r="AD1000" s="35"/>
      <c r="AE1000" s="35"/>
      <c r="AF1000" s="35"/>
      <c r="AG1000" s="35"/>
      <c r="AH1000" s="35"/>
      <c r="AI1000" s="35"/>
      <c r="AJ1000" s="35"/>
      <c r="AK1000" s="35"/>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0"/>
  <sheetViews>
    <sheetView showGridLines="0" workbookViewId="0"/>
  </sheetViews>
  <sheetFormatPr baseColWidth="10" defaultColWidth="12.625" defaultRowHeight="15" customHeight="1"/>
  <sheetData>
    <row r="1" spans="1:26" ht="15" customHeight="1">
      <c r="A1" s="67" t="s">
        <v>14</v>
      </c>
      <c r="B1" s="68" t="s">
        <v>1287</v>
      </c>
      <c r="F1" s="38"/>
      <c r="G1" s="38"/>
      <c r="H1" s="38"/>
      <c r="I1" s="38"/>
      <c r="J1" s="38"/>
      <c r="K1" s="38"/>
      <c r="L1" s="38"/>
      <c r="M1" s="38"/>
      <c r="N1" s="38"/>
      <c r="O1" s="38"/>
      <c r="P1" s="38"/>
      <c r="Q1" s="38"/>
      <c r="R1" s="38"/>
      <c r="S1" s="38"/>
      <c r="T1" s="38"/>
      <c r="U1" s="38"/>
      <c r="V1" s="38"/>
      <c r="W1" s="38"/>
      <c r="X1" s="38"/>
      <c r="Y1" s="38"/>
      <c r="Z1" s="38"/>
    </row>
    <row r="2" spans="1:26" ht="15" customHeight="1">
      <c r="F2" s="38"/>
      <c r="G2" s="38"/>
      <c r="H2" s="38"/>
      <c r="I2" s="38"/>
      <c r="J2" s="38"/>
      <c r="K2" s="38"/>
      <c r="L2" s="38"/>
      <c r="M2" s="38"/>
      <c r="N2" s="38"/>
      <c r="O2" s="38"/>
      <c r="P2" s="38"/>
      <c r="Q2" s="38"/>
      <c r="R2" s="38"/>
      <c r="S2" s="38"/>
      <c r="T2" s="38"/>
      <c r="U2" s="38"/>
      <c r="V2" s="38"/>
      <c r="W2" s="38"/>
      <c r="X2" s="38"/>
      <c r="Y2" s="38"/>
      <c r="Z2" s="38"/>
    </row>
    <row r="3" spans="1:26" ht="15" customHeight="1">
      <c r="A3" s="50"/>
      <c r="B3" s="51"/>
      <c r="C3" s="51"/>
      <c r="D3" s="52" t="s">
        <v>1283</v>
      </c>
      <c r="E3" s="53"/>
      <c r="F3" s="38"/>
      <c r="G3" s="38"/>
      <c r="H3" s="38"/>
      <c r="I3" s="38"/>
      <c r="J3" s="38"/>
      <c r="K3" s="38"/>
      <c r="L3" s="38"/>
      <c r="M3" s="38"/>
      <c r="N3" s="38"/>
      <c r="O3" s="38"/>
      <c r="P3" s="38"/>
      <c r="Q3" s="38"/>
      <c r="R3" s="38"/>
      <c r="S3" s="38"/>
      <c r="T3" s="38"/>
      <c r="U3" s="38"/>
      <c r="V3" s="38"/>
      <c r="W3" s="38"/>
      <c r="X3" s="38"/>
      <c r="Y3" s="38"/>
      <c r="Z3" s="38"/>
    </row>
    <row r="4" spans="1:26" ht="15" customHeight="1">
      <c r="A4" s="52" t="s">
        <v>4</v>
      </c>
      <c r="B4" s="52" t="s">
        <v>5</v>
      </c>
      <c r="C4" s="52" t="s">
        <v>8</v>
      </c>
      <c r="D4" s="50" t="s">
        <v>1284</v>
      </c>
      <c r="E4" s="54" t="s">
        <v>1285</v>
      </c>
      <c r="F4" s="38"/>
      <c r="G4" s="38"/>
      <c r="H4" s="38"/>
      <c r="I4" s="38"/>
      <c r="J4" s="38"/>
      <c r="K4" s="38"/>
      <c r="L4" s="38"/>
      <c r="M4" s="38"/>
      <c r="N4" s="38"/>
      <c r="O4" s="38"/>
      <c r="P4" s="38"/>
      <c r="Q4" s="38"/>
      <c r="R4" s="38"/>
      <c r="S4" s="38"/>
      <c r="T4" s="38"/>
      <c r="U4" s="38"/>
      <c r="V4" s="38"/>
      <c r="W4" s="38"/>
      <c r="X4" s="38"/>
      <c r="Y4" s="38"/>
      <c r="Z4" s="38"/>
    </row>
    <row r="5" spans="1:26" ht="15" customHeight="1">
      <c r="A5" s="50" t="s">
        <v>32</v>
      </c>
      <c r="B5" s="50">
        <v>1</v>
      </c>
      <c r="C5" s="50" t="s">
        <v>34</v>
      </c>
      <c r="D5" s="55">
        <v>6.25E-2</v>
      </c>
      <c r="E5" s="56">
        <v>1.5599999999999999E-2</v>
      </c>
      <c r="F5" s="38"/>
      <c r="G5" s="38"/>
      <c r="H5" s="38"/>
      <c r="I5" s="38"/>
      <c r="J5" s="38"/>
      <c r="K5" s="38"/>
      <c r="L5" s="38"/>
      <c r="M5" s="38"/>
      <c r="N5" s="38"/>
      <c r="O5" s="38"/>
      <c r="P5" s="38"/>
      <c r="Q5" s="38"/>
      <c r="R5" s="38"/>
      <c r="S5" s="38"/>
      <c r="T5" s="38"/>
      <c r="U5" s="38"/>
      <c r="V5" s="38"/>
      <c r="W5" s="38"/>
      <c r="X5" s="38"/>
      <c r="Y5" s="38"/>
      <c r="Z5" s="38"/>
    </row>
    <row r="6" spans="1:26" ht="15" customHeight="1">
      <c r="A6" s="57"/>
      <c r="B6" s="57"/>
      <c r="C6" s="58" t="s">
        <v>47</v>
      </c>
      <c r="D6" s="59">
        <v>6.25E-2</v>
      </c>
      <c r="E6" s="60">
        <v>1.5599999999999999E-2</v>
      </c>
      <c r="F6" s="38"/>
      <c r="G6" s="38"/>
      <c r="H6" s="38"/>
      <c r="I6" s="38"/>
      <c r="J6" s="38"/>
      <c r="K6" s="38"/>
      <c r="L6" s="38"/>
      <c r="M6" s="38"/>
      <c r="N6" s="38"/>
      <c r="O6" s="38"/>
      <c r="P6" s="38"/>
      <c r="Q6" s="38"/>
      <c r="R6" s="38"/>
      <c r="S6" s="38"/>
      <c r="T6" s="38"/>
      <c r="U6" s="38"/>
      <c r="V6" s="38"/>
      <c r="W6" s="38"/>
      <c r="X6" s="38"/>
      <c r="Y6" s="38"/>
      <c r="Z6" s="38"/>
    </row>
    <row r="7" spans="1:26" ht="15" customHeight="1">
      <c r="A7" s="57"/>
      <c r="B7" s="57"/>
      <c r="C7" s="58" t="s">
        <v>49</v>
      </c>
      <c r="D7" s="59">
        <v>6.25E-2</v>
      </c>
      <c r="E7" s="60">
        <v>1.5599999999999999E-2</v>
      </c>
      <c r="F7" s="38"/>
      <c r="G7" s="38"/>
      <c r="H7" s="38"/>
      <c r="I7" s="38"/>
      <c r="J7" s="38"/>
      <c r="K7" s="38"/>
      <c r="L7" s="38"/>
      <c r="M7" s="38"/>
      <c r="N7" s="38"/>
      <c r="O7" s="38"/>
      <c r="P7" s="38"/>
      <c r="Q7" s="38"/>
      <c r="R7" s="38"/>
      <c r="S7" s="38"/>
      <c r="T7" s="38"/>
      <c r="U7" s="38"/>
      <c r="V7" s="38"/>
      <c r="W7" s="38"/>
      <c r="X7" s="38"/>
      <c r="Y7" s="38"/>
      <c r="Z7" s="38"/>
    </row>
    <row r="8" spans="1:26" ht="15" customHeight="1">
      <c r="A8" s="57"/>
      <c r="B8" s="57"/>
      <c r="C8" s="58" t="s">
        <v>52</v>
      </c>
      <c r="D8" s="59">
        <v>6.25E-2</v>
      </c>
      <c r="E8" s="60">
        <v>1.5599999999999999E-2</v>
      </c>
      <c r="F8" s="38"/>
      <c r="G8" s="38"/>
      <c r="H8" s="38"/>
      <c r="I8" s="38"/>
      <c r="J8" s="38"/>
      <c r="K8" s="38"/>
      <c r="L8" s="38"/>
      <c r="M8" s="38"/>
      <c r="N8" s="38"/>
      <c r="O8" s="38"/>
      <c r="P8" s="38"/>
      <c r="Q8" s="38"/>
      <c r="R8" s="38"/>
      <c r="S8" s="38"/>
      <c r="T8" s="38"/>
      <c r="U8" s="38"/>
      <c r="V8" s="38"/>
      <c r="W8" s="38"/>
      <c r="X8" s="38"/>
      <c r="Y8" s="38"/>
      <c r="Z8" s="38"/>
    </row>
    <row r="9" spans="1:26" ht="15" customHeight="1">
      <c r="A9" s="57"/>
      <c r="B9" s="50">
        <v>2</v>
      </c>
      <c r="C9" s="50" t="s">
        <v>56</v>
      </c>
      <c r="D9" s="55">
        <v>8.3333333333333329E-2</v>
      </c>
      <c r="E9" s="56">
        <v>1.5599999999999999E-2</v>
      </c>
      <c r="F9" s="38"/>
      <c r="G9" s="38"/>
      <c r="H9" s="38"/>
      <c r="I9" s="38"/>
      <c r="J9" s="38"/>
      <c r="K9" s="38"/>
      <c r="L9" s="38"/>
      <c r="M9" s="38"/>
      <c r="N9" s="38"/>
      <c r="O9" s="38"/>
      <c r="P9" s="38"/>
      <c r="Q9" s="38"/>
      <c r="R9" s="38"/>
      <c r="S9" s="38"/>
      <c r="T9" s="38"/>
      <c r="U9" s="38"/>
      <c r="V9" s="38"/>
      <c r="W9" s="38"/>
      <c r="X9" s="38"/>
      <c r="Y9" s="38"/>
      <c r="Z9" s="38"/>
    </row>
    <row r="10" spans="1:26" ht="15" customHeight="1">
      <c r="A10" s="57"/>
      <c r="B10" s="57"/>
      <c r="C10" s="58" t="s">
        <v>60</v>
      </c>
      <c r="D10" s="59">
        <v>8.3333333333333329E-2</v>
      </c>
      <c r="E10" s="60">
        <v>1.5599999999999999E-2</v>
      </c>
      <c r="F10" s="38"/>
      <c r="G10" s="38"/>
      <c r="H10" s="38"/>
      <c r="I10" s="38"/>
      <c r="J10" s="38"/>
      <c r="K10" s="38"/>
      <c r="L10" s="38"/>
      <c r="M10" s="38"/>
      <c r="N10" s="38"/>
      <c r="O10" s="38"/>
      <c r="P10" s="38"/>
      <c r="Q10" s="38"/>
      <c r="R10" s="38"/>
      <c r="S10" s="38"/>
      <c r="T10" s="38"/>
      <c r="U10" s="38"/>
      <c r="V10" s="38"/>
      <c r="W10" s="38"/>
      <c r="X10" s="38"/>
      <c r="Y10" s="38"/>
      <c r="Z10" s="38"/>
    </row>
    <row r="11" spans="1:26" ht="15" customHeight="1">
      <c r="A11" s="57"/>
      <c r="B11" s="57"/>
      <c r="C11" s="58" t="s">
        <v>63</v>
      </c>
      <c r="D11" s="59">
        <v>8.3333333333333329E-2</v>
      </c>
      <c r="E11" s="60">
        <v>1.5599999999999999E-2</v>
      </c>
      <c r="F11" s="38"/>
      <c r="G11" s="38"/>
      <c r="H11" s="38"/>
      <c r="I11" s="38"/>
      <c r="J11" s="38"/>
      <c r="K11" s="38"/>
      <c r="L11" s="38"/>
      <c r="M11" s="38"/>
      <c r="N11" s="38"/>
      <c r="O11" s="38"/>
      <c r="P11" s="38"/>
      <c r="Q11" s="38"/>
      <c r="R11" s="38"/>
      <c r="S11" s="38"/>
      <c r="T11" s="38"/>
      <c r="U11" s="38"/>
      <c r="V11" s="38"/>
      <c r="W11" s="38"/>
      <c r="X11" s="38"/>
      <c r="Y11" s="38"/>
      <c r="Z11" s="38"/>
    </row>
    <row r="12" spans="1:26" ht="15" customHeight="1">
      <c r="A12" s="57"/>
      <c r="B12" s="50">
        <v>3</v>
      </c>
      <c r="C12" s="50" t="s">
        <v>68</v>
      </c>
      <c r="D12" s="55">
        <v>8.3333333333333329E-2</v>
      </c>
      <c r="E12" s="56">
        <v>0</v>
      </c>
      <c r="F12" s="38"/>
      <c r="G12" s="38"/>
      <c r="H12" s="38"/>
      <c r="I12" s="38"/>
      <c r="J12" s="38"/>
      <c r="K12" s="38"/>
      <c r="L12" s="38"/>
      <c r="M12" s="38"/>
      <c r="N12" s="38"/>
      <c r="O12" s="38"/>
      <c r="P12" s="38"/>
      <c r="Q12" s="38"/>
      <c r="R12" s="38"/>
      <c r="S12" s="38"/>
      <c r="T12" s="38"/>
      <c r="U12" s="38"/>
      <c r="V12" s="38"/>
      <c r="W12" s="38"/>
      <c r="X12" s="38"/>
      <c r="Y12" s="38"/>
      <c r="Z12" s="38"/>
    </row>
    <row r="13" spans="1:26" ht="15" customHeight="1">
      <c r="A13" s="57"/>
      <c r="B13" s="57"/>
      <c r="C13" s="58" t="s">
        <v>73</v>
      </c>
      <c r="D13" s="59">
        <v>8.3333333333333329E-2</v>
      </c>
      <c r="E13" s="60">
        <v>0</v>
      </c>
      <c r="F13" s="38"/>
      <c r="G13" s="38"/>
      <c r="H13" s="38"/>
      <c r="I13" s="38"/>
      <c r="J13" s="38"/>
      <c r="K13" s="38"/>
      <c r="L13" s="38"/>
      <c r="M13" s="38"/>
      <c r="N13" s="38"/>
      <c r="O13" s="38"/>
      <c r="P13" s="38"/>
      <c r="Q13" s="38"/>
      <c r="R13" s="38"/>
      <c r="S13" s="38"/>
      <c r="T13" s="38"/>
      <c r="U13" s="38"/>
      <c r="V13" s="38"/>
      <c r="W13" s="38"/>
      <c r="X13" s="38"/>
      <c r="Y13" s="38"/>
      <c r="Z13" s="38"/>
    </row>
    <row r="14" spans="1:26" ht="15" customHeight="1">
      <c r="A14" s="57"/>
      <c r="B14" s="57"/>
      <c r="C14" s="58" t="s">
        <v>75</v>
      </c>
      <c r="D14" s="59">
        <v>8.3333333333333329E-2</v>
      </c>
      <c r="E14" s="60">
        <v>0</v>
      </c>
      <c r="F14" s="38"/>
      <c r="G14" s="38"/>
      <c r="H14" s="38"/>
      <c r="I14" s="38"/>
      <c r="J14" s="38"/>
      <c r="K14" s="38"/>
      <c r="L14" s="38"/>
      <c r="M14" s="38"/>
      <c r="N14" s="38"/>
      <c r="O14" s="38"/>
      <c r="P14" s="38"/>
      <c r="Q14" s="38"/>
      <c r="R14" s="38"/>
      <c r="S14" s="38"/>
      <c r="T14" s="38"/>
      <c r="U14" s="38"/>
      <c r="V14" s="38"/>
      <c r="W14" s="38"/>
      <c r="X14" s="38"/>
      <c r="Y14" s="38"/>
      <c r="Z14" s="38"/>
    </row>
    <row r="15" spans="1:26" ht="15" customHeight="1">
      <c r="A15" s="57"/>
      <c r="B15" s="50">
        <v>4</v>
      </c>
      <c r="C15" s="50" t="s">
        <v>79</v>
      </c>
      <c r="D15" s="55">
        <v>6.25E-2</v>
      </c>
      <c r="E15" s="56">
        <v>0</v>
      </c>
      <c r="F15" s="38"/>
      <c r="G15" s="38"/>
      <c r="H15" s="38"/>
      <c r="I15" s="38"/>
      <c r="J15" s="38"/>
      <c r="K15" s="38"/>
      <c r="L15" s="38"/>
      <c r="M15" s="38"/>
      <c r="N15" s="38"/>
      <c r="O15" s="38"/>
      <c r="P15" s="38"/>
      <c r="Q15" s="38"/>
      <c r="R15" s="38"/>
      <c r="S15" s="38"/>
      <c r="T15" s="38"/>
      <c r="U15" s="38"/>
      <c r="V15" s="38"/>
      <c r="W15" s="38"/>
      <c r="X15" s="38"/>
      <c r="Y15" s="38"/>
      <c r="Z15" s="38"/>
    </row>
    <row r="16" spans="1:26" ht="15" customHeight="1">
      <c r="A16" s="57"/>
      <c r="B16" s="57"/>
      <c r="C16" s="58" t="s">
        <v>83</v>
      </c>
      <c r="D16" s="59">
        <v>6.25E-2</v>
      </c>
      <c r="E16" s="60">
        <v>1.5599999999999999E-2</v>
      </c>
      <c r="F16" s="38"/>
      <c r="G16" s="38"/>
      <c r="H16" s="38"/>
      <c r="I16" s="38"/>
      <c r="J16" s="38"/>
      <c r="K16" s="38"/>
      <c r="L16" s="38"/>
      <c r="M16" s="38"/>
      <c r="N16" s="38"/>
      <c r="O16" s="38"/>
      <c r="P16" s="38"/>
      <c r="Q16" s="38"/>
      <c r="R16" s="38"/>
      <c r="S16" s="38"/>
      <c r="T16" s="38"/>
      <c r="U16" s="38"/>
      <c r="V16" s="38"/>
      <c r="W16" s="38"/>
      <c r="X16" s="38"/>
      <c r="Y16" s="38"/>
      <c r="Z16" s="38"/>
    </row>
    <row r="17" spans="1:26" ht="15" customHeight="1">
      <c r="A17" s="57"/>
      <c r="B17" s="57"/>
      <c r="C17" s="58" t="s">
        <v>86</v>
      </c>
      <c r="D17" s="59">
        <v>6.25E-2</v>
      </c>
      <c r="E17" s="60">
        <v>1.5599999999999999E-2</v>
      </c>
      <c r="F17" s="38"/>
      <c r="G17" s="38"/>
      <c r="H17" s="38"/>
      <c r="I17" s="38"/>
      <c r="J17" s="38"/>
      <c r="K17" s="38"/>
      <c r="L17" s="38"/>
      <c r="M17" s="38"/>
      <c r="N17" s="38"/>
      <c r="O17" s="38"/>
      <c r="P17" s="38"/>
      <c r="Q17" s="38"/>
      <c r="R17" s="38"/>
      <c r="S17" s="38"/>
      <c r="T17" s="38"/>
      <c r="U17" s="38"/>
      <c r="V17" s="38"/>
      <c r="W17" s="38"/>
      <c r="X17" s="38"/>
      <c r="Y17" s="38"/>
      <c r="Z17" s="38"/>
    </row>
    <row r="18" spans="1:26" ht="15" customHeight="1">
      <c r="A18" s="57"/>
      <c r="B18" s="57"/>
      <c r="C18" s="58" t="s">
        <v>89</v>
      </c>
      <c r="D18" s="59">
        <v>6.25E-2</v>
      </c>
      <c r="E18" s="60">
        <v>1.5599999999999999E-2</v>
      </c>
      <c r="F18" s="38"/>
      <c r="G18" s="38"/>
      <c r="H18" s="38"/>
      <c r="I18" s="38"/>
      <c r="J18" s="38"/>
      <c r="K18" s="38"/>
      <c r="L18" s="38"/>
      <c r="M18" s="38"/>
      <c r="N18" s="38"/>
      <c r="O18" s="38"/>
      <c r="P18" s="38"/>
      <c r="Q18" s="38"/>
      <c r="R18" s="38"/>
      <c r="S18" s="38"/>
      <c r="T18" s="38"/>
      <c r="U18" s="38"/>
      <c r="V18" s="38"/>
      <c r="W18" s="38"/>
      <c r="X18" s="38"/>
      <c r="Y18" s="38"/>
      <c r="Z18" s="38"/>
    </row>
    <row r="19" spans="1:26" ht="15" customHeight="1">
      <c r="A19" s="50" t="s">
        <v>1247</v>
      </c>
      <c r="B19" s="51"/>
      <c r="C19" s="51"/>
      <c r="D19" s="55">
        <v>1</v>
      </c>
      <c r="E19" s="56">
        <v>0.156</v>
      </c>
      <c r="F19" s="38"/>
      <c r="G19" s="38"/>
      <c r="H19" s="38"/>
      <c r="I19" s="38"/>
      <c r="J19" s="38"/>
      <c r="K19" s="38"/>
      <c r="L19" s="38"/>
      <c r="M19" s="38"/>
      <c r="N19" s="38"/>
      <c r="O19" s="38"/>
      <c r="P19" s="38"/>
      <c r="Q19" s="38"/>
      <c r="R19" s="38"/>
      <c r="S19" s="38"/>
      <c r="T19" s="38"/>
      <c r="U19" s="38"/>
      <c r="V19" s="38"/>
      <c r="W19" s="38"/>
      <c r="X19" s="38"/>
      <c r="Y19" s="38"/>
      <c r="Z19" s="38"/>
    </row>
    <row r="20" spans="1:26" ht="15" customHeight="1">
      <c r="A20" s="50" t="s">
        <v>92</v>
      </c>
      <c r="B20" s="50">
        <v>1</v>
      </c>
      <c r="C20" s="50" t="s">
        <v>34</v>
      </c>
      <c r="D20" s="55">
        <v>0.05</v>
      </c>
      <c r="E20" s="56">
        <v>0.05</v>
      </c>
      <c r="F20" s="38"/>
      <c r="G20" s="38"/>
      <c r="H20" s="38"/>
      <c r="I20" s="38"/>
      <c r="J20" s="38"/>
      <c r="K20" s="38"/>
      <c r="L20" s="38"/>
      <c r="M20" s="38"/>
      <c r="N20" s="38"/>
      <c r="O20" s="38"/>
      <c r="P20" s="38"/>
      <c r="Q20" s="38"/>
      <c r="R20" s="38"/>
      <c r="S20" s="38"/>
      <c r="T20" s="38"/>
      <c r="U20" s="38"/>
      <c r="V20" s="38"/>
      <c r="W20" s="38"/>
      <c r="X20" s="38"/>
      <c r="Y20" s="38"/>
      <c r="Z20" s="38"/>
    </row>
    <row r="21" spans="1:26" ht="15" customHeight="1">
      <c r="A21" s="57"/>
      <c r="B21" s="57"/>
      <c r="C21" s="58" t="s">
        <v>47</v>
      </c>
      <c r="D21" s="59">
        <v>0.05</v>
      </c>
      <c r="E21" s="60">
        <v>0.05</v>
      </c>
      <c r="F21" s="38"/>
      <c r="G21" s="38"/>
      <c r="H21" s="38"/>
      <c r="I21" s="38"/>
      <c r="J21" s="38"/>
      <c r="K21" s="38"/>
      <c r="L21" s="38"/>
      <c r="M21" s="38"/>
      <c r="N21" s="38"/>
      <c r="O21" s="38"/>
      <c r="P21" s="38"/>
      <c r="Q21" s="38"/>
      <c r="R21" s="38"/>
      <c r="S21" s="38"/>
      <c r="T21" s="38"/>
      <c r="U21" s="38"/>
      <c r="V21" s="38"/>
      <c r="W21" s="38"/>
      <c r="X21" s="38"/>
      <c r="Y21" s="38"/>
      <c r="Z21" s="38"/>
    </row>
    <row r="22" spans="1:26" ht="15" customHeight="1">
      <c r="A22" s="57"/>
      <c r="B22" s="50">
        <v>2</v>
      </c>
      <c r="C22" s="50" t="s">
        <v>56</v>
      </c>
      <c r="D22" s="55">
        <v>0.04</v>
      </c>
      <c r="E22" s="56">
        <v>0.04</v>
      </c>
      <c r="F22" s="38"/>
      <c r="G22" s="38"/>
      <c r="H22" s="38"/>
      <c r="I22" s="38"/>
      <c r="J22" s="38"/>
      <c r="K22" s="38"/>
      <c r="L22" s="38"/>
      <c r="M22" s="38"/>
      <c r="N22" s="38"/>
      <c r="O22" s="38"/>
      <c r="P22" s="38"/>
      <c r="Q22" s="38"/>
      <c r="R22" s="38"/>
      <c r="S22" s="38"/>
      <c r="T22" s="38"/>
      <c r="U22" s="38"/>
      <c r="V22" s="38"/>
      <c r="W22" s="38"/>
      <c r="X22" s="38"/>
      <c r="Y22" s="38"/>
      <c r="Z22" s="38"/>
    </row>
    <row r="23" spans="1:26">
      <c r="A23" s="57"/>
      <c r="B23" s="57"/>
      <c r="C23" s="58" t="s">
        <v>123</v>
      </c>
      <c r="D23" s="59">
        <v>0.03</v>
      </c>
      <c r="E23" s="60">
        <v>0.03</v>
      </c>
      <c r="F23" s="38"/>
      <c r="G23" s="38"/>
      <c r="H23" s="38"/>
      <c r="I23" s="38"/>
      <c r="J23" s="38"/>
      <c r="K23" s="38"/>
      <c r="L23" s="38"/>
      <c r="M23" s="38"/>
      <c r="N23" s="38"/>
      <c r="O23" s="38"/>
      <c r="P23" s="38"/>
      <c r="Q23" s="38"/>
      <c r="R23" s="38"/>
      <c r="S23" s="38"/>
      <c r="T23" s="38"/>
      <c r="U23" s="38"/>
      <c r="V23" s="38"/>
      <c r="W23" s="38"/>
      <c r="X23" s="38"/>
      <c r="Y23" s="38"/>
      <c r="Z23" s="38"/>
    </row>
    <row r="24" spans="1:26">
      <c r="A24" s="57"/>
      <c r="B24" s="57"/>
      <c r="C24" s="58" t="s">
        <v>125</v>
      </c>
      <c r="D24" s="59">
        <v>5.0000000000000001E-3</v>
      </c>
      <c r="E24" s="60"/>
      <c r="F24" s="38"/>
      <c r="G24" s="38"/>
      <c r="H24" s="38"/>
      <c r="I24" s="38"/>
      <c r="J24" s="38"/>
      <c r="K24" s="38"/>
      <c r="L24" s="38"/>
      <c r="M24" s="38"/>
      <c r="N24" s="38"/>
      <c r="O24" s="38"/>
      <c r="P24" s="38"/>
      <c r="Q24" s="38"/>
      <c r="R24" s="38"/>
      <c r="S24" s="38"/>
      <c r="T24" s="38"/>
      <c r="U24" s="38"/>
      <c r="V24" s="38"/>
      <c r="W24" s="38"/>
      <c r="X24" s="38"/>
      <c r="Y24" s="38"/>
      <c r="Z24" s="38"/>
    </row>
    <row r="25" spans="1:26">
      <c r="A25" s="57"/>
      <c r="B25" s="57"/>
      <c r="C25" s="58" t="s">
        <v>127</v>
      </c>
      <c r="D25" s="59">
        <v>5.0000000000000001E-3</v>
      </c>
      <c r="E25" s="60"/>
      <c r="F25" s="38"/>
      <c r="G25" s="38"/>
      <c r="H25" s="38"/>
      <c r="I25" s="38"/>
      <c r="J25" s="38"/>
      <c r="K25" s="38"/>
      <c r="L25" s="38"/>
      <c r="M25" s="38"/>
      <c r="N25" s="38"/>
      <c r="O25" s="38"/>
      <c r="P25" s="38"/>
      <c r="Q25" s="38"/>
      <c r="R25" s="38"/>
      <c r="S25" s="38"/>
      <c r="T25" s="38"/>
      <c r="U25" s="38"/>
      <c r="V25" s="38"/>
      <c r="W25" s="38"/>
      <c r="X25" s="38"/>
      <c r="Y25" s="38"/>
      <c r="Z25" s="38"/>
    </row>
    <row r="26" spans="1:26">
      <c r="A26" s="57"/>
      <c r="B26" s="57"/>
      <c r="C26" s="58" t="s">
        <v>129</v>
      </c>
      <c r="D26" s="59">
        <v>5.0000000000000001E-3</v>
      </c>
      <c r="E26" s="60"/>
      <c r="F26" s="38"/>
      <c r="G26" s="38"/>
      <c r="H26" s="38"/>
      <c r="I26" s="38"/>
      <c r="J26" s="38"/>
      <c r="K26" s="38"/>
      <c r="L26" s="38"/>
      <c r="M26" s="38"/>
      <c r="N26" s="38"/>
      <c r="O26" s="38"/>
      <c r="P26" s="38"/>
      <c r="Q26" s="38"/>
      <c r="R26" s="38"/>
      <c r="S26" s="38"/>
      <c r="T26" s="38"/>
      <c r="U26" s="38"/>
      <c r="V26" s="38"/>
      <c r="W26" s="38"/>
      <c r="X26" s="38"/>
      <c r="Y26" s="38"/>
      <c r="Z26" s="38"/>
    </row>
    <row r="27" spans="1:26">
      <c r="A27" s="57"/>
      <c r="B27" s="57"/>
      <c r="C27" s="58" t="s">
        <v>130</v>
      </c>
      <c r="D27" s="59">
        <v>0.04</v>
      </c>
      <c r="E27" s="60"/>
      <c r="F27" s="38"/>
      <c r="G27" s="38"/>
      <c r="H27" s="38"/>
      <c r="I27" s="38"/>
      <c r="J27" s="38"/>
      <c r="K27" s="38"/>
      <c r="L27" s="38"/>
      <c r="M27" s="38"/>
      <c r="N27" s="38"/>
      <c r="O27" s="38"/>
      <c r="P27" s="38"/>
      <c r="Q27" s="38"/>
      <c r="R27" s="38"/>
      <c r="S27" s="38"/>
      <c r="T27" s="38"/>
      <c r="U27" s="38"/>
      <c r="V27" s="38"/>
      <c r="W27" s="38"/>
      <c r="X27" s="38"/>
      <c r="Y27" s="38"/>
      <c r="Z27" s="38"/>
    </row>
    <row r="28" spans="1:26">
      <c r="A28" s="57"/>
      <c r="B28" s="57"/>
      <c r="C28" s="58" t="s">
        <v>132</v>
      </c>
      <c r="D28" s="59">
        <v>5.0000000000000001E-3</v>
      </c>
      <c r="E28" s="60"/>
      <c r="F28" s="38"/>
      <c r="G28" s="38"/>
      <c r="H28" s="38"/>
      <c r="I28" s="38"/>
      <c r="J28" s="38"/>
      <c r="K28" s="38"/>
      <c r="L28" s="38"/>
      <c r="M28" s="38"/>
      <c r="N28" s="38"/>
      <c r="O28" s="38"/>
      <c r="P28" s="38"/>
      <c r="Q28" s="38"/>
      <c r="R28" s="38"/>
      <c r="S28" s="38"/>
      <c r="T28" s="38"/>
      <c r="U28" s="38"/>
      <c r="V28" s="38"/>
      <c r="W28" s="38"/>
      <c r="X28" s="38"/>
      <c r="Y28" s="38"/>
      <c r="Z28" s="38"/>
    </row>
    <row r="29" spans="1:26">
      <c r="A29" s="57"/>
      <c r="B29" s="57"/>
      <c r="C29" s="58" t="s">
        <v>134</v>
      </c>
      <c r="D29" s="59">
        <v>0.01</v>
      </c>
      <c r="E29" s="60"/>
      <c r="F29" s="38"/>
      <c r="G29" s="38"/>
      <c r="H29" s="38"/>
      <c r="I29" s="38"/>
      <c r="J29" s="38"/>
      <c r="K29" s="38"/>
      <c r="L29" s="38"/>
      <c r="M29" s="38"/>
      <c r="N29" s="38"/>
      <c r="O29" s="38"/>
      <c r="P29" s="38"/>
      <c r="Q29" s="38"/>
      <c r="R29" s="38"/>
      <c r="S29" s="38"/>
      <c r="T29" s="38"/>
      <c r="U29" s="38"/>
      <c r="V29" s="38"/>
      <c r="W29" s="38"/>
      <c r="X29" s="38"/>
      <c r="Y29" s="38"/>
      <c r="Z29" s="38"/>
    </row>
    <row r="30" spans="1:26">
      <c r="A30" s="57"/>
      <c r="B30" s="57"/>
      <c r="C30" s="58" t="s">
        <v>136</v>
      </c>
      <c r="D30" s="59">
        <v>5.0000000000000001E-3</v>
      </c>
      <c r="E30" s="60"/>
      <c r="F30" s="38"/>
      <c r="G30" s="38"/>
      <c r="H30" s="38"/>
      <c r="I30" s="38"/>
      <c r="J30" s="38"/>
      <c r="K30" s="38"/>
      <c r="L30" s="38"/>
      <c r="M30" s="38"/>
      <c r="N30" s="38"/>
      <c r="O30" s="38"/>
      <c r="P30" s="38"/>
      <c r="Q30" s="38"/>
      <c r="R30" s="38"/>
      <c r="S30" s="38"/>
      <c r="T30" s="38"/>
      <c r="U30" s="38"/>
      <c r="V30" s="38"/>
      <c r="W30" s="38"/>
      <c r="X30" s="38"/>
      <c r="Y30" s="38"/>
      <c r="Z30" s="38"/>
    </row>
    <row r="31" spans="1:26">
      <c r="A31" s="57"/>
      <c r="B31" s="57"/>
      <c r="C31" s="58" t="s">
        <v>137</v>
      </c>
      <c r="D31" s="59">
        <v>5.0000000000000001E-3</v>
      </c>
      <c r="E31" s="60"/>
      <c r="F31" s="38"/>
      <c r="G31" s="38"/>
      <c r="H31" s="38"/>
      <c r="I31" s="38"/>
      <c r="J31" s="38"/>
      <c r="K31" s="38"/>
      <c r="L31" s="38"/>
      <c r="M31" s="38"/>
      <c r="N31" s="38"/>
      <c r="O31" s="38"/>
      <c r="P31" s="38"/>
      <c r="Q31" s="38"/>
      <c r="R31" s="38"/>
      <c r="S31" s="38"/>
      <c r="T31" s="38"/>
      <c r="U31" s="38"/>
      <c r="V31" s="38"/>
      <c r="W31" s="38"/>
      <c r="X31" s="38"/>
      <c r="Y31" s="38"/>
      <c r="Z31" s="38"/>
    </row>
    <row r="32" spans="1:26">
      <c r="A32" s="57"/>
      <c r="B32" s="57"/>
      <c r="C32" s="58" t="s">
        <v>139</v>
      </c>
      <c r="D32" s="59">
        <v>5.0000000000000001E-3</v>
      </c>
      <c r="E32" s="60"/>
      <c r="F32" s="38"/>
      <c r="G32" s="38"/>
      <c r="H32" s="38"/>
      <c r="I32" s="38"/>
      <c r="J32" s="38"/>
      <c r="K32" s="38"/>
      <c r="L32" s="38"/>
      <c r="M32" s="38"/>
      <c r="N32" s="38"/>
      <c r="O32" s="38"/>
      <c r="P32" s="38"/>
      <c r="Q32" s="38"/>
      <c r="R32" s="38"/>
      <c r="S32" s="38"/>
      <c r="T32" s="38"/>
      <c r="U32" s="38"/>
      <c r="V32" s="38"/>
      <c r="W32" s="38"/>
      <c r="X32" s="38"/>
      <c r="Y32" s="38"/>
      <c r="Z32" s="38"/>
    </row>
    <row r="33" spans="1:26">
      <c r="A33" s="57"/>
      <c r="B33" s="57"/>
      <c r="C33" s="58" t="s">
        <v>60</v>
      </c>
      <c r="D33" s="59">
        <v>0.04</v>
      </c>
      <c r="E33" s="60">
        <v>0.04</v>
      </c>
      <c r="F33" s="38"/>
      <c r="G33" s="38"/>
      <c r="H33" s="38"/>
      <c r="I33" s="38"/>
      <c r="J33" s="38"/>
      <c r="K33" s="38"/>
      <c r="L33" s="38"/>
      <c r="M33" s="38"/>
      <c r="N33" s="38"/>
      <c r="O33" s="38"/>
      <c r="P33" s="38"/>
      <c r="Q33" s="38"/>
      <c r="R33" s="38"/>
      <c r="S33" s="38"/>
      <c r="T33" s="38"/>
      <c r="U33" s="38"/>
      <c r="V33" s="38"/>
      <c r="W33" s="38"/>
      <c r="X33" s="38"/>
      <c r="Y33" s="38"/>
      <c r="Z33" s="38"/>
    </row>
    <row r="34" spans="1:26">
      <c r="A34" s="57"/>
      <c r="B34" s="57"/>
      <c r="C34" s="58" t="s">
        <v>140</v>
      </c>
      <c r="D34" s="59">
        <v>0.01</v>
      </c>
      <c r="E34" s="60">
        <v>0.01</v>
      </c>
      <c r="F34" s="38"/>
      <c r="G34" s="38"/>
      <c r="H34" s="38"/>
      <c r="I34" s="38"/>
      <c r="J34" s="38"/>
      <c r="K34" s="38"/>
      <c r="L34" s="38"/>
      <c r="M34" s="38"/>
      <c r="N34" s="38"/>
      <c r="O34" s="38"/>
      <c r="P34" s="38"/>
      <c r="Q34" s="38"/>
      <c r="R34" s="38"/>
      <c r="S34" s="38"/>
      <c r="T34" s="38"/>
      <c r="U34" s="38"/>
      <c r="V34" s="38"/>
      <c r="W34" s="38"/>
      <c r="X34" s="38"/>
      <c r="Y34" s="38"/>
      <c r="Z34" s="38"/>
    </row>
    <row r="35" spans="1:26">
      <c r="A35" s="57"/>
      <c r="B35" s="57"/>
      <c r="C35" s="58" t="s">
        <v>142</v>
      </c>
      <c r="D35" s="59">
        <v>0.01</v>
      </c>
      <c r="E35" s="60">
        <v>0.01</v>
      </c>
      <c r="F35" s="38"/>
      <c r="G35" s="38"/>
      <c r="H35" s="38"/>
      <c r="I35" s="38"/>
      <c r="J35" s="38"/>
      <c r="K35" s="38"/>
      <c r="L35" s="38"/>
      <c r="M35" s="38"/>
      <c r="N35" s="38"/>
      <c r="O35" s="38"/>
      <c r="P35" s="38"/>
      <c r="Q35" s="38"/>
      <c r="R35" s="38"/>
      <c r="S35" s="38"/>
      <c r="T35" s="38"/>
      <c r="U35" s="38"/>
      <c r="V35" s="38"/>
      <c r="W35" s="38"/>
      <c r="X35" s="38"/>
      <c r="Y35" s="38"/>
      <c r="Z35" s="38"/>
    </row>
    <row r="36" spans="1:26">
      <c r="A36" s="57"/>
      <c r="B36" s="57"/>
      <c r="C36" s="58" t="s">
        <v>143</v>
      </c>
      <c r="D36" s="59">
        <v>0.01</v>
      </c>
      <c r="E36" s="60">
        <v>0.01</v>
      </c>
      <c r="F36" s="38"/>
      <c r="G36" s="38"/>
      <c r="H36" s="38"/>
      <c r="I36" s="38"/>
      <c r="J36" s="38"/>
      <c r="K36" s="38"/>
      <c r="L36" s="38"/>
      <c r="M36" s="38"/>
      <c r="N36" s="38"/>
      <c r="O36" s="38"/>
      <c r="P36" s="38"/>
      <c r="Q36" s="38"/>
      <c r="R36" s="38"/>
      <c r="S36" s="38"/>
      <c r="T36" s="38"/>
      <c r="U36" s="38"/>
      <c r="V36" s="38"/>
      <c r="W36" s="38"/>
      <c r="X36" s="38"/>
      <c r="Y36" s="38"/>
      <c r="Z36" s="38"/>
    </row>
    <row r="37" spans="1:26">
      <c r="A37" s="57"/>
      <c r="B37" s="57"/>
      <c r="C37" s="58" t="s">
        <v>144</v>
      </c>
      <c r="D37" s="59">
        <v>1.4999999999999999E-2</v>
      </c>
      <c r="E37" s="60"/>
      <c r="F37" s="38"/>
      <c r="G37" s="38"/>
      <c r="H37" s="38"/>
      <c r="I37" s="38"/>
      <c r="J37" s="38"/>
      <c r="K37" s="38"/>
      <c r="L37" s="38"/>
      <c r="M37" s="38"/>
      <c r="N37" s="38"/>
      <c r="O37" s="38"/>
      <c r="P37" s="38"/>
      <c r="Q37" s="38"/>
      <c r="R37" s="38"/>
      <c r="S37" s="38"/>
      <c r="T37" s="38"/>
      <c r="U37" s="38"/>
      <c r="V37" s="38"/>
      <c r="W37" s="38"/>
      <c r="X37" s="38"/>
      <c r="Y37" s="38"/>
      <c r="Z37" s="38"/>
    </row>
    <row r="38" spans="1:26">
      <c r="A38" s="57"/>
      <c r="B38" s="57"/>
      <c r="C38" s="58" t="s">
        <v>146</v>
      </c>
      <c r="D38" s="59">
        <v>0.01</v>
      </c>
      <c r="E38" s="60"/>
      <c r="F38" s="38"/>
      <c r="G38" s="38"/>
      <c r="H38" s="38"/>
      <c r="I38" s="38"/>
      <c r="J38" s="38"/>
      <c r="K38" s="38"/>
      <c r="L38" s="38"/>
      <c r="M38" s="38"/>
      <c r="N38" s="38"/>
      <c r="O38" s="38"/>
      <c r="P38" s="38"/>
      <c r="Q38" s="38"/>
      <c r="R38" s="38"/>
      <c r="S38" s="38"/>
      <c r="T38" s="38"/>
      <c r="U38" s="38"/>
      <c r="V38" s="38"/>
      <c r="W38" s="38"/>
      <c r="X38" s="38"/>
      <c r="Y38" s="38"/>
      <c r="Z38" s="38"/>
    </row>
    <row r="39" spans="1:26">
      <c r="A39" s="57"/>
      <c r="B39" s="57"/>
      <c r="C39" s="58" t="s">
        <v>147</v>
      </c>
      <c r="D39" s="59">
        <v>5.0000000000000001E-3</v>
      </c>
      <c r="E39" s="60"/>
      <c r="F39" s="38"/>
      <c r="G39" s="38"/>
      <c r="H39" s="38"/>
      <c r="I39" s="38"/>
      <c r="J39" s="38"/>
      <c r="K39" s="38"/>
      <c r="L39" s="38"/>
      <c r="M39" s="38"/>
      <c r="N39" s="38"/>
      <c r="O39" s="38"/>
      <c r="P39" s="38"/>
      <c r="Q39" s="38"/>
      <c r="R39" s="38"/>
      <c r="S39" s="38"/>
      <c r="T39" s="38"/>
      <c r="U39" s="38"/>
      <c r="V39" s="38"/>
      <c r="W39" s="38"/>
      <c r="X39" s="38"/>
      <c r="Y39" s="38"/>
      <c r="Z39" s="38"/>
    </row>
    <row r="40" spans="1:26">
      <c r="A40" s="57"/>
      <c r="B40" s="57"/>
      <c r="C40" s="58" t="s">
        <v>149</v>
      </c>
      <c r="D40" s="59">
        <v>5.0000000000000001E-3</v>
      </c>
      <c r="E40" s="60"/>
      <c r="F40" s="38"/>
      <c r="G40" s="38"/>
      <c r="H40" s="38"/>
      <c r="I40" s="38"/>
      <c r="J40" s="38"/>
      <c r="K40" s="38"/>
      <c r="L40" s="38"/>
      <c r="M40" s="38"/>
      <c r="N40" s="38"/>
      <c r="O40" s="38"/>
      <c r="P40" s="38"/>
      <c r="Q40" s="38"/>
      <c r="R40" s="38"/>
      <c r="S40" s="38"/>
      <c r="T40" s="38"/>
      <c r="U40" s="38"/>
      <c r="V40" s="38"/>
      <c r="W40" s="38"/>
      <c r="X40" s="38"/>
      <c r="Y40" s="38"/>
      <c r="Z40" s="38"/>
    </row>
    <row r="41" spans="1:26">
      <c r="A41" s="57"/>
      <c r="B41" s="57"/>
      <c r="C41" s="58" t="s">
        <v>150</v>
      </c>
      <c r="D41" s="59">
        <v>0.01</v>
      </c>
      <c r="E41" s="60"/>
      <c r="F41" s="38"/>
      <c r="G41" s="38"/>
      <c r="H41" s="38"/>
      <c r="I41" s="38"/>
      <c r="J41" s="38"/>
      <c r="K41" s="38"/>
      <c r="L41" s="38"/>
      <c r="M41" s="38"/>
      <c r="N41" s="38"/>
      <c r="O41" s="38"/>
      <c r="P41" s="38"/>
      <c r="Q41" s="38"/>
      <c r="R41" s="38"/>
      <c r="S41" s="38"/>
      <c r="T41" s="38"/>
      <c r="U41" s="38"/>
      <c r="V41" s="38"/>
      <c r="W41" s="38"/>
      <c r="X41" s="38"/>
      <c r="Y41" s="38"/>
      <c r="Z41" s="38"/>
    </row>
    <row r="42" spans="1:26">
      <c r="A42" s="57"/>
      <c r="B42" s="57"/>
      <c r="C42" s="58" t="s">
        <v>151</v>
      </c>
      <c r="D42" s="59">
        <v>0.03</v>
      </c>
      <c r="E42" s="60"/>
      <c r="F42" s="38"/>
      <c r="G42" s="38"/>
      <c r="H42" s="38"/>
      <c r="I42" s="38"/>
      <c r="J42" s="38"/>
      <c r="K42" s="38"/>
      <c r="L42" s="38"/>
      <c r="M42" s="38"/>
      <c r="N42" s="38"/>
      <c r="O42" s="38"/>
      <c r="P42" s="38"/>
      <c r="Q42" s="38"/>
      <c r="R42" s="38"/>
      <c r="S42" s="38"/>
      <c r="T42" s="38"/>
      <c r="U42" s="38"/>
      <c r="V42" s="38"/>
      <c r="W42" s="38"/>
      <c r="X42" s="38"/>
      <c r="Y42" s="38"/>
      <c r="Z42" s="38"/>
    </row>
    <row r="43" spans="1:26">
      <c r="A43" s="57"/>
      <c r="B43" s="57"/>
      <c r="C43" s="58" t="s">
        <v>153</v>
      </c>
      <c r="D43" s="59">
        <v>0.01</v>
      </c>
      <c r="E43" s="60"/>
      <c r="F43" s="38"/>
      <c r="G43" s="38"/>
      <c r="H43" s="38"/>
      <c r="I43" s="38"/>
      <c r="J43" s="38"/>
      <c r="K43" s="38"/>
      <c r="L43" s="38"/>
      <c r="M43" s="38"/>
      <c r="N43" s="38"/>
      <c r="O43" s="38"/>
      <c r="P43" s="38"/>
      <c r="Q43" s="38"/>
      <c r="R43" s="38"/>
      <c r="S43" s="38"/>
      <c r="T43" s="38"/>
      <c r="U43" s="38"/>
      <c r="V43" s="38"/>
      <c r="W43" s="38"/>
      <c r="X43" s="38"/>
      <c r="Y43" s="38"/>
      <c r="Z43" s="38"/>
    </row>
    <row r="44" spans="1:26">
      <c r="A44" s="57"/>
      <c r="B44" s="57"/>
      <c r="C44" s="58" t="s">
        <v>63</v>
      </c>
      <c r="D44" s="59">
        <v>0.04</v>
      </c>
      <c r="E44" s="60"/>
      <c r="F44" s="38"/>
      <c r="G44" s="38"/>
      <c r="H44" s="38"/>
      <c r="I44" s="38"/>
      <c r="J44" s="38"/>
      <c r="K44" s="38"/>
      <c r="L44" s="38"/>
      <c r="M44" s="38"/>
      <c r="N44" s="38"/>
      <c r="O44" s="38"/>
      <c r="P44" s="38"/>
      <c r="Q44" s="38"/>
      <c r="R44" s="38"/>
      <c r="S44" s="38"/>
      <c r="T44" s="38"/>
      <c r="U44" s="38"/>
      <c r="V44" s="38"/>
      <c r="W44" s="38"/>
      <c r="X44" s="38"/>
      <c r="Y44" s="38"/>
      <c r="Z44" s="38"/>
    </row>
    <row r="45" spans="1:26">
      <c r="A45" s="57"/>
      <c r="B45" s="57"/>
      <c r="C45" s="58" t="s">
        <v>154</v>
      </c>
      <c r="D45" s="59">
        <v>0.01</v>
      </c>
      <c r="E45" s="60"/>
      <c r="F45" s="38"/>
      <c r="G45" s="38"/>
      <c r="H45" s="38"/>
      <c r="I45" s="38"/>
      <c r="J45" s="38"/>
      <c r="K45" s="38"/>
      <c r="L45" s="38"/>
      <c r="M45" s="38"/>
      <c r="N45" s="38"/>
      <c r="O45" s="38"/>
      <c r="P45" s="38"/>
      <c r="Q45" s="38"/>
      <c r="R45" s="38"/>
      <c r="S45" s="38"/>
      <c r="T45" s="38"/>
      <c r="U45" s="38"/>
      <c r="V45" s="38"/>
      <c r="W45" s="38"/>
      <c r="X45" s="38"/>
      <c r="Y45" s="38"/>
      <c r="Z45" s="38"/>
    </row>
    <row r="46" spans="1:26">
      <c r="A46" s="57"/>
      <c r="B46" s="57"/>
      <c r="C46" s="58" t="s">
        <v>155</v>
      </c>
      <c r="D46" s="59">
        <v>0.01</v>
      </c>
      <c r="E46" s="60"/>
      <c r="F46" s="38"/>
      <c r="G46" s="38"/>
      <c r="H46" s="38"/>
      <c r="I46" s="38"/>
      <c r="J46" s="38"/>
      <c r="K46" s="38"/>
      <c r="L46" s="38"/>
      <c r="M46" s="38"/>
      <c r="N46" s="38"/>
      <c r="O46" s="38"/>
      <c r="P46" s="38"/>
      <c r="Q46" s="38"/>
      <c r="R46" s="38"/>
      <c r="S46" s="38"/>
      <c r="T46" s="38"/>
      <c r="U46" s="38"/>
      <c r="V46" s="38"/>
      <c r="W46" s="38"/>
      <c r="X46" s="38"/>
      <c r="Y46" s="38"/>
      <c r="Z46" s="38"/>
    </row>
    <row r="47" spans="1:26">
      <c r="A47" s="57"/>
      <c r="B47" s="57"/>
      <c r="C47" s="58" t="s">
        <v>110</v>
      </c>
      <c r="D47" s="59">
        <v>0.04</v>
      </c>
      <c r="E47" s="60"/>
      <c r="F47" s="38"/>
      <c r="G47" s="38"/>
      <c r="H47" s="38"/>
      <c r="I47" s="38"/>
      <c r="J47" s="38"/>
      <c r="K47" s="38"/>
      <c r="L47" s="38"/>
      <c r="M47" s="38"/>
      <c r="N47" s="38"/>
      <c r="O47" s="38"/>
      <c r="P47" s="38"/>
      <c r="Q47" s="38"/>
      <c r="R47" s="38"/>
      <c r="S47" s="38"/>
      <c r="T47" s="38"/>
      <c r="U47" s="38"/>
      <c r="V47" s="38"/>
      <c r="W47" s="38"/>
      <c r="X47" s="38"/>
      <c r="Y47" s="38"/>
      <c r="Z47" s="38"/>
    </row>
    <row r="48" spans="1:26">
      <c r="A48" s="57"/>
      <c r="B48" s="57"/>
      <c r="C48" s="58" t="s">
        <v>112</v>
      </c>
      <c r="D48" s="59">
        <v>0.04</v>
      </c>
      <c r="E48" s="60"/>
      <c r="F48" s="38"/>
      <c r="G48" s="38"/>
      <c r="H48" s="38"/>
      <c r="I48" s="38"/>
      <c r="J48" s="38"/>
      <c r="K48" s="38"/>
      <c r="L48" s="38"/>
      <c r="M48" s="38"/>
      <c r="N48" s="38"/>
      <c r="O48" s="38"/>
      <c r="P48" s="38"/>
      <c r="Q48" s="38"/>
      <c r="R48" s="38"/>
      <c r="S48" s="38"/>
      <c r="T48" s="38"/>
      <c r="U48" s="38"/>
      <c r="V48" s="38"/>
      <c r="W48" s="38"/>
      <c r="X48" s="38"/>
      <c r="Y48" s="38"/>
      <c r="Z48" s="38"/>
    </row>
    <row r="49" spans="1:26">
      <c r="A49" s="57"/>
      <c r="B49" s="57"/>
      <c r="C49" s="58" t="s">
        <v>114</v>
      </c>
      <c r="D49" s="59">
        <v>0.04</v>
      </c>
      <c r="E49" s="60"/>
      <c r="F49" s="38"/>
      <c r="G49" s="38"/>
      <c r="H49" s="38"/>
      <c r="I49" s="38"/>
      <c r="J49" s="38"/>
      <c r="K49" s="38"/>
      <c r="L49" s="38"/>
      <c r="M49" s="38"/>
      <c r="N49" s="38"/>
      <c r="O49" s="38"/>
      <c r="P49" s="38"/>
      <c r="Q49" s="38"/>
      <c r="R49" s="38"/>
      <c r="S49" s="38"/>
      <c r="T49" s="38"/>
      <c r="U49" s="38"/>
      <c r="V49" s="38"/>
      <c r="W49" s="38"/>
      <c r="X49" s="38"/>
      <c r="Y49" s="38"/>
      <c r="Z49" s="38"/>
    </row>
    <row r="50" spans="1:26">
      <c r="A50" s="57"/>
      <c r="B50" s="57"/>
      <c r="C50" s="58" t="s">
        <v>116</v>
      </c>
      <c r="D50" s="59">
        <v>0.04</v>
      </c>
      <c r="E50" s="60"/>
      <c r="F50" s="38"/>
      <c r="G50" s="38"/>
      <c r="H50" s="38"/>
      <c r="I50" s="38"/>
      <c r="J50" s="38"/>
      <c r="K50" s="38"/>
      <c r="L50" s="38"/>
      <c r="M50" s="38"/>
      <c r="N50" s="38"/>
      <c r="O50" s="38"/>
      <c r="P50" s="38"/>
      <c r="Q50" s="38"/>
      <c r="R50" s="38"/>
      <c r="S50" s="38"/>
      <c r="T50" s="38"/>
      <c r="U50" s="38"/>
      <c r="V50" s="38"/>
      <c r="W50" s="38"/>
      <c r="X50" s="38"/>
      <c r="Y50" s="38"/>
      <c r="Z50" s="38"/>
    </row>
    <row r="51" spans="1:26">
      <c r="A51" s="57"/>
      <c r="B51" s="57"/>
      <c r="C51" s="58" t="s">
        <v>118</v>
      </c>
      <c r="D51" s="59">
        <v>0.05</v>
      </c>
      <c r="E51" s="60">
        <v>0.05</v>
      </c>
      <c r="F51" s="38"/>
      <c r="G51" s="38"/>
      <c r="H51" s="38"/>
      <c r="I51" s="38"/>
      <c r="J51" s="38"/>
      <c r="K51" s="38"/>
      <c r="L51" s="38"/>
      <c r="M51" s="38"/>
      <c r="N51" s="38"/>
      <c r="O51" s="38"/>
      <c r="P51" s="38"/>
      <c r="Q51" s="38"/>
      <c r="R51" s="38"/>
      <c r="S51" s="38"/>
      <c r="T51" s="38"/>
      <c r="U51" s="38"/>
      <c r="V51" s="38"/>
      <c r="W51" s="38"/>
      <c r="X51" s="38"/>
      <c r="Y51" s="38"/>
      <c r="Z51" s="38"/>
    </row>
    <row r="52" spans="1:26">
      <c r="A52" s="57"/>
      <c r="B52" s="57"/>
      <c r="C52" s="58" t="s">
        <v>121</v>
      </c>
      <c r="D52" s="59">
        <v>0.02</v>
      </c>
      <c r="E52" s="60">
        <v>0.02</v>
      </c>
      <c r="F52" s="38"/>
      <c r="G52" s="38"/>
      <c r="H52" s="38"/>
      <c r="I52" s="38"/>
      <c r="J52" s="38"/>
      <c r="K52" s="38"/>
      <c r="L52" s="38"/>
      <c r="M52" s="38"/>
      <c r="N52" s="38"/>
      <c r="O52" s="38"/>
      <c r="P52" s="38"/>
      <c r="Q52" s="38"/>
      <c r="R52" s="38"/>
      <c r="S52" s="38"/>
      <c r="T52" s="38"/>
      <c r="U52" s="38"/>
      <c r="V52" s="38"/>
      <c r="W52" s="38"/>
      <c r="X52" s="38"/>
      <c r="Y52" s="38"/>
      <c r="Z52" s="38"/>
    </row>
    <row r="53" spans="1:26">
      <c r="A53" s="57"/>
      <c r="B53" s="50">
        <v>3</v>
      </c>
      <c r="C53" s="50" t="s">
        <v>68</v>
      </c>
      <c r="D53" s="55">
        <v>0.1</v>
      </c>
      <c r="E53" s="56"/>
      <c r="F53" s="38"/>
      <c r="G53" s="38"/>
      <c r="H53" s="38"/>
      <c r="I53" s="38"/>
      <c r="J53" s="38"/>
      <c r="K53" s="38"/>
      <c r="L53" s="38"/>
      <c r="M53" s="38"/>
      <c r="N53" s="38"/>
      <c r="O53" s="38"/>
      <c r="P53" s="38"/>
      <c r="Q53" s="38"/>
      <c r="R53" s="38"/>
      <c r="S53" s="38"/>
      <c r="T53" s="38"/>
      <c r="U53" s="38"/>
      <c r="V53" s="38"/>
      <c r="W53" s="38"/>
      <c r="X53" s="38"/>
      <c r="Y53" s="38"/>
      <c r="Z53" s="38"/>
    </row>
    <row r="54" spans="1:26">
      <c r="A54" s="57"/>
      <c r="B54" s="50">
        <v>4</v>
      </c>
      <c r="C54" s="50" t="s">
        <v>79</v>
      </c>
      <c r="D54" s="55">
        <v>0.05</v>
      </c>
      <c r="E54" s="56">
        <v>0.05</v>
      </c>
      <c r="F54" s="38"/>
      <c r="G54" s="38"/>
      <c r="H54" s="38"/>
      <c r="I54" s="38"/>
      <c r="J54" s="38"/>
      <c r="K54" s="38"/>
      <c r="L54" s="38"/>
      <c r="M54" s="38"/>
      <c r="N54" s="38"/>
      <c r="O54" s="38"/>
      <c r="P54" s="38"/>
      <c r="Q54" s="38"/>
      <c r="R54" s="38"/>
      <c r="S54" s="38"/>
      <c r="T54" s="38"/>
      <c r="U54" s="38"/>
      <c r="V54" s="38"/>
      <c r="W54" s="38"/>
      <c r="X54" s="38"/>
      <c r="Y54" s="38"/>
      <c r="Z54" s="38"/>
    </row>
    <row r="55" spans="1:26">
      <c r="A55" s="57"/>
      <c r="B55" s="57"/>
      <c r="C55" s="58" t="s">
        <v>83</v>
      </c>
      <c r="D55" s="59">
        <v>0.05</v>
      </c>
      <c r="E55" s="60"/>
      <c r="F55" s="38"/>
      <c r="G55" s="38"/>
      <c r="H55" s="38"/>
      <c r="I55" s="38"/>
      <c r="J55" s="38"/>
      <c r="K55" s="38"/>
      <c r="L55" s="38"/>
      <c r="M55" s="38"/>
      <c r="N55" s="38"/>
      <c r="O55" s="38"/>
      <c r="P55" s="38"/>
      <c r="Q55" s="38"/>
      <c r="R55" s="38"/>
      <c r="S55" s="38"/>
      <c r="T55" s="38"/>
      <c r="U55" s="38"/>
      <c r="V55" s="38"/>
      <c r="W55" s="38"/>
      <c r="X55" s="38"/>
      <c r="Y55" s="38"/>
      <c r="Z55" s="38"/>
    </row>
    <row r="56" spans="1:26">
      <c r="A56" s="57"/>
      <c r="B56" s="57"/>
      <c r="C56" s="58" t="s">
        <v>86</v>
      </c>
      <c r="D56" s="59">
        <v>0.05</v>
      </c>
      <c r="E56" s="60"/>
      <c r="F56" s="38"/>
      <c r="G56" s="38"/>
      <c r="H56" s="38"/>
      <c r="I56" s="38"/>
      <c r="J56" s="38"/>
      <c r="K56" s="38"/>
      <c r="L56" s="38"/>
      <c r="M56" s="38"/>
      <c r="N56" s="38"/>
      <c r="O56" s="38"/>
      <c r="P56" s="38"/>
      <c r="Q56" s="38"/>
      <c r="R56" s="38"/>
      <c r="S56" s="38"/>
      <c r="T56" s="38"/>
      <c r="U56" s="38"/>
      <c r="V56" s="38"/>
      <c r="W56" s="38"/>
      <c r="X56" s="38"/>
      <c r="Y56" s="38"/>
      <c r="Z56" s="38"/>
    </row>
    <row r="57" spans="1:26">
      <c r="A57" s="57"/>
      <c r="B57" s="57"/>
      <c r="C57" s="58" t="s">
        <v>89</v>
      </c>
      <c r="D57" s="59">
        <v>0.05</v>
      </c>
      <c r="E57" s="60"/>
      <c r="F57" s="38"/>
      <c r="G57" s="38"/>
      <c r="H57" s="38"/>
      <c r="I57" s="38"/>
      <c r="J57" s="38"/>
      <c r="K57" s="38"/>
      <c r="L57" s="38"/>
      <c r="M57" s="38"/>
      <c r="N57" s="38"/>
      <c r="O57" s="38"/>
      <c r="P57" s="38"/>
      <c r="Q57" s="38"/>
      <c r="R57" s="38"/>
      <c r="S57" s="38"/>
      <c r="T57" s="38"/>
      <c r="U57" s="38"/>
      <c r="V57" s="38"/>
      <c r="W57" s="38"/>
      <c r="X57" s="38"/>
      <c r="Y57" s="38"/>
      <c r="Z57" s="38"/>
    </row>
    <row r="58" spans="1:26">
      <c r="A58" s="50" t="s">
        <v>1248</v>
      </c>
      <c r="B58" s="51"/>
      <c r="C58" s="51"/>
      <c r="D58" s="55">
        <v>1.0000000000000004</v>
      </c>
      <c r="E58" s="56">
        <v>0.36000000000000004</v>
      </c>
      <c r="F58" s="38"/>
      <c r="G58" s="38"/>
      <c r="H58" s="38"/>
      <c r="I58" s="38"/>
      <c r="J58" s="38"/>
      <c r="K58" s="38"/>
      <c r="L58" s="38"/>
      <c r="M58" s="38"/>
      <c r="N58" s="38"/>
      <c r="O58" s="38"/>
      <c r="P58" s="38"/>
      <c r="Q58" s="38"/>
      <c r="R58" s="38"/>
      <c r="S58" s="38"/>
      <c r="T58" s="38"/>
      <c r="U58" s="38"/>
      <c r="V58" s="38"/>
      <c r="W58" s="38"/>
      <c r="X58" s="38"/>
      <c r="Y58" s="38"/>
      <c r="Z58" s="38"/>
    </row>
    <row r="59" spans="1:26">
      <c r="A59" s="50" t="s">
        <v>166</v>
      </c>
      <c r="B59" s="50">
        <v>1</v>
      </c>
      <c r="C59" s="50" t="s">
        <v>34</v>
      </c>
      <c r="D59" s="55">
        <v>1.4999999999999999E-2</v>
      </c>
      <c r="E59" s="56"/>
      <c r="F59" s="38"/>
      <c r="G59" s="38"/>
      <c r="H59" s="38"/>
      <c r="I59" s="38"/>
      <c r="J59" s="38"/>
      <c r="K59" s="38"/>
      <c r="L59" s="38"/>
      <c r="M59" s="38"/>
      <c r="N59" s="38"/>
      <c r="O59" s="38"/>
      <c r="P59" s="38"/>
      <c r="Q59" s="38"/>
      <c r="R59" s="38"/>
      <c r="S59" s="38"/>
      <c r="T59" s="38"/>
      <c r="U59" s="38"/>
      <c r="V59" s="38"/>
      <c r="W59" s="38"/>
      <c r="X59" s="38"/>
      <c r="Y59" s="38"/>
      <c r="Z59" s="38"/>
    </row>
    <row r="60" spans="1:26">
      <c r="A60" s="57"/>
      <c r="B60" s="57"/>
      <c r="C60" s="58" t="s">
        <v>205</v>
      </c>
      <c r="D60" s="59">
        <v>1.4999999999999999E-2</v>
      </c>
      <c r="E60" s="60"/>
      <c r="F60" s="38"/>
      <c r="G60" s="38"/>
      <c r="H60" s="38"/>
      <c r="I60" s="38"/>
      <c r="J60" s="38"/>
      <c r="K60" s="38"/>
      <c r="L60" s="38"/>
      <c r="M60" s="38"/>
      <c r="N60" s="38"/>
      <c r="O60" s="38"/>
      <c r="P60" s="38"/>
      <c r="Q60" s="38"/>
      <c r="R60" s="38"/>
      <c r="S60" s="38"/>
      <c r="T60" s="38"/>
      <c r="U60" s="38"/>
      <c r="V60" s="38"/>
      <c r="W60" s="38"/>
      <c r="X60" s="38"/>
      <c r="Y60" s="38"/>
      <c r="Z60" s="38"/>
    </row>
    <row r="61" spans="1:26">
      <c r="A61" s="57"/>
      <c r="B61" s="57"/>
      <c r="C61" s="58" t="s">
        <v>207</v>
      </c>
      <c r="D61" s="59">
        <v>1.4999999999999999E-2</v>
      </c>
      <c r="E61" s="60">
        <v>0</v>
      </c>
      <c r="F61" s="38"/>
      <c r="G61" s="38"/>
      <c r="H61" s="38"/>
      <c r="I61" s="38"/>
      <c r="J61" s="38"/>
      <c r="K61" s="38"/>
      <c r="L61" s="38"/>
      <c r="M61" s="38"/>
      <c r="N61" s="38"/>
      <c r="O61" s="38"/>
      <c r="P61" s="38"/>
      <c r="Q61" s="38"/>
      <c r="R61" s="38"/>
      <c r="S61" s="38"/>
      <c r="T61" s="38"/>
      <c r="U61" s="38"/>
      <c r="V61" s="38"/>
      <c r="W61" s="38"/>
      <c r="X61" s="38"/>
      <c r="Y61" s="38"/>
      <c r="Z61" s="38"/>
    </row>
    <row r="62" spans="1:26">
      <c r="A62" s="57"/>
      <c r="B62" s="57"/>
      <c r="C62" s="58" t="s">
        <v>212</v>
      </c>
      <c r="D62" s="59">
        <v>1.4999999999999999E-2</v>
      </c>
      <c r="E62" s="60"/>
      <c r="F62" s="38"/>
      <c r="G62" s="38"/>
      <c r="H62" s="38"/>
      <c r="I62" s="38"/>
      <c r="J62" s="38"/>
      <c r="K62" s="38"/>
      <c r="L62" s="38"/>
      <c r="M62" s="38"/>
      <c r="N62" s="38"/>
      <c r="O62" s="38"/>
      <c r="P62" s="38"/>
      <c r="Q62" s="38"/>
      <c r="R62" s="38"/>
      <c r="S62" s="38"/>
      <c r="T62" s="38"/>
      <c r="U62" s="38"/>
      <c r="V62" s="38"/>
      <c r="W62" s="38"/>
      <c r="X62" s="38"/>
      <c r="Y62" s="38"/>
      <c r="Z62" s="38"/>
    </row>
    <row r="63" spans="1:26">
      <c r="A63" s="57"/>
      <c r="B63" s="57"/>
      <c r="C63" s="58" t="s">
        <v>214</v>
      </c>
      <c r="D63" s="59">
        <v>1.4999999999999999E-2</v>
      </c>
      <c r="E63" s="60"/>
      <c r="F63" s="38"/>
      <c r="G63" s="38"/>
      <c r="H63" s="38"/>
      <c r="I63" s="38"/>
      <c r="J63" s="38"/>
      <c r="K63" s="38"/>
      <c r="L63" s="38"/>
      <c r="M63" s="38"/>
      <c r="N63" s="38"/>
      <c r="O63" s="38"/>
      <c r="P63" s="38"/>
      <c r="Q63" s="38"/>
      <c r="R63" s="38"/>
      <c r="S63" s="38"/>
      <c r="T63" s="38"/>
      <c r="U63" s="38"/>
      <c r="V63" s="38"/>
      <c r="W63" s="38"/>
      <c r="X63" s="38"/>
      <c r="Y63" s="38"/>
      <c r="Z63" s="38"/>
    </row>
    <row r="64" spans="1:26">
      <c r="A64" s="57"/>
      <c r="B64" s="57"/>
      <c r="C64" s="58" t="s">
        <v>216</v>
      </c>
      <c r="D64" s="59">
        <v>1.4999999999999999E-2</v>
      </c>
      <c r="E64" s="60">
        <v>1.4999999999999999E-2</v>
      </c>
      <c r="F64" s="38"/>
      <c r="G64" s="38"/>
      <c r="H64" s="38"/>
      <c r="I64" s="38"/>
      <c r="J64" s="38"/>
      <c r="K64" s="38"/>
      <c r="L64" s="38"/>
      <c r="M64" s="38"/>
      <c r="N64" s="38"/>
      <c r="O64" s="38"/>
      <c r="P64" s="38"/>
      <c r="Q64" s="38"/>
      <c r="R64" s="38"/>
      <c r="S64" s="38"/>
      <c r="T64" s="38"/>
      <c r="U64" s="38"/>
      <c r="V64" s="38"/>
      <c r="W64" s="38"/>
      <c r="X64" s="38"/>
      <c r="Y64" s="38"/>
      <c r="Z64" s="38"/>
    </row>
    <row r="65" spans="1:26">
      <c r="A65" s="57"/>
      <c r="B65" s="57"/>
      <c r="C65" s="58" t="s">
        <v>219</v>
      </c>
      <c r="D65" s="59">
        <v>0.01</v>
      </c>
      <c r="E65" s="60">
        <v>0.25</v>
      </c>
      <c r="F65" s="38"/>
      <c r="G65" s="38"/>
      <c r="H65" s="38"/>
      <c r="I65" s="38"/>
      <c r="J65" s="38"/>
      <c r="K65" s="38"/>
      <c r="L65" s="38"/>
      <c r="M65" s="38"/>
      <c r="N65" s="38"/>
      <c r="O65" s="38"/>
      <c r="P65" s="38"/>
      <c r="Q65" s="38"/>
      <c r="R65" s="38"/>
      <c r="S65" s="38"/>
      <c r="T65" s="38"/>
      <c r="U65" s="38"/>
      <c r="V65" s="38"/>
      <c r="W65" s="38"/>
      <c r="X65" s="38"/>
      <c r="Y65" s="38"/>
      <c r="Z65" s="38"/>
    </row>
    <row r="66" spans="1:26">
      <c r="A66" s="57"/>
      <c r="B66" s="57"/>
      <c r="C66" s="58" t="s">
        <v>226</v>
      </c>
      <c r="D66" s="59">
        <v>0.01</v>
      </c>
      <c r="E66" s="60"/>
      <c r="F66" s="38"/>
      <c r="G66" s="38"/>
      <c r="H66" s="38"/>
      <c r="I66" s="38"/>
      <c r="J66" s="38"/>
      <c r="K66" s="38"/>
      <c r="L66" s="38"/>
      <c r="M66" s="38"/>
      <c r="N66" s="38"/>
      <c r="O66" s="38"/>
      <c r="P66" s="38"/>
      <c r="Q66" s="38"/>
      <c r="R66" s="38"/>
      <c r="S66" s="38"/>
      <c r="T66" s="38"/>
      <c r="U66" s="38"/>
      <c r="V66" s="38"/>
      <c r="W66" s="38"/>
      <c r="X66" s="38"/>
      <c r="Y66" s="38"/>
      <c r="Z66" s="38"/>
    </row>
    <row r="67" spans="1:26">
      <c r="A67" s="57"/>
      <c r="B67" s="57"/>
      <c r="C67" s="58" t="s">
        <v>231</v>
      </c>
      <c r="D67" s="59">
        <v>0.01</v>
      </c>
      <c r="E67" s="60"/>
      <c r="F67" s="38"/>
      <c r="G67" s="38"/>
      <c r="H67" s="38"/>
      <c r="I67" s="38"/>
      <c r="J67" s="38"/>
      <c r="K67" s="38"/>
      <c r="L67" s="38"/>
      <c r="M67" s="38"/>
      <c r="N67" s="38"/>
      <c r="O67" s="38"/>
      <c r="P67" s="38"/>
      <c r="Q67" s="38"/>
      <c r="R67" s="38"/>
      <c r="S67" s="38"/>
      <c r="T67" s="38"/>
      <c r="U67" s="38"/>
      <c r="V67" s="38"/>
      <c r="W67" s="38"/>
      <c r="X67" s="38"/>
      <c r="Y67" s="38"/>
      <c r="Z67" s="38"/>
    </row>
    <row r="68" spans="1:26">
      <c r="A68" s="57"/>
      <c r="B68" s="57"/>
      <c r="C68" s="58" t="s">
        <v>233</v>
      </c>
      <c r="D68" s="59">
        <v>1.4999999999999999E-2</v>
      </c>
      <c r="E68" s="60">
        <v>0.2</v>
      </c>
      <c r="F68" s="38"/>
      <c r="G68" s="38"/>
      <c r="H68" s="38"/>
      <c r="I68" s="38"/>
      <c r="J68" s="38"/>
      <c r="K68" s="38"/>
      <c r="L68" s="38"/>
      <c r="M68" s="38"/>
      <c r="N68" s="38"/>
      <c r="O68" s="38"/>
      <c r="P68" s="38"/>
      <c r="Q68" s="38"/>
      <c r="R68" s="38"/>
      <c r="S68" s="38"/>
      <c r="T68" s="38"/>
      <c r="U68" s="38"/>
      <c r="V68" s="38"/>
      <c r="W68" s="38"/>
      <c r="X68" s="38"/>
      <c r="Y68" s="38"/>
      <c r="Z68" s="38"/>
    </row>
    <row r="69" spans="1:26">
      <c r="A69" s="57"/>
      <c r="B69" s="57"/>
      <c r="C69" s="58" t="s">
        <v>239</v>
      </c>
      <c r="D69" s="59">
        <v>1.4999999999999999E-2</v>
      </c>
      <c r="E69" s="60"/>
      <c r="F69" s="38"/>
      <c r="G69" s="38"/>
      <c r="H69" s="38"/>
      <c r="I69" s="38"/>
      <c r="J69" s="38"/>
      <c r="K69" s="38"/>
      <c r="L69" s="38"/>
      <c r="M69" s="38"/>
      <c r="N69" s="38"/>
      <c r="O69" s="38"/>
      <c r="P69" s="38"/>
      <c r="Q69" s="38"/>
      <c r="R69" s="38"/>
      <c r="S69" s="38"/>
      <c r="T69" s="38"/>
      <c r="U69" s="38"/>
      <c r="V69" s="38"/>
      <c r="W69" s="38"/>
      <c r="X69" s="38"/>
      <c r="Y69" s="38"/>
      <c r="Z69" s="38"/>
    </row>
    <row r="70" spans="1:26">
      <c r="A70" s="57"/>
      <c r="B70" s="57"/>
      <c r="C70" s="58" t="s">
        <v>47</v>
      </c>
      <c r="D70" s="59">
        <v>1.4999999999999999E-2</v>
      </c>
      <c r="E70" s="60"/>
      <c r="F70" s="38"/>
      <c r="G70" s="38"/>
      <c r="H70" s="38"/>
      <c r="I70" s="38"/>
      <c r="J70" s="38"/>
      <c r="K70" s="38"/>
      <c r="L70" s="38"/>
      <c r="M70" s="38"/>
      <c r="N70" s="38"/>
      <c r="O70" s="38"/>
      <c r="P70" s="38"/>
      <c r="Q70" s="38"/>
      <c r="R70" s="38"/>
      <c r="S70" s="38"/>
      <c r="T70" s="38"/>
      <c r="U70" s="38"/>
      <c r="V70" s="38"/>
      <c r="W70" s="38"/>
      <c r="X70" s="38"/>
      <c r="Y70" s="38"/>
      <c r="Z70" s="38"/>
    </row>
    <row r="71" spans="1:26">
      <c r="A71" s="57"/>
      <c r="B71" s="57"/>
      <c r="C71" s="58" t="s">
        <v>243</v>
      </c>
      <c r="D71" s="59">
        <v>0.01</v>
      </c>
      <c r="E71" s="60"/>
      <c r="F71" s="38"/>
      <c r="G71" s="38"/>
      <c r="H71" s="38"/>
      <c r="I71" s="38"/>
      <c r="J71" s="38"/>
      <c r="K71" s="38"/>
      <c r="L71" s="38"/>
      <c r="M71" s="38"/>
      <c r="N71" s="38"/>
      <c r="O71" s="38"/>
      <c r="P71" s="38"/>
      <c r="Q71" s="38"/>
      <c r="R71" s="38"/>
      <c r="S71" s="38"/>
      <c r="T71" s="38"/>
      <c r="U71" s="38"/>
      <c r="V71" s="38"/>
      <c r="W71" s="38"/>
      <c r="X71" s="38"/>
      <c r="Y71" s="38"/>
      <c r="Z71" s="38"/>
    </row>
    <row r="72" spans="1:26">
      <c r="A72" s="57"/>
      <c r="B72" s="57"/>
      <c r="C72" s="58" t="s">
        <v>247</v>
      </c>
      <c r="D72" s="59">
        <v>5.0000000000000001E-3</v>
      </c>
      <c r="E72" s="60">
        <v>0.2</v>
      </c>
      <c r="F72" s="38"/>
      <c r="G72" s="38"/>
      <c r="H72" s="38"/>
      <c r="I72" s="38"/>
      <c r="J72" s="38"/>
      <c r="K72" s="38"/>
      <c r="L72" s="38"/>
      <c r="M72" s="38"/>
      <c r="N72" s="38"/>
      <c r="O72" s="38"/>
      <c r="P72" s="38"/>
      <c r="Q72" s="38"/>
      <c r="R72" s="38"/>
      <c r="S72" s="38"/>
      <c r="T72" s="38"/>
      <c r="U72" s="38"/>
      <c r="V72" s="38"/>
      <c r="W72" s="38"/>
      <c r="X72" s="38"/>
      <c r="Y72" s="38"/>
      <c r="Z72" s="38"/>
    </row>
    <row r="73" spans="1:26">
      <c r="A73" s="57"/>
      <c r="B73" s="57"/>
      <c r="C73" s="58" t="s">
        <v>254</v>
      </c>
      <c r="D73" s="59">
        <v>0.01</v>
      </c>
      <c r="E73" s="60">
        <v>0.01</v>
      </c>
      <c r="F73" s="38"/>
      <c r="G73" s="38"/>
      <c r="H73" s="38"/>
      <c r="I73" s="38"/>
      <c r="J73" s="38"/>
      <c r="K73" s="38"/>
      <c r="L73" s="38"/>
      <c r="M73" s="38"/>
      <c r="N73" s="38"/>
      <c r="O73" s="38"/>
      <c r="P73" s="38"/>
      <c r="Q73" s="38"/>
      <c r="R73" s="38"/>
      <c r="S73" s="38"/>
      <c r="T73" s="38"/>
      <c r="U73" s="38"/>
      <c r="V73" s="38"/>
      <c r="W73" s="38"/>
      <c r="X73" s="38"/>
      <c r="Y73" s="38"/>
      <c r="Z73" s="38"/>
    </row>
    <row r="74" spans="1:26">
      <c r="A74" s="57"/>
      <c r="B74" s="57"/>
      <c r="C74" s="58" t="s">
        <v>49</v>
      </c>
      <c r="D74" s="59">
        <v>1.4999999999999999E-2</v>
      </c>
      <c r="E74" s="60"/>
      <c r="F74" s="38"/>
      <c r="G74" s="38"/>
      <c r="H74" s="38"/>
      <c r="I74" s="38"/>
      <c r="J74" s="38"/>
      <c r="K74" s="38"/>
      <c r="L74" s="38"/>
      <c r="M74" s="38"/>
      <c r="N74" s="38"/>
      <c r="O74" s="38"/>
      <c r="P74" s="38"/>
      <c r="Q74" s="38"/>
      <c r="R74" s="38"/>
      <c r="S74" s="38"/>
      <c r="T74" s="38"/>
      <c r="U74" s="38"/>
      <c r="V74" s="38"/>
      <c r="W74" s="38"/>
      <c r="X74" s="38"/>
      <c r="Y74" s="38"/>
      <c r="Z74" s="38"/>
    </row>
    <row r="75" spans="1:26">
      <c r="A75" s="57"/>
      <c r="B75" s="57"/>
      <c r="C75" s="58" t="s">
        <v>52</v>
      </c>
      <c r="D75" s="59">
        <v>2.5000000000000001E-2</v>
      </c>
      <c r="E75" s="60">
        <v>0.2</v>
      </c>
      <c r="F75" s="38"/>
      <c r="G75" s="38"/>
      <c r="H75" s="38"/>
      <c r="I75" s="38"/>
      <c r="J75" s="38"/>
      <c r="K75" s="38"/>
      <c r="L75" s="38"/>
      <c r="M75" s="38"/>
      <c r="N75" s="38"/>
      <c r="O75" s="38"/>
      <c r="P75" s="38"/>
      <c r="Q75" s="38"/>
      <c r="R75" s="38"/>
      <c r="S75" s="38"/>
      <c r="T75" s="38"/>
      <c r="U75" s="38"/>
      <c r="V75" s="38"/>
      <c r="W75" s="38"/>
      <c r="X75" s="38"/>
      <c r="Y75" s="38"/>
      <c r="Z75" s="38"/>
    </row>
    <row r="76" spans="1:26">
      <c r="A76" s="57"/>
      <c r="B76" s="57"/>
      <c r="C76" s="58" t="s">
        <v>184</v>
      </c>
      <c r="D76" s="59">
        <v>0.01</v>
      </c>
      <c r="E76" s="60">
        <v>0.25</v>
      </c>
      <c r="F76" s="38"/>
      <c r="G76" s="38"/>
      <c r="H76" s="38"/>
      <c r="I76" s="38"/>
      <c r="J76" s="38"/>
      <c r="K76" s="38"/>
      <c r="L76" s="38"/>
      <c r="M76" s="38"/>
      <c r="N76" s="38"/>
      <c r="O76" s="38"/>
      <c r="P76" s="38"/>
      <c r="Q76" s="38"/>
      <c r="R76" s="38"/>
      <c r="S76" s="38"/>
      <c r="T76" s="38"/>
      <c r="U76" s="38"/>
      <c r="V76" s="38"/>
      <c r="W76" s="38"/>
      <c r="X76" s="38"/>
      <c r="Y76" s="38"/>
      <c r="Z76" s="38"/>
    </row>
    <row r="77" spans="1:26">
      <c r="A77" s="57"/>
      <c r="B77" s="57"/>
      <c r="C77" s="58" t="s">
        <v>189</v>
      </c>
      <c r="D77" s="59">
        <v>1.4999999999999999E-2</v>
      </c>
      <c r="E77" s="60">
        <v>0.25</v>
      </c>
      <c r="F77" s="38"/>
      <c r="G77" s="38"/>
      <c r="H77" s="38"/>
      <c r="I77" s="38"/>
      <c r="J77" s="38"/>
      <c r="K77" s="38"/>
      <c r="L77" s="38"/>
      <c r="M77" s="38"/>
      <c r="N77" s="38"/>
      <c r="O77" s="38"/>
      <c r="P77" s="38"/>
      <c r="Q77" s="38"/>
      <c r="R77" s="38"/>
      <c r="S77" s="38"/>
      <c r="T77" s="38"/>
      <c r="U77" s="38"/>
      <c r="V77" s="38"/>
      <c r="W77" s="38"/>
      <c r="X77" s="38"/>
      <c r="Y77" s="38"/>
      <c r="Z77" s="38"/>
    </row>
    <row r="78" spans="1:26">
      <c r="A78" s="57"/>
      <c r="B78" s="57"/>
      <c r="C78" s="58" t="s">
        <v>195</v>
      </c>
      <c r="D78" s="59">
        <v>1.4999999999999999E-2</v>
      </c>
      <c r="E78" s="60">
        <v>1.4999999999999999E-2</v>
      </c>
      <c r="F78" s="38"/>
      <c r="G78" s="38"/>
      <c r="H78" s="38"/>
      <c r="I78" s="38"/>
      <c r="J78" s="38"/>
      <c r="K78" s="38"/>
      <c r="L78" s="38"/>
      <c r="M78" s="38"/>
      <c r="N78" s="38"/>
      <c r="O78" s="38"/>
      <c r="P78" s="38"/>
      <c r="Q78" s="38"/>
      <c r="R78" s="38"/>
      <c r="S78" s="38"/>
      <c r="T78" s="38"/>
      <c r="U78" s="38"/>
      <c r="V78" s="38"/>
      <c r="W78" s="38"/>
      <c r="X78" s="38"/>
      <c r="Y78" s="38"/>
      <c r="Z78" s="38"/>
    </row>
    <row r="79" spans="1:26">
      <c r="A79" s="57"/>
      <c r="B79" s="57"/>
      <c r="C79" s="58" t="s">
        <v>201</v>
      </c>
      <c r="D79" s="59">
        <v>1.4999999999999999E-2</v>
      </c>
      <c r="E79" s="60"/>
      <c r="F79" s="38"/>
      <c r="G79" s="38"/>
      <c r="H79" s="38"/>
      <c r="I79" s="38"/>
      <c r="J79" s="38"/>
      <c r="K79" s="38"/>
      <c r="L79" s="38"/>
      <c r="M79" s="38"/>
      <c r="N79" s="38"/>
      <c r="O79" s="38"/>
      <c r="P79" s="38"/>
      <c r="Q79" s="38"/>
      <c r="R79" s="38"/>
      <c r="S79" s="38"/>
      <c r="T79" s="38"/>
      <c r="U79" s="38"/>
      <c r="V79" s="38"/>
      <c r="W79" s="38"/>
      <c r="X79" s="38"/>
      <c r="Y79" s="38"/>
      <c r="Z79" s="38"/>
    </row>
    <row r="80" spans="1:26">
      <c r="A80" s="57"/>
      <c r="B80" s="57"/>
      <c r="C80" s="58" t="s">
        <v>203</v>
      </c>
      <c r="D80" s="59">
        <v>1.4999999999999999E-2</v>
      </c>
      <c r="E80" s="60"/>
      <c r="F80" s="38"/>
      <c r="G80" s="38"/>
      <c r="H80" s="38"/>
      <c r="I80" s="38"/>
      <c r="J80" s="38"/>
      <c r="K80" s="38"/>
      <c r="L80" s="38"/>
      <c r="M80" s="38"/>
      <c r="N80" s="38"/>
      <c r="O80" s="38"/>
      <c r="P80" s="38"/>
      <c r="Q80" s="38"/>
      <c r="R80" s="38"/>
      <c r="S80" s="38"/>
      <c r="T80" s="38"/>
      <c r="U80" s="38"/>
      <c r="V80" s="38"/>
      <c r="W80" s="38"/>
      <c r="X80" s="38"/>
      <c r="Y80" s="38"/>
      <c r="Z80" s="38"/>
    </row>
    <row r="81" spans="1:26">
      <c r="A81" s="57"/>
      <c r="B81" s="50">
        <v>2</v>
      </c>
      <c r="C81" s="50" t="s">
        <v>56</v>
      </c>
      <c r="D81" s="55">
        <v>0.02</v>
      </c>
      <c r="E81" s="56">
        <v>0.01</v>
      </c>
      <c r="F81" s="38"/>
      <c r="G81" s="38"/>
      <c r="H81" s="38"/>
      <c r="I81" s="38"/>
      <c r="J81" s="38"/>
      <c r="K81" s="38"/>
      <c r="L81" s="38"/>
      <c r="M81" s="38"/>
      <c r="N81" s="38"/>
      <c r="O81" s="38"/>
      <c r="P81" s="38"/>
      <c r="Q81" s="38"/>
      <c r="R81" s="38"/>
      <c r="S81" s="38"/>
      <c r="T81" s="38"/>
      <c r="U81" s="38"/>
      <c r="V81" s="38"/>
      <c r="W81" s="38"/>
      <c r="X81" s="38"/>
      <c r="Y81" s="38"/>
      <c r="Z81" s="38"/>
    </row>
    <row r="82" spans="1:26">
      <c r="A82" s="57"/>
      <c r="B82" s="57"/>
      <c r="C82" s="58" t="s">
        <v>60</v>
      </c>
      <c r="D82" s="59">
        <v>4.4999999999999998E-2</v>
      </c>
      <c r="E82" s="60">
        <v>4.4999999999999998E-2</v>
      </c>
      <c r="F82" s="38"/>
      <c r="G82" s="38"/>
      <c r="H82" s="38"/>
      <c r="I82" s="38"/>
      <c r="J82" s="38"/>
      <c r="K82" s="38"/>
      <c r="L82" s="38"/>
      <c r="M82" s="38"/>
      <c r="N82" s="38"/>
      <c r="O82" s="38"/>
      <c r="P82" s="38"/>
      <c r="Q82" s="38"/>
      <c r="R82" s="38"/>
      <c r="S82" s="38"/>
      <c r="T82" s="38"/>
      <c r="U82" s="38"/>
      <c r="V82" s="38"/>
      <c r="W82" s="38"/>
      <c r="X82" s="38"/>
      <c r="Y82" s="38"/>
      <c r="Z82" s="38"/>
    </row>
    <row r="83" spans="1:26">
      <c r="A83" s="57"/>
      <c r="B83" s="57"/>
      <c r="C83" s="58" t="s">
        <v>63</v>
      </c>
      <c r="D83" s="59">
        <v>2.5000000000000001E-2</v>
      </c>
      <c r="E83" s="60"/>
      <c r="F83" s="38"/>
      <c r="G83" s="38"/>
      <c r="H83" s="38"/>
      <c r="I83" s="38"/>
      <c r="J83" s="38"/>
      <c r="K83" s="38"/>
      <c r="L83" s="38"/>
      <c r="M83" s="38"/>
      <c r="N83" s="38"/>
      <c r="O83" s="38"/>
      <c r="P83" s="38"/>
      <c r="Q83" s="38"/>
      <c r="R83" s="38"/>
      <c r="S83" s="38"/>
      <c r="T83" s="38"/>
      <c r="U83" s="38"/>
      <c r="V83" s="38"/>
      <c r="W83" s="38"/>
      <c r="X83" s="38"/>
      <c r="Y83" s="38"/>
      <c r="Z83" s="38"/>
    </row>
    <row r="84" spans="1:26">
      <c r="A84" s="57"/>
      <c r="B84" s="57"/>
      <c r="C84" s="58" t="s">
        <v>110</v>
      </c>
      <c r="D84" s="59">
        <v>2.5000000000000001E-2</v>
      </c>
      <c r="E84" s="60"/>
      <c r="F84" s="38"/>
      <c r="G84" s="38"/>
      <c r="H84" s="38"/>
      <c r="I84" s="38"/>
      <c r="J84" s="38"/>
      <c r="K84" s="38"/>
      <c r="L84" s="38"/>
      <c r="M84" s="38"/>
      <c r="N84" s="38"/>
      <c r="O84" s="38"/>
      <c r="P84" s="38"/>
      <c r="Q84" s="38"/>
      <c r="R84" s="38"/>
      <c r="S84" s="38"/>
      <c r="T84" s="38"/>
      <c r="U84" s="38"/>
      <c r="V84" s="38"/>
      <c r="W84" s="38"/>
      <c r="X84" s="38"/>
      <c r="Y84" s="38"/>
      <c r="Z84" s="38"/>
    </row>
    <row r="85" spans="1:26">
      <c r="A85" s="57"/>
      <c r="B85" s="57"/>
      <c r="C85" s="58" t="s">
        <v>112</v>
      </c>
      <c r="D85" s="59">
        <v>4.4999999999999998E-2</v>
      </c>
      <c r="E85" s="60"/>
      <c r="F85" s="38"/>
      <c r="G85" s="38"/>
      <c r="H85" s="38"/>
      <c r="I85" s="38"/>
      <c r="J85" s="38"/>
      <c r="K85" s="38"/>
      <c r="L85" s="38"/>
      <c r="M85" s="38"/>
      <c r="N85" s="38"/>
      <c r="O85" s="38"/>
      <c r="P85" s="38"/>
      <c r="Q85" s="38"/>
      <c r="R85" s="38"/>
      <c r="S85" s="38"/>
      <c r="T85" s="38"/>
      <c r="U85" s="38"/>
      <c r="V85" s="38"/>
      <c r="W85" s="38"/>
      <c r="X85" s="38"/>
      <c r="Y85" s="38"/>
      <c r="Z85" s="38"/>
    </row>
    <row r="86" spans="1:26">
      <c r="A86" s="57"/>
      <c r="B86" s="57"/>
      <c r="C86" s="58" t="s">
        <v>114</v>
      </c>
      <c r="D86" s="59">
        <v>4.4999999999999998E-2</v>
      </c>
      <c r="E86" s="60"/>
      <c r="F86" s="38"/>
      <c r="G86" s="38"/>
      <c r="H86" s="38"/>
      <c r="I86" s="38"/>
      <c r="J86" s="38"/>
      <c r="K86" s="38"/>
      <c r="L86" s="38"/>
      <c r="M86" s="38"/>
      <c r="N86" s="38"/>
      <c r="O86" s="38"/>
      <c r="P86" s="38"/>
      <c r="Q86" s="38"/>
      <c r="R86" s="38"/>
      <c r="S86" s="38"/>
      <c r="T86" s="38"/>
      <c r="U86" s="38"/>
      <c r="V86" s="38"/>
      <c r="W86" s="38"/>
      <c r="X86" s="38"/>
      <c r="Y86" s="38"/>
      <c r="Z86" s="38"/>
    </row>
    <row r="87" spans="1:26">
      <c r="A87" s="57"/>
      <c r="B87" s="57"/>
      <c r="C87" s="58" t="s">
        <v>116</v>
      </c>
      <c r="D87" s="59">
        <v>4.4999999999999998E-2</v>
      </c>
      <c r="E87" s="60"/>
      <c r="F87" s="38"/>
      <c r="G87" s="38"/>
      <c r="H87" s="38"/>
      <c r="I87" s="38"/>
      <c r="J87" s="38"/>
      <c r="K87" s="38"/>
      <c r="L87" s="38"/>
      <c r="M87" s="38"/>
      <c r="N87" s="38"/>
      <c r="O87" s="38"/>
      <c r="P87" s="38"/>
      <c r="Q87" s="38"/>
      <c r="R87" s="38"/>
      <c r="S87" s="38"/>
      <c r="T87" s="38"/>
      <c r="U87" s="38"/>
      <c r="V87" s="38"/>
      <c r="W87" s="38"/>
      <c r="X87" s="38"/>
      <c r="Y87" s="38"/>
      <c r="Z87" s="38"/>
    </row>
    <row r="88" spans="1:26">
      <c r="A88" s="57"/>
      <c r="B88" s="50">
        <v>3</v>
      </c>
      <c r="C88" s="50" t="s">
        <v>68</v>
      </c>
      <c r="D88" s="55">
        <v>0.01</v>
      </c>
      <c r="E88" s="56"/>
      <c r="F88" s="38"/>
      <c r="G88" s="38"/>
      <c r="H88" s="38"/>
      <c r="I88" s="38"/>
      <c r="J88" s="38"/>
      <c r="K88" s="38"/>
      <c r="L88" s="38"/>
      <c r="M88" s="38"/>
      <c r="N88" s="38"/>
      <c r="O88" s="38"/>
      <c r="P88" s="38"/>
      <c r="Q88" s="38"/>
      <c r="R88" s="38"/>
      <c r="S88" s="38"/>
      <c r="T88" s="38"/>
      <c r="U88" s="38"/>
      <c r="V88" s="38"/>
      <c r="W88" s="38"/>
      <c r="X88" s="38"/>
      <c r="Y88" s="38"/>
      <c r="Z88" s="38"/>
    </row>
    <row r="89" spans="1:26">
      <c r="A89" s="57"/>
      <c r="B89" s="57"/>
      <c r="C89" s="58" t="s">
        <v>305</v>
      </c>
      <c r="D89" s="59">
        <v>1.4999999999999999E-2</v>
      </c>
      <c r="E89" s="60"/>
      <c r="F89" s="38"/>
      <c r="G89" s="38"/>
      <c r="H89" s="38"/>
      <c r="I89" s="38"/>
      <c r="J89" s="38"/>
      <c r="K89" s="38"/>
      <c r="L89" s="38"/>
      <c r="M89" s="38"/>
      <c r="N89" s="38"/>
      <c r="O89" s="38"/>
      <c r="P89" s="38"/>
      <c r="Q89" s="38"/>
      <c r="R89" s="38"/>
      <c r="S89" s="38"/>
      <c r="T89" s="38"/>
      <c r="U89" s="38"/>
      <c r="V89" s="38"/>
      <c r="W89" s="38"/>
      <c r="X89" s="38"/>
      <c r="Y89" s="38"/>
      <c r="Z89" s="38"/>
    </row>
    <row r="90" spans="1:26">
      <c r="A90" s="57"/>
      <c r="B90" s="57"/>
      <c r="C90" s="58" t="s">
        <v>73</v>
      </c>
      <c r="D90" s="59">
        <v>1.4999999999999999E-2</v>
      </c>
      <c r="E90" s="60"/>
      <c r="F90" s="38"/>
      <c r="G90" s="38"/>
      <c r="H90" s="38"/>
      <c r="I90" s="38"/>
      <c r="J90" s="38"/>
      <c r="K90" s="38"/>
      <c r="L90" s="38"/>
      <c r="M90" s="38"/>
      <c r="N90" s="38"/>
      <c r="O90" s="38"/>
      <c r="P90" s="38"/>
      <c r="Q90" s="38"/>
      <c r="R90" s="38"/>
      <c r="S90" s="38"/>
      <c r="T90" s="38"/>
      <c r="U90" s="38"/>
      <c r="V90" s="38"/>
      <c r="W90" s="38"/>
      <c r="X90" s="38"/>
      <c r="Y90" s="38"/>
      <c r="Z90" s="38"/>
    </row>
    <row r="91" spans="1:26">
      <c r="A91" s="57"/>
      <c r="B91" s="57"/>
      <c r="C91" s="58" t="s">
        <v>75</v>
      </c>
      <c r="D91" s="59">
        <v>1.4999999999999999E-2</v>
      </c>
      <c r="E91" s="60"/>
      <c r="F91" s="38"/>
      <c r="G91" s="38"/>
      <c r="H91" s="38"/>
      <c r="I91" s="38"/>
      <c r="J91" s="38"/>
      <c r="K91" s="38"/>
      <c r="L91" s="38"/>
      <c r="M91" s="38"/>
      <c r="N91" s="38"/>
      <c r="O91" s="38"/>
      <c r="P91" s="38"/>
      <c r="Q91" s="38"/>
      <c r="R91" s="38"/>
      <c r="S91" s="38"/>
      <c r="T91" s="38"/>
      <c r="U91" s="38"/>
      <c r="V91" s="38"/>
      <c r="W91" s="38"/>
      <c r="X91" s="38"/>
      <c r="Y91" s="38"/>
      <c r="Z91" s="38"/>
    </row>
    <row r="92" spans="1:26">
      <c r="A92" s="57"/>
      <c r="B92" s="57"/>
      <c r="C92" s="58" t="s">
        <v>287</v>
      </c>
      <c r="D92" s="59">
        <v>1.4999999999999999E-2</v>
      </c>
      <c r="E92" s="60"/>
      <c r="F92" s="38"/>
      <c r="G92" s="38"/>
      <c r="H92" s="38"/>
      <c r="I92" s="38"/>
      <c r="J92" s="38"/>
      <c r="K92" s="38"/>
      <c r="L92" s="38"/>
      <c r="M92" s="38"/>
      <c r="N92" s="38"/>
      <c r="O92" s="38"/>
      <c r="P92" s="38"/>
      <c r="Q92" s="38"/>
      <c r="R92" s="38"/>
      <c r="S92" s="38"/>
      <c r="T92" s="38"/>
      <c r="U92" s="38"/>
      <c r="V92" s="38"/>
      <c r="W92" s="38"/>
      <c r="X92" s="38"/>
      <c r="Y92" s="38"/>
      <c r="Z92" s="38"/>
    </row>
    <row r="93" spans="1:26">
      <c r="A93" s="57"/>
      <c r="B93" s="57"/>
      <c r="C93" s="58" t="s">
        <v>290</v>
      </c>
      <c r="D93" s="59">
        <v>1.4999999999999999E-2</v>
      </c>
      <c r="E93" s="60"/>
      <c r="F93" s="38"/>
      <c r="G93" s="38"/>
      <c r="H93" s="38"/>
      <c r="I93" s="38"/>
      <c r="J93" s="38"/>
      <c r="K93" s="38"/>
      <c r="L93" s="38"/>
      <c r="M93" s="38"/>
      <c r="N93" s="38"/>
      <c r="O93" s="38"/>
      <c r="P93" s="38"/>
      <c r="Q93" s="38"/>
      <c r="R93" s="38"/>
      <c r="S93" s="38"/>
      <c r="T93" s="38"/>
      <c r="U93" s="38"/>
      <c r="V93" s="38"/>
      <c r="W93" s="38"/>
      <c r="X93" s="38"/>
      <c r="Y93" s="38"/>
      <c r="Z93" s="38"/>
    </row>
    <row r="94" spans="1:26">
      <c r="A94" s="57"/>
      <c r="B94" s="57"/>
      <c r="C94" s="58" t="s">
        <v>293</v>
      </c>
      <c r="D94" s="59">
        <v>0.05</v>
      </c>
      <c r="E94" s="60"/>
      <c r="F94" s="38"/>
      <c r="G94" s="38"/>
      <c r="H94" s="38"/>
      <c r="I94" s="38"/>
      <c r="J94" s="38"/>
      <c r="K94" s="38"/>
      <c r="L94" s="38"/>
      <c r="M94" s="38"/>
      <c r="N94" s="38"/>
      <c r="O94" s="38"/>
      <c r="P94" s="38"/>
      <c r="Q94" s="38"/>
      <c r="R94" s="38"/>
      <c r="S94" s="38"/>
      <c r="T94" s="38"/>
      <c r="U94" s="38"/>
      <c r="V94" s="38"/>
      <c r="W94" s="38"/>
      <c r="X94" s="38"/>
      <c r="Y94" s="38"/>
      <c r="Z94" s="38"/>
    </row>
    <row r="95" spans="1:26">
      <c r="A95" s="57"/>
      <c r="B95" s="57"/>
      <c r="C95" s="58" t="s">
        <v>296</v>
      </c>
      <c r="D95" s="59">
        <v>0.04</v>
      </c>
      <c r="E95" s="60"/>
      <c r="F95" s="38"/>
      <c r="G95" s="38"/>
      <c r="H95" s="38"/>
      <c r="I95" s="38"/>
      <c r="J95" s="38"/>
      <c r="K95" s="38"/>
      <c r="L95" s="38"/>
      <c r="M95" s="38"/>
      <c r="N95" s="38"/>
      <c r="O95" s="38"/>
      <c r="P95" s="38"/>
      <c r="Q95" s="38"/>
      <c r="R95" s="38"/>
      <c r="S95" s="38"/>
      <c r="T95" s="38"/>
      <c r="U95" s="38"/>
      <c r="V95" s="38"/>
      <c r="W95" s="38"/>
      <c r="X95" s="38"/>
      <c r="Y95" s="38"/>
      <c r="Z95" s="38"/>
    </row>
    <row r="96" spans="1:26">
      <c r="A96" s="57"/>
      <c r="B96" s="57"/>
      <c r="C96" s="58" t="s">
        <v>299</v>
      </c>
      <c r="D96" s="59">
        <v>0.05</v>
      </c>
      <c r="E96" s="60"/>
      <c r="F96" s="38"/>
      <c r="G96" s="38"/>
      <c r="H96" s="38"/>
      <c r="I96" s="38"/>
      <c r="J96" s="38"/>
      <c r="K96" s="38"/>
      <c r="L96" s="38"/>
      <c r="M96" s="38"/>
      <c r="N96" s="38"/>
      <c r="O96" s="38"/>
      <c r="P96" s="38"/>
      <c r="Q96" s="38"/>
      <c r="R96" s="38"/>
      <c r="S96" s="38"/>
      <c r="T96" s="38"/>
      <c r="U96" s="38"/>
      <c r="V96" s="38"/>
      <c r="W96" s="38"/>
      <c r="X96" s="38"/>
      <c r="Y96" s="38"/>
      <c r="Z96" s="38"/>
    </row>
    <row r="97" spans="1:26">
      <c r="A97" s="57"/>
      <c r="B97" s="57"/>
      <c r="C97" s="58" t="s">
        <v>302</v>
      </c>
      <c r="D97" s="59">
        <v>2.5000000000000001E-2</v>
      </c>
      <c r="E97" s="60"/>
      <c r="F97" s="38"/>
      <c r="G97" s="38"/>
      <c r="H97" s="38"/>
      <c r="I97" s="38"/>
      <c r="J97" s="38"/>
      <c r="K97" s="38"/>
      <c r="L97" s="38"/>
      <c r="M97" s="38"/>
      <c r="N97" s="38"/>
      <c r="O97" s="38"/>
      <c r="P97" s="38"/>
      <c r="Q97" s="38"/>
      <c r="R97" s="38"/>
      <c r="S97" s="38"/>
      <c r="T97" s="38"/>
      <c r="U97" s="38"/>
      <c r="V97" s="38"/>
      <c r="W97" s="38"/>
      <c r="X97" s="38"/>
      <c r="Y97" s="38"/>
      <c r="Z97" s="38"/>
    </row>
    <row r="98" spans="1:26">
      <c r="A98" s="57"/>
      <c r="B98" s="50">
        <v>4</v>
      </c>
      <c r="C98" s="50" t="s">
        <v>79</v>
      </c>
      <c r="D98" s="55">
        <v>0.03</v>
      </c>
      <c r="E98" s="56">
        <v>0.03</v>
      </c>
      <c r="F98" s="38"/>
      <c r="G98" s="38"/>
      <c r="H98" s="38"/>
      <c r="I98" s="38"/>
      <c r="J98" s="38"/>
      <c r="K98" s="38"/>
      <c r="L98" s="38"/>
      <c r="M98" s="38"/>
      <c r="N98" s="38"/>
      <c r="O98" s="38"/>
      <c r="P98" s="38"/>
      <c r="Q98" s="38"/>
      <c r="R98" s="38"/>
      <c r="S98" s="38"/>
      <c r="T98" s="38"/>
      <c r="U98" s="38"/>
      <c r="V98" s="38"/>
      <c r="W98" s="38"/>
      <c r="X98" s="38"/>
      <c r="Y98" s="38"/>
      <c r="Z98" s="38"/>
    </row>
    <row r="99" spans="1:26">
      <c r="A99" s="57"/>
      <c r="B99" s="57"/>
      <c r="C99" s="58" t="s">
        <v>83</v>
      </c>
      <c r="D99" s="59">
        <v>0.04</v>
      </c>
      <c r="E99" s="60"/>
      <c r="F99" s="38"/>
      <c r="G99" s="38"/>
      <c r="H99" s="38"/>
      <c r="I99" s="38"/>
      <c r="J99" s="38"/>
      <c r="K99" s="38"/>
      <c r="L99" s="38"/>
      <c r="M99" s="38"/>
      <c r="N99" s="38"/>
      <c r="O99" s="38"/>
      <c r="P99" s="38"/>
      <c r="Q99" s="38"/>
      <c r="R99" s="38"/>
      <c r="S99" s="38"/>
      <c r="T99" s="38"/>
      <c r="U99" s="38"/>
      <c r="V99" s="38"/>
      <c r="W99" s="38"/>
      <c r="X99" s="38"/>
      <c r="Y99" s="38"/>
      <c r="Z99" s="38"/>
    </row>
    <row r="100" spans="1:26">
      <c r="A100" s="57"/>
      <c r="B100" s="57"/>
      <c r="C100" s="58" t="s">
        <v>86</v>
      </c>
      <c r="D100" s="59">
        <v>3.5000000000000003E-2</v>
      </c>
      <c r="E100" s="60">
        <v>3.5000000000000003E-2</v>
      </c>
      <c r="F100" s="38"/>
      <c r="G100" s="38"/>
      <c r="H100" s="38"/>
      <c r="I100" s="38"/>
      <c r="J100" s="38"/>
      <c r="K100" s="38"/>
      <c r="L100" s="38"/>
      <c r="M100" s="38"/>
      <c r="N100" s="38"/>
      <c r="O100" s="38"/>
      <c r="P100" s="38"/>
      <c r="Q100" s="38"/>
      <c r="R100" s="38"/>
      <c r="S100" s="38"/>
      <c r="T100" s="38"/>
      <c r="U100" s="38"/>
      <c r="V100" s="38"/>
      <c r="W100" s="38"/>
      <c r="X100" s="38"/>
      <c r="Y100" s="38"/>
      <c r="Z100" s="38"/>
    </row>
    <row r="101" spans="1:26">
      <c r="A101" s="57"/>
      <c r="B101" s="57"/>
      <c r="C101" s="58" t="s">
        <v>89</v>
      </c>
      <c r="D101" s="59">
        <v>3.5000000000000003E-2</v>
      </c>
      <c r="E101" s="60"/>
      <c r="F101" s="38"/>
      <c r="G101" s="38"/>
      <c r="H101" s="38"/>
      <c r="I101" s="38"/>
      <c r="J101" s="38"/>
      <c r="K101" s="38"/>
      <c r="L101" s="38"/>
      <c r="M101" s="38"/>
      <c r="N101" s="38"/>
      <c r="O101" s="38"/>
      <c r="P101" s="38"/>
      <c r="Q101" s="38"/>
      <c r="R101" s="38"/>
      <c r="S101" s="38"/>
      <c r="T101" s="38"/>
      <c r="U101" s="38"/>
      <c r="V101" s="38"/>
      <c r="W101" s="38"/>
      <c r="X101" s="38"/>
      <c r="Y101" s="38"/>
      <c r="Z101" s="38"/>
    </row>
    <row r="102" spans="1:26">
      <c r="A102" s="57"/>
      <c r="B102" s="57"/>
      <c r="C102" s="58" t="s">
        <v>321</v>
      </c>
      <c r="D102" s="59">
        <v>3.5000000000000003E-2</v>
      </c>
      <c r="E102" s="60"/>
      <c r="F102" s="38"/>
      <c r="G102" s="38"/>
      <c r="H102" s="38"/>
      <c r="I102" s="38"/>
      <c r="J102" s="38"/>
      <c r="K102" s="38"/>
      <c r="L102" s="38"/>
      <c r="M102" s="38"/>
      <c r="N102" s="38"/>
      <c r="O102" s="38"/>
      <c r="P102" s="38"/>
      <c r="Q102" s="38"/>
      <c r="R102" s="38"/>
      <c r="S102" s="38"/>
      <c r="T102" s="38"/>
      <c r="U102" s="38"/>
      <c r="V102" s="38"/>
      <c r="W102" s="38"/>
      <c r="X102" s="38"/>
      <c r="Y102" s="38"/>
      <c r="Z102" s="38"/>
    </row>
    <row r="103" spans="1:26">
      <c r="A103" s="57"/>
      <c r="B103" s="57"/>
      <c r="C103" s="58" t="s">
        <v>324</v>
      </c>
      <c r="D103" s="59">
        <v>2.5000000000000001E-2</v>
      </c>
      <c r="E103" s="60"/>
      <c r="F103" s="38"/>
      <c r="G103" s="38"/>
      <c r="H103" s="38"/>
      <c r="I103" s="38"/>
      <c r="J103" s="38"/>
      <c r="K103" s="38"/>
      <c r="L103" s="38"/>
      <c r="M103" s="38"/>
      <c r="N103" s="38"/>
      <c r="O103" s="38"/>
      <c r="P103" s="38"/>
      <c r="Q103" s="38"/>
      <c r="R103" s="38"/>
      <c r="S103" s="38"/>
      <c r="T103" s="38"/>
      <c r="U103" s="38"/>
      <c r="V103" s="38"/>
      <c r="W103" s="38"/>
      <c r="X103" s="38"/>
      <c r="Y103" s="38"/>
      <c r="Z103" s="38"/>
    </row>
    <row r="104" spans="1:26">
      <c r="A104" s="50" t="s">
        <v>1249</v>
      </c>
      <c r="B104" s="51"/>
      <c r="C104" s="51"/>
      <c r="D104" s="55">
        <v>1.0000000000000004</v>
      </c>
      <c r="E104" s="56">
        <v>1.5099999999999998</v>
      </c>
      <c r="F104" s="38"/>
      <c r="G104" s="38"/>
      <c r="H104" s="38"/>
      <c r="I104" s="38"/>
      <c r="J104" s="38"/>
      <c r="K104" s="38"/>
      <c r="L104" s="38"/>
      <c r="M104" s="38"/>
      <c r="N104" s="38"/>
      <c r="O104" s="38"/>
      <c r="P104" s="38"/>
      <c r="Q104" s="38"/>
      <c r="R104" s="38"/>
      <c r="S104" s="38"/>
      <c r="T104" s="38"/>
      <c r="U104" s="38"/>
      <c r="V104" s="38"/>
      <c r="W104" s="38"/>
      <c r="X104" s="38"/>
      <c r="Y104" s="38"/>
      <c r="Z104" s="38"/>
    </row>
    <row r="105" spans="1:26">
      <c r="A105" s="50" t="s">
        <v>671</v>
      </c>
      <c r="B105" s="50">
        <v>1</v>
      </c>
      <c r="C105" s="50" t="s">
        <v>34</v>
      </c>
      <c r="D105" s="55">
        <v>0.04</v>
      </c>
      <c r="E105" s="56">
        <v>0.09</v>
      </c>
      <c r="F105" s="38"/>
      <c r="G105" s="38"/>
      <c r="H105" s="38"/>
      <c r="I105" s="38"/>
      <c r="J105" s="38"/>
      <c r="K105" s="38"/>
      <c r="L105" s="38"/>
      <c r="M105" s="38"/>
      <c r="N105" s="38"/>
      <c r="O105" s="38"/>
      <c r="P105" s="38"/>
      <c r="Q105" s="38"/>
      <c r="R105" s="38"/>
      <c r="S105" s="38"/>
      <c r="T105" s="38"/>
      <c r="U105" s="38"/>
      <c r="V105" s="38"/>
      <c r="W105" s="38"/>
      <c r="X105" s="38"/>
      <c r="Y105" s="38"/>
      <c r="Z105" s="38"/>
    </row>
    <row r="106" spans="1:26">
      <c r="A106" s="57"/>
      <c r="B106" s="57"/>
      <c r="C106" s="58" t="s">
        <v>47</v>
      </c>
      <c r="D106" s="59">
        <v>0.06</v>
      </c>
      <c r="E106" s="60">
        <v>0.1</v>
      </c>
      <c r="F106" s="38"/>
      <c r="G106" s="38"/>
      <c r="H106" s="38"/>
      <c r="I106" s="38"/>
      <c r="J106" s="38"/>
      <c r="K106" s="38"/>
      <c r="L106" s="38"/>
      <c r="M106" s="38"/>
      <c r="N106" s="38"/>
      <c r="O106" s="38"/>
      <c r="P106" s="38"/>
      <c r="Q106" s="38"/>
      <c r="R106" s="38"/>
      <c r="S106" s="38"/>
      <c r="T106" s="38"/>
      <c r="U106" s="38"/>
      <c r="V106" s="38"/>
      <c r="W106" s="38"/>
      <c r="X106" s="38"/>
      <c r="Y106" s="38"/>
      <c r="Z106" s="38"/>
    </row>
    <row r="107" spans="1:26">
      <c r="A107" s="57"/>
      <c r="B107" s="50">
        <v>2</v>
      </c>
      <c r="C107" s="50" t="s">
        <v>56</v>
      </c>
      <c r="D107" s="55">
        <v>0.02</v>
      </c>
      <c r="E107" s="56">
        <v>0.7</v>
      </c>
      <c r="F107" s="38"/>
      <c r="G107" s="38"/>
      <c r="H107" s="38"/>
      <c r="I107" s="38"/>
      <c r="J107" s="38"/>
      <c r="K107" s="38"/>
      <c r="L107" s="38"/>
      <c r="M107" s="38"/>
      <c r="N107" s="38"/>
      <c r="O107" s="38"/>
      <c r="P107" s="38"/>
      <c r="Q107" s="38"/>
      <c r="R107" s="38"/>
      <c r="S107" s="38"/>
      <c r="T107" s="38"/>
      <c r="U107" s="38"/>
      <c r="V107" s="38"/>
      <c r="W107" s="38"/>
      <c r="X107" s="38"/>
      <c r="Y107" s="38"/>
      <c r="Z107" s="38"/>
    </row>
    <row r="108" spans="1:26">
      <c r="A108" s="57"/>
      <c r="B108" s="57"/>
      <c r="C108" s="58" t="s">
        <v>60</v>
      </c>
      <c r="D108" s="59">
        <v>0.02</v>
      </c>
      <c r="E108" s="60"/>
      <c r="F108" s="38"/>
      <c r="G108" s="38"/>
      <c r="H108" s="38"/>
      <c r="I108" s="38"/>
      <c r="J108" s="38"/>
      <c r="K108" s="38"/>
      <c r="L108" s="38"/>
      <c r="M108" s="38"/>
      <c r="N108" s="38"/>
      <c r="O108" s="38"/>
      <c r="P108" s="38"/>
      <c r="Q108" s="38"/>
      <c r="R108" s="38"/>
      <c r="S108" s="38"/>
      <c r="T108" s="38"/>
      <c r="U108" s="38"/>
      <c r="V108" s="38"/>
      <c r="W108" s="38"/>
      <c r="X108" s="38"/>
      <c r="Y108" s="38"/>
      <c r="Z108" s="38"/>
    </row>
    <row r="109" spans="1:26">
      <c r="A109" s="57"/>
      <c r="B109" s="50">
        <v>3</v>
      </c>
      <c r="C109" s="50" t="s">
        <v>68</v>
      </c>
      <c r="D109" s="55">
        <v>0.05</v>
      </c>
      <c r="E109" s="56"/>
      <c r="F109" s="38"/>
      <c r="G109" s="38"/>
      <c r="H109" s="38"/>
      <c r="I109" s="38"/>
      <c r="J109" s="38"/>
      <c r="K109" s="38"/>
      <c r="L109" s="38"/>
      <c r="M109" s="38"/>
      <c r="N109" s="38"/>
      <c r="O109" s="38"/>
      <c r="P109" s="38"/>
      <c r="Q109" s="38"/>
      <c r="R109" s="38"/>
      <c r="S109" s="38"/>
      <c r="T109" s="38"/>
      <c r="U109" s="38"/>
      <c r="V109" s="38"/>
      <c r="W109" s="38"/>
      <c r="X109" s="38"/>
      <c r="Y109" s="38"/>
      <c r="Z109" s="38"/>
    </row>
    <row r="110" spans="1:26">
      <c r="A110" s="57"/>
      <c r="B110" s="57"/>
      <c r="C110" s="58" t="s">
        <v>73</v>
      </c>
      <c r="D110" s="59">
        <v>0.02</v>
      </c>
      <c r="E110" s="60"/>
      <c r="F110" s="38"/>
      <c r="G110" s="38"/>
      <c r="H110" s="38"/>
      <c r="I110" s="38"/>
      <c r="J110" s="38"/>
      <c r="K110" s="38"/>
      <c r="L110" s="38"/>
      <c r="M110" s="38"/>
      <c r="N110" s="38"/>
      <c r="O110" s="38"/>
      <c r="P110" s="38"/>
      <c r="Q110" s="38"/>
      <c r="R110" s="38"/>
      <c r="S110" s="38"/>
      <c r="T110" s="38"/>
      <c r="U110" s="38"/>
      <c r="V110" s="38"/>
      <c r="W110" s="38"/>
      <c r="X110" s="38"/>
      <c r="Y110" s="38"/>
      <c r="Z110" s="38"/>
    </row>
    <row r="111" spans="1:26">
      <c r="A111" s="57"/>
      <c r="B111" s="57"/>
      <c r="C111" s="58" t="s">
        <v>75</v>
      </c>
      <c r="D111" s="59">
        <v>0.03</v>
      </c>
      <c r="E111" s="60"/>
      <c r="F111" s="38"/>
      <c r="G111" s="38"/>
      <c r="H111" s="38"/>
      <c r="I111" s="38"/>
      <c r="J111" s="38"/>
      <c r="K111" s="38"/>
      <c r="L111" s="38"/>
      <c r="M111" s="38"/>
      <c r="N111" s="38"/>
      <c r="O111" s="38"/>
      <c r="P111" s="38"/>
      <c r="Q111" s="38"/>
      <c r="R111" s="38"/>
      <c r="S111" s="38"/>
      <c r="T111" s="38"/>
      <c r="U111" s="38"/>
      <c r="V111" s="38"/>
      <c r="W111" s="38"/>
      <c r="X111" s="38"/>
      <c r="Y111" s="38"/>
      <c r="Z111" s="38"/>
    </row>
    <row r="112" spans="1:26">
      <c r="A112" s="57"/>
      <c r="B112" s="50">
        <v>4</v>
      </c>
      <c r="C112" s="50" t="s">
        <v>79</v>
      </c>
      <c r="D112" s="55">
        <v>0.1</v>
      </c>
      <c r="E112" s="56"/>
      <c r="F112" s="38"/>
      <c r="G112" s="38"/>
      <c r="H112" s="38"/>
      <c r="I112" s="38"/>
      <c r="J112" s="38"/>
      <c r="K112" s="38"/>
      <c r="L112" s="38"/>
      <c r="M112" s="38"/>
      <c r="N112" s="38"/>
      <c r="O112" s="38"/>
      <c r="P112" s="38"/>
      <c r="Q112" s="38"/>
      <c r="R112" s="38"/>
      <c r="S112" s="38"/>
      <c r="T112" s="38"/>
      <c r="U112" s="38"/>
      <c r="V112" s="38"/>
      <c r="W112" s="38"/>
      <c r="X112" s="38"/>
      <c r="Y112" s="38"/>
      <c r="Z112" s="38"/>
    </row>
    <row r="113" spans="1:26">
      <c r="A113" s="57"/>
      <c r="B113" s="50">
        <v>5</v>
      </c>
      <c r="C113" s="50" t="s">
        <v>469</v>
      </c>
      <c r="D113" s="55">
        <v>0.03</v>
      </c>
      <c r="E113" s="56">
        <v>0.15</v>
      </c>
      <c r="F113" s="38"/>
      <c r="G113" s="38"/>
      <c r="H113" s="38"/>
      <c r="I113" s="38"/>
      <c r="J113" s="38"/>
      <c r="K113" s="38"/>
      <c r="L113" s="38"/>
      <c r="M113" s="38"/>
      <c r="N113" s="38"/>
      <c r="O113" s="38"/>
      <c r="P113" s="38"/>
      <c r="Q113" s="38"/>
      <c r="R113" s="38"/>
      <c r="S113" s="38"/>
      <c r="T113" s="38"/>
      <c r="U113" s="38"/>
      <c r="V113" s="38"/>
      <c r="W113" s="38"/>
      <c r="X113" s="38"/>
      <c r="Y113" s="38"/>
      <c r="Z113" s="38"/>
    </row>
    <row r="114" spans="1:26">
      <c r="A114" s="57"/>
      <c r="B114" s="57"/>
      <c r="C114" s="58" t="s">
        <v>476</v>
      </c>
      <c r="D114" s="59">
        <v>0.03</v>
      </c>
      <c r="E114" s="60">
        <v>0.05</v>
      </c>
      <c r="F114" s="38"/>
      <c r="G114" s="38"/>
      <c r="H114" s="38"/>
      <c r="I114" s="38"/>
      <c r="J114" s="38"/>
      <c r="K114" s="38"/>
      <c r="L114" s="38"/>
      <c r="M114" s="38"/>
      <c r="N114" s="38"/>
      <c r="O114" s="38"/>
      <c r="P114" s="38"/>
      <c r="Q114" s="38"/>
      <c r="R114" s="38"/>
      <c r="S114" s="38"/>
      <c r="T114" s="38"/>
      <c r="U114" s="38"/>
      <c r="V114" s="38"/>
      <c r="W114" s="38"/>
      <c r="X114" s="38"/>
      <c r="Y114" s="38"/>
      <c r="Z114" s="38"/>
    </row>
    <row r="115" spans="1:26">
      <c r="A115" s="57"/>
      <c r="B115" s="50">
        <v>6</v>
      </c>
      <c r="C115" s="50" t="s">
        <v>648</v>
      </c>
      <c r="D115" s="55">
        <v>0.01</v>
      </c>
      <c r="E115" s="56"/>
      <c r="F115" s="38"/>
      <c r="G115" s="38"/>
      <c r="H115" s="38"/>
      <c r="I115" s="38"/>
      <c r="J115" s="38"/>
      <c r="K115" s="38"/>
      <c r="L115" s="38"/>
      <c r="M115" s="38"/>
      <c r="N115" s="38"/>
      <c r="O115" s="38"/>
      <c r="P115" s="38"/>
      <c r="Q115" s="38"/>
      <c r="R115" s="38"/>
      <c r="S115" s="38"/>
      <c r="T115" s="38"/>
      <c r="U115" s="38"/>
      <c r="V115" s="38"/>
      <c r="W115" s="38"/>
      <c r="X115" s="38"/>
      <c r="Y115" s="38"/>
      <c r="Z115" s="38"/>
    </row>
    <row r="116" spans="1:26">
      <c r="A116" s="57"/>
      <c r="B116" s="57"/>
      <c r="C116" s="58" t="s">
        <v>651</v>
      </c>
      <c r="D116" s="59">
        <v>0.01</v>
      </c>
      <c r="E116" s="60"/>
      <c r="F116" s="38"/>
      <c r="G116" s="38"/>
      <c r="H116" s="38"/>
      <c r="I116" s="38"/>
      <c r="J116" s="38"/>
      <c r="K116" s="38"/>
      <c r="L116" s="38"/>
      <c r="M116" s="38"/>
      <c r="N116" s="38"/>
      <c r="O116" s="38"/>
      <c r="P116" s="38"/>
      <c r="Q116" s="38"/>
      <c r="R116" s="38"/>
      <c r="S116" s="38"/>
      <c r="T116" s="38"/>
      <c r="U116" s="38"/>
      <c r="V116" s="38"/>
      <c r="W116" s="38"/>
      <c r="X116" s="38"/>
      <c r="Y116" s="38"/>
      <c r="Z116" s="38"/>
    </row>
    <row r="117" spans="1:26">
      <c r="A117" s="57"/>
      <c r="B117" s="57"/>
      <c r="C117" s="58" t="s">
        <v>723</v>
      </c>
      <c r="D117" s="59">
        <v>0.01</v>
      </c>
      <c r="E117" s="60"/>
      <c r="F117" s="38"/>
      <c r="G117" s="38"/>
      <c r="H117" s="38"/>
      <c r="I117" s="38"/>
      <c r="J117" s="38"/>
      <c r="K117" s="38"/>
      <c r="L117" s="38"/>
      <c r="M117" s="38"/>
      <c r="N117" s="38"/>
      <c r="O117" s="38"/>
      <c r="P117" s="38"/>
      <c r="Q117" s="38"/>
      <c r="R117" s="38"/>
      <c r="S117" s="38"/>
      <c r="T117" s="38"/>
      <c r="U117" s="38"/>
      <c r="V117" s="38"/>
      <c r="W117" s="38"/>
      <c r="X117" s="38"/>
      <c r="Y117" s="38"/>
      <c r="Z117" s="38"/>
    </row>
    <row r="118" spans="1:26">
      <c r="A118" s="57"/>
      <c r="B118" s="50">
        <v>7</v>
      </c>
      <c r="C118" s="50" t="s">
        <v>653</v>
      </c>
      <c r="D118" s="55">
        <v>0.02</v>
      </c>
      <c r="E118" s="56">
        <v>0.01</v>
      </c>
      <c r="F118" s="38"/>
      <c r="G118" s="38"/>
      <c r="H118" s="38"/>
      <c r="I118" s="38"/>
      <c r="J118" s="38"/>
      <c r="K118" s="38"/>
      <c r="L118" s="38"/>
      <c r="M118" s="38"/>
      <c r="N118" s="38"/>
      <c r="O118" s="38"/>
      <c r="P118" s="38"/>
      <c r="Q118" s="38"/>
      <c r="R118" s="38"/>
      <c r="S118" s="38"/>
      <c r="T118" s="38"/>
      <c r="U118" s="38"/>
      <c r="V118" s="38"/>
      <c r="W118" s="38"/>
      <c r="X118" s="38"/>
      <c r="Y118" s="38"/>
      <c r="Z118" s="38"/>
    </row>
    <row r="119" spans="1:26">
      <c r="A119" s="57"/>
      <c r="B119" s="57"/>
      <c r="C119" s="58" t="s">
        <v>657</v>
      </c>
      <c r="D119" s="59">
        <v>0.04</v>
      </c>
      <c r="E119" s="60"/>
      <c r="F119" s="38"/>
      <c r="G119" s="38"/>
      <c r="H119" s="38"/>
      <c r="I119" s="38"/>
      <c r="J119" s="38"/>
      <c r="K119" s="38"/>
      <c r="L119" s="38"/>
      <c r="M119" s="38"/>
      <c r="N119" s="38"/>
      <c r="O119" s="38"/>
      <c r="P119" s="38"/>
      <c r="Q119" s="38"/>
      <c r="R119" s="38"/>
      <c r="S119" s="38"/>
      <c r="T119" s="38"/>
      <c r="U119" s="38"/>
      <c r="V119" s="38"/>
      <c r="W119" s="38"/>
      <c r="X119" s="38"/>
      <c r="Y119" s="38"/>
      <c r="Z119" s="38"/>
    </row>
    <row r="120" spans="1:26">
      <c r="A120" s="57"/>
      <c r="B120" s="57"/>
      <c r="C120" s="58" t="s">
        <v>734</v>
      </c>
      <c r="D120" s="59">
        <v>0.04</v>
      </c>
      <c r="E120" s="60"/>
      <c r="F120" s="38"/>
      <c r="G120" s="38"/>
      <c r="H120" s="38"/>
      <c r="I120" s="38"/>
      <c r="J120" s="38"/>
      <c r="K120" s="38"/>
      <c r="L120" s="38"/>
      <c r="M120" s="38"/>
      <c r="N120" s="38"/>
      <c r="O120" s="38"/>
      <c r="P120" s="38"/>
      <c r="Q120" s="38"/>
      <c r="R120" s="38"/>
      <c r="S120" s="38"/>
      <c r="T120" s="38"/>
      <c r="U120" s="38"/>
      <c r="V120" s="38"/>
      <c r="W120" s="38"/>
      <c r="X120" s="38"/>
      <c r="Y120" s="38"/>
      <c r="Z120" s="38"/>
    </row>
    <row r="121" spans="1:26">
      <c r="A121" s="57"/>
      <c r="B121" s="50">
        <v>8</v>
      </c>
      <c r="C121" s="50" t="s">
        <v>660</v>
      </c>
      <c r="D121" s="55">
        <v>0.04</v>
      </c>
      <c r="E121" s="56"/>
      <c r="F121" s="38"/>
      <c r="G121" s="38"/>
      <c r="H121" s="38"/>
      <c r="I121" s="38"/>
      <c r="J121" s="38"/>
      <c r="K121" s="38"/>
      <c r="L121" s="38"/>
      <c r="M121" s="38"/>
      <c r="N121" s="38"/>
      <c r="O121" s="38"/>
      <c r="P121" s="38"/>
      <c r="Q121" s="38"/>
      <c r="R121" s="38"/>
      <c r="S121" s="38"/>
      <c r="T121" s="38"/>
      <c r="U121" s="38"/>
      <c r="V121" s="38"/>
      <c r="W121" s="38"/>
      <c r="X121" s="38"/>
      <c r="Y121" s="38"/>
      <c r="Z121" s="38"/>
    </row>
    <row r="122" spans="1:26">
      <c r="A122" s="57"/>
      <c r="B122" s="57"/>
      <c r="C122" s="58" t="s">
        <v>665</v>
      </c>
      <c r="D122" s="59">
        <v>0.06</v>
      </c>
      <c r="E122" s="60"/>
      <c r="F122" s="38"/>
      <c r="G122" s="38"/>
      <c r="H122" s="38"/>
      <c r="I122" s="38"/>
      <c r="J122" s="38"/>
      <c r="K122" s="38"/>
      <c r="L122" s="38"/>
      <c r="M122" s="38"/>
      <c r="N122" s="38"/>
      <c r="O122" s="38"/>
      <c r="P122" s="38"/>
      <c r="Q122" s="38"/>
      <c r="R122" s="38"/>
      <c r="S122" s="38"/>
      <c r="T122" s="38"/>
      <c r="U122" s="38"/>
      <c r="V122" s="38"/>
      <c r="W122" s="38"/>
      <c r="X122" s="38"/>
      <c r="Y122" s="38"/>
      <c r="Z122" s="38"/>
    </row>
    <row r="123" spans="1:26">
      <c r="A123" s="57"/>
      <c r="B123" s="50">
        <v>9</v>
      </c>
      <c r="C123" s="50" t="s">
        <v>667</v>
      </c>
      <c r="D123" s="55">
        <v>0.01</v>
      </c>
      <c r="E123" s="56">
        <v>0.01</v>
      </c>
      <c r="F123" s="38"/>
      <c r="G123" s="38"/>
      <c r="H123" s="38"/>
      <c r="I123" s="38"/>
      <c r="J123" s="38"/>
      <c r="K123" s="38"/>
      <c r="L123" s="38"/>
      <c r="M123" s="38"/>
      <c r="N123" s="38"/>
      <c r="O123" s="38"/>
      <c r="P123" s="38"/>
      <c r="Q123" s="38"/>
      <c r="R123" s="38"/>
      <c r="S123" s="38"/>
      <c r="T123" s="38"/>
      <c r="U123" s="38"/>
      <c r="V123" s="38"/>
      <c r="W123" s="38"/>
      <c r="X123" s="38"/>
      <c r="Y123" s="38"/>
      <c r="Z123" s="38"/>
    </row>
    <row r="124" spans="1:26">
      <c r="A124" s="57"/>
      <c r="B124" s="57"/>
      <c r="C124" s="58" t="s">
        <v>670</v>
      </c>
      <c r="D124" s="59">
        <v>0.01</v>
      </c>
      <c r="E124" s="60">
        <v>0.01</v>
      </c>
      <c r="F124" s="38"/>
      <c r="G124" s="38"/>
      <c r="H124" s="38"/>
      <c r="I124" s="38"/>
      <c r="J124" s="38"/>
      <c r="K124" s="38"/>
      <c r="L124" s="38"/>
      <c r="M124" s="38"/>
      <c r="N124" s="38"/>
      <c r="O124" s="38"/>
      <c r="P124" s="38"/>
      <c r="Q124" s="38"/>
      <c r="R124" s="38"/>
      <c r="S124" s="38"/>
      <c r="T124" s="38"/>
      <c r="U124" s="38"/>
      <c r="V124" s="38"/>
      <c r="W124" s="38"/>
      <c r="X124" s="38"/>
      <c r="Y124" s="38"/>
      <c r="Z124" s="38"/>
    </row>
    <row r="125" spans="1:26">
      <c r="A125" s="57"/>
      <c r="B125" s="57"/>
      <c r="C125" s="58" t="s">
        <v>751</v>
      </c>
      <c r="D125" s="59">
        <v>0.02</v>
      </c>
      <c r="E125" s="60"/>
      <c r="F125" s="38"/>
      <c r="G125" s="38"/>
      <c r="H125" s="38"/>
      <c r="I125" s="38"/>
      <c r="J125" s="38"/>
      <c r="K125" s="38"/>
      <c r="L125" s="38"/>
      <c r="M125" s="38"/>
      <c r="N125" s="38"/>
      <c r="O125" s="38"/>
      <c r="P125" s="38"/>
      <c r="Q125" s="38"/>
      <c r="R125" s="38"/>
      <c r="S125" s="38"/>
      <c r="T125" s="38"/>
      <c r="U125" s="38"/>
      <c r="V125" s="38"/>
      <c r="W125" s="38"/>
      <c r="X125" s="38"/>
      <c r="Y125" s="38"/>
      <c r="Z125" s="38"/>
    </row>
    <row r="126" spans="1:26">
      <c r="A126" s="57"/>
      <c r="B126" s="57"/>
      <c r="C126" s="58" t="s">
        <v>755</v>
      </c>
      <c r="D126" s="59">
        <v>0.02</v>
      </c>
      <c r="E126" s="60"/>
      <c r="F126" s="38"/>
      <c r="G126" s="38"/>
      <c r="H126" s="38"/>
      <c r="I126" s="38"/>
      <c r="J126" s="38"/>
      <c r="K126" s="38"/>
      <c r="L126" s="38"/>
      <c r="M126" s="38"/>
      <c r="N126" s="38"/>
      <c r="O126" s="38"/>
      <c r="P126" s="38"/>
      <c r="Q126" s="38"/>
      <c r="R126" s="38"/>
      <c r="S126" s="38"/>
      <c r="T126" s="38"/>
      <c r="U126" s="38"/>
      <c r="V126" s="38"/>
      <c r="W126" s="38"/>
      <c r="X126" s="38"/>
      <c r="Y126" s="38"/>
      <c r="Z126" s="38"/>
    </row>
    <row r="127" spans="1:26">
      <c r="A127" s="57"/>
      <c r="B127" s="50">
        <v>10</v>
      </c>
      <c r="C127" s="50" t="s">
        <v>759</v>
      </c>
      <c r="D127" s="55">
        <v>0.03</v>
      </c>
      <c r="E127" s="56">
        <v>6.0000000000000001E-3</v>
      </c>
      <c r="F127" s="38"/>
      <c r="G127" s="38"/>
      <c r="H127" s="38"/>
      <c r="I127" s="38"/>
      <c r="J127" s="38"/>
      <c r="K127" s="38"/>
      <c r="L127" s="38"/>
      <c r="M127" s="38"/>
      <c r="N127" s="38"/>
      <c r="O127" s="38"/>
      <c r="P127" s="38"/>
      <c r="Q127" s="38"/>
      <c r="R127" s="38"/>
      <c r="S127" s="38"/>
      <c r="T127" s="38"/>
      <c r="U127" s="38"/>
      <c r="V127" s="38"/>
      <c r="W127" s="38"/>
      <c r="X127" s="38"/>
      <c r="Y127" s="38"/>
      <c r="Z127" s="38"/>
    </row>
    <row r="128" spans="1:26">
      <c r="A128" s="57"/>
      <c r="B128" s="57"/>
      <c r="C128" s="58" t="s">
        <v>764</v>
      </c>
      <c r="D128" s="59">
        <v>0.02</v>
      </c>
      <c r="E128" s="60">
        <v>6.0000000000000001E-3</v>
      </c>
      <c r="F128" s="38"/>
      <c r="G128" s="38"/>
      <c r="H128" s="38"/>
      <c r="I128" s="38"/>
      <c r="J128" s="38"/>
      <c r="K128" s="38"/>
      <c r="L128" s="38"/>
      <c r="M128" s="38"/>
      <c r="N128" s="38"/>
      <c r="O128" s="38"/>
      <c r="P128" s="38"/>
      <c r="Q128" s="38"/>
      <c r="R128" s="38"/>
      <c r="S128" s="38"/>
      <c r="T128" s="38"/>
      <c r="U128" s="38"/>
      <c r="V128" s="38"/>
      <c r="W128" s="38"/>
      <c r="X128" s="38"/>
      <c r="Y128" s="38"/>
      <c r="Z128" s="38"/>
    </row>
    <row r="129" spans="1:26">
      <c r="A129" s="57"/>
      <c r="B129" s="57"/>
      <c r="C129" s="58" t="s">
        <v>769</v>
      </c>
      <c r="D129" s="59">
        <v>0.01</v>
      </c>
      <c r="E129" s="60"/>
      <c r="F129" s="38"/>
      <c r="G129" s="38"/>
      <c r="H129" s="38"/>
      <c r="I129" s="38"/>
      <c r="J129" s="38"/>
      <c r="K129" s="38"/>
      <c r="L129" s="38"/>
      <c r="M129" s="38"/>
      <c r="N129" s="38"/>
      <c r="O129" s="38"/>
      <c r="P129" s="38"/>
      <c r="Q129" s="38"/>
      <c r="R129" s="38"/>
      <c r="S129" s="38"/>
      <c r="T129" s="38"/>
      <c r="U129" s="38"/>
      <c r="V129" s="38"/>
      <c r="W129" s="38"/>
      <c r="X129" s="38"/>
      <c r="Y129" s="38"/>
      <c r="Z129" s="38"/>
    </row>
    <row r="130" spans="1:26">
      <c r="A130" s="57"/>
      <c r="B130" s="50">
        <v>11</v>
      </c>
      <c r="C130" s="50" t="s">
        <v>774</v>
      </c>
      <c r="D130" s="55">
        <v>0.03</v>
      </c>
      <c r="E130" s="56">
        <v>6.0000000000000001E-3</v>
      </c>
      <c r="F130" s="38"/>
      <c r="G130" s="38"/>
      <c r="H130" s="38"/>
      <c r="I130" s="38"/>
      <c r="J130" s="38"/>
      <c r="K130" s="38"/>
      <c r="L130" s="38"/>
      <c r="M130" s="38"/>
      <c r="N130" s="38"/>
      <c r="O130" s="38"/>
      <c r="P130" s="38"/>
      <c r="Q130" s="38"/>
      <c r="R130" s="38"/>
      <c r="S130" s="38"/>
      <c r="T130" s="38"/>
      <c r="U130" s="38"/>
      <c r="V130" s="38"/>
      <c r="W130" s="38"/>
      <c r="X130" s="38"/>
      <c r="Y130" s="38"/>
      <c r="Z130" s="38"/>
    </row>
    <row r="131" spans="1:26">
      <c r="A131" s="57"/>
      <c r="B131" s="57"/>
      <c r="C131" s="58" t="s">
        <v>777</v>
      </c>
      <c r="D131" s="59">
        <v>0.06</v>
      </c>
      <c r="E131" s="60"/>
      <c r="F131" s="38"/>
      <c r="G131" s="38"/>
      <c r="H131" s="38"/>
      <c r="I131" s="38"/>
      <c r="J131" s="38"/>
      <c r="K131" s="38"/>
      <c r="L131" s="38"/>
      <c r="M131" s="38"/>
      <c r="N131" s="38"/>
      <c r="O131" s="38"/>
      <c r="P131" s="38"/>
      <c r="Q131" s="38"/>
      <c r="R131" s="38"/>
      <c r="S131" s="38"/>
      <c r="T131" s="38"/>
      <c r="U131" s="38"/>
      <c r="V131" s="38"/>
      <c r="W131" s="38"/>
      <c r="X131" s="38"/>
      <c r="Y131" s="38"/>
      <c r="Z131" s="38"/>
    </row>
    <row r="132" spans="1:26">
      <c r="A132" s="57"/>
      <c r="B132" s="57"/>
      <c r="C132" s="58" t="s">
        <v>781</v>
      </c>
      <c r="D132" s="59">
        <v>0.01</v>
      </c>
      <c r="E132" s="60"/>
      <c r="F132" s="38"/>
      <c r="G132" s="38"/>
      <c r="H132" s="38"/>
      <c r="I132" s="38"/>
      <c r="J132" s="38"/>
      <c r="K132" s="38"/>
      <c r="L132" s="38"/>
      <c r="M132" s="38"/>
      <c r="N132" s="38"/>
      <c r="O132" s="38"/>
      <c r="P132" s="38"/>
      <c r="Q132" s="38"/>
      <c r="R132" s="38"/>
      <c r="S132" s="38"/>
      <c r="T132" s="38"/>
      <c r="U132" s="38"/>
      <c r="V132" s="38"/>
      <c r="W132" s="38"/>
      <c r="X132" s="38"/>
      <c r="Y132" s="38"/>
      <c r="Z132" s="38"/>
    </row>
    <row r="133" spans="1:26">
      <c r="A133" s="57"/>
      <c r="B133" s="50">
        <v>12</v>
      </c>
      <c r="C133" s="50" t="s">
        <v>786</v>
      </c>
      <c r="D133" s="55">
        <v>0.02</v>
      </c>
      <c r="E133" s="56">
        <v>6.0000000000000001E-3</v>
      </c>
      <c r="F133" s="38"/>
      <c r="G133" s="38"/>
      <c r="H133" s="38"/>
      <c r="I133" s="38"/>
      <c r="J133" s="38"/>
      <c r="K133" s="38"/>
      <c r="L133" s="38"/>
      <c r="M133" s="38"/>
      <c r="N133" s="38"/>
      <c r="O133" s="38"/>
      <c r="P133" s="38"/>
      <c r="Q133" s="38"/>
      <c r="R133" s="38"/>
      <c r="S133" s="38"/>
      <c r="T133" s="38"/>
      <c r="U133" s="38"/>
      <c r="V133" s="38"/>
      <c r="W133" s="38"/>
      <c r="X133" s="38"/>
      <c r="Y133" s="38"/>
      <c r="Z133" s="38"/>
    </row>
    <row r="134" spans="1:26">
      <c r="A134" s="57"/>
      <c r="B134" s="57"/>
      <c r="C134" s="58" t="s">
        <v>788</v>
      </c>
      <c r="D134" s="59">
        <v>0.04</v>
      </c>
      <c r="E134" s="60"/>
      <c r="F134" s="38"/>
      <c r="G134" s="38"/>
      <c r="H134" s="38"/>
      <c r="I134" s="38"/>
      <c r="J134" s="38"/>
      <c r="K134" s="38"/>
      <c r="L134" s="38"/>
      <c r="M134" s="38"/>
      <c r="N134" s="38"/>
      <c r="O134" s="38"/>
      <c r="P134" s="38"/>
      <c r="Q134" s="38"/>
      <c r="R134" s="38"/>
      <c r="S134" s="38"/>
      <c r="T134" s="38"/>
      <c r="U134" s="38"/>
      <c r="V134" s="38"/>
      <c r="W134" s="38"/>
      <c r="X134" s="38"/>
      <c r="Y134" s="38"/>
      <c r="Z134" s="38"/>
    </row>
    <row r="135" spans="1:26">
      <c r="A135" s="57"/>
      <c r="B135" s="50">
        <v>13</v>
      </c>
      <c r="C135" s="50" t="s">
        <v>790</v>
      </c>
      <c r="D135" s="55">
        <v>0.01</v>
      </c>
      <c r="E135" s="56"/>
      <c r="F135" s="38"/>
      <c r="G135" s="38"/>
      <c r="H135" s="38"/>
      <c r="I135" s="38"/>
      <c r="J135" s="38"/>
      <c r="K135" s="38"/>
      <c r="L135" s="38"/>
      <c r="M135" s="38"/>
      <c r="N135" s="38"/>
      <c r="O135" s="38"/>
      <c r="P135" s="38"/>
      <c r="Q135" s="38"/>
      <c r="R135" s="38"/>
      <c r="S135" s="38"/>
      <c r="T135" s="38"/>
      <c r="U135" s="38"/>
      <c r="V135" s="38"/>
      <c r="W135" s="38"/>
      <c r="X135" s="38"/>
      <c r="Y135" s="38"/>
      <c r="Z135" s="38"/>
    </row>
    <row r="136" spans="1:26">
      <c r="A136" s="57"/>
      <c r="B136" s="57"/>
      <c r="C136" s="58" t="s">
        <v>792</v>
      </c>
      <c r="D136" s="59">
        <v>0.02</v>
      </c>
      <c r="E136" s="60"/>
      <c r="F136" s="38"/>
      <c r="G136" s="38"/>
      <c r="H136" s="38"/>
      <c r="I136" s="38"/>
      <c r="J136" s="38"/>
      <c r="K136" s="38"/>
      <c r="L136" s="38"/>
      <c r="M136" s="38"/>
      <c r="N136" s="38"/>
      <c r="O136" s="38"/>
      <c r="P136" s="38"/>
      <c r="Q136" s="38"/>
      <c r="R136" s="38"/>
      <c r="S136" s="38"/>
      <c r="T136" s="38"/>
      <c r="U136" s="38"/>
      <c r="V136" s="38"/>
      <c r="W136" s="38"/>
      <c r="X136" s="38"/>
      <c r="Y136" s="38"/>
      <c r="Z136" s="38"/>
    </row>
    <row r="137" spans="1:26">
      <c r="A137" s="57"/>
      <c r="B137" s="50">
        <v>14</v>
      </c>
      <c r="C137" s="50" t="s">
        <v>794</v>
      </c>
      <c r="D137" s="55">
        <v>0.02</v>
      </c>
      <c r="E137" s="56">
        <v>4.0000000000000001E-3</v>
      </c>
      <c r="F137" s="38"/>
      <c r="G137" s="38"/>
      <c r="H137" s="38"/>
      <c r="I137" s="38"/>
      <c r="J137" s="38"/>
      <c r="K137" s="38"/>
      <c r="L137" s="38"/>
      <c r="M137" s="38"/>
      <c r="N137" s="38"/>
      <c r="O137" s="38"/>
      <c r="P137" s="38"/>
      <c r="Q137" s="38"/>
      <c r="R137" s="38"/>
      <c r="S137" s="38"/>
      <c r="T137" s="38"/>
      <c r="U137" s="38"/>
      <c r="V137" s="38"/>
      <c r="W137" s="38"/>
      <c r="X137" s="38"/>
      <c r="Y137" s="38"/>
      <c r="Z137" s="38"/>
    </row>
    <row r="138" spans="1:26">
      <c r="A138" s="57"/>
      <c r="B138" s="57"/>
      <c r="C138" s="58" t="s">
        <v>796</v>
      </c>
      <c r="D138" s="59">
        <v>0.04</v>
      </c>
      <c r="E138" s="60"/>
      <c r="F138" s="38"/>
      <c r="G138" s="38"/>
      <c r="H138" s="38"/>
      <c r="I138" s="38"/>
      <c r="J138" s="38"/>
      <c r="K138" s="38"/>
      <c r="L138" s="38"/>
      <c r="M138" s="38"/>
      <c r="N138" s="38"/>
      <c r="O138" s="38"/>
      <c r="P138" s="38"/>
      <c r="Q138" s="38"/>
      <c r="R138" s="38"/>
      <c r="S138" s="38"/>
      <c r="T138" s="38"/>
      <c r="U138" s="38"/>
      <c r="V138" s="38"/>
      <c r="W138" s="38"/>
      <c r="X138" s="38"/>
      <c r="Y138" s="38"/>
      <c r="Z138" s="38"/>
    </row>
    <row r="139" spans="1:26">
      <c r="A139" s="50" t="s">
        <v>1250</v>
      </c>
      <c r="B139" s="51"/>
      <c r="C139" s="51"/>
      <c r="D139" s="55">
        <v>1.0000000000000004</v>
      </c>
      <c r="E139" s="56">
        <v>1.1479999999999999</v>
      </c>
      <c r="F139" s="38"/>
      <c r="G139" s="38"/>
      <c r="H139" s="38"/>
      <c r="I139" s="38"/>
      <c r="J139" s="38"/>
      <c r="K139" s="38"/>
      <c r="L139" s="38"/>
      <c r="M139" s="38"/>
      <c r="N139" s="38"/>
      <c r="O139" s="38"/>
      <c r="P139" s="38"/>
      <c r="Q139" s="38"/>
      <c r="R139" s="38"/>
      <c r="S139" s="38"/>
      <c r="T139" s="38"/>
      <c r="U139" s="38"/>
      <c r="V139" s="38"/>
      <c r="W139" s="38"/>
      <c r="X139" s="38"/>
      <c r="Y139" s="38"/>
      <c r="Z139" s="38"/>
    </row>
    <row r="140" spans="1:26">
      <c r="A140" s="50" t="s">
        <v>1160</v>
      </c>
      <c r="B140" s="50">
        <v>1</v>
      </c>
      <c r="C140" s="50">
        <v>1.1000000000000001</v>
      </c>
      <c r="D140" s="55">
        <v>0.05</v>
      </c>
      <c r="E140" s="56">
        <v>1.2500000000000001E-2</v>
      </c>
      <c r="F140" s="38"/>
      <c r="G140" s="38"/>
      <c r="H140" s="38"/>
      <c r="I140" s="38"/>
      <c r="J140" s="38"/>
      <c r="K140" s="38"/>
      <c r="L140" s="38"/>
      <c r="M140" s="38"/>
      <c r="N140" s="38"/>
      <c r="O140" s="38"/>
      <c r="P140" s="38"/>
      <c r="Q140" s="38"/>
      <c r="R140" s="38"/>
      <c r="S140" s="38"/>
      <c r="T140" s="38"/>
      <c r="U140" s="38"/>
      <c r="V140" s="38"/>
      <c r="W140" s="38"/>
      <c r="X140" s="38"/>
      <c r="Y140" s="38"/>
      <c r="Z140" s="38"/>
    </row>
    <row r="141" spans="1:26">
      <c r="A141" s="57"/>
      <c r="B141" s="57"/>
      <c r="C141" s="62">
        <v>44228</v>
      </c>
      <c r="D141" s="59">
        <v>0.05</v>
      </c>
      <c r="E141" s="60">
        <v>1.2500000000000001E-2</v>
      </c>
      <c r="F141" s="38"/>
      <c r="G141" s="38"/>
      <c r="H141" s="38"/>
      <c r="I141" s="38"/>
      <c r="J141" s="38"/>
      <c r="K141" s="38"/>
      <c r="L141" s="38"/>
      <c r="M141" s="38"/>
      <c r="N141" s="38"/>
      <c r="O141" s="38"/>
      <c r="P141" s="38"/>
      <c r="Q141" s="38"/>
      <c r="R141" s="38"/>
      <c r="S141" s="38"/>
      <c r="T141" s="38"/>
      <c r="U141" s="38"/>
      <c r="V141" s="38"/>
      <c r="W141" s="38"/>
      <c r="X141" s="38"/>
      <c r="Y141" s="38"/>
      <c r="Z141" s="38"/>
    </row>
    <row r="142" spans="1:26">
      <c r="A142" s="57"/>
      <c r="B142" s="57"/>
      <c r="C142" s="62">
        <v>44256</v>
      </c>
      <c r="D142" s="59">
        <v>0.05</v>
      </c>
      <c r="E142" s="60">
        <v>1.2500000000000001E-2</v>
      </c>
      <c r="F142" s="38"/>
      <c r="G142" s="38"/>
      <c r="H142" s="38"/>
      <c r="I142" s="38"/>
      <c r="J142" s="38"/>
      <c r="K142" s="38"/>
      <c r="L142" s="38"/>
      <c r="M142" s="38"/>
      <c r="N142" s="38"/>
      <c r="O142" s="38"/>
      <c r="P142" s="38"/>
      <c r="Q142" s="38"/>
      <c r="R142" s="38"/>
      <c r="S142" s="38"/>
      <c r="T142" s="38"/>
      <c r="U142" s="38"/>
      <c r="V142" s="38"/>
      <c r="W142" s="38"/>
      <c r="X142" s="38"/>
      <c r="Y142" s="38"/>
      <c r="Z142" s="38"/>
    </row>
    <row r="143" spans="1:26">
      <c r="A143" s="57"/>
      <c r="B143" s="57"/>
      <c r="C143" s="62">
        <v>44287</v>
      </c>
      <c r="D143" s="59">
        <v>0.05</v>
      </c>
      <c r="E143" s="60">
        <v>1.2500000000000001E-2</v>
      </c>
      <c r="F143" s="38"/>
      <c r="G143" s="38"/>
      <c r="H143" s="38"/>
      <c r="I143" s="38"/>
      <c r="J143" s="38"/>
      <c r="K143" s="38"/>
      <c r="L143" s="38"/>
      <c r="M143" s="38"/>
      <c r="N143" s="38"/>
      <c r="O143" s="38"/>
      <c r="P143" s="38"/>
      <c r="Q143" s="38"/>
      <c r="R143" s="38"/>
      <c r="S143" s="38"/>
      <c r="T143" s="38"/>
      <c r="U143" s="38"/>
      <c r="V143" s="38"/>
      <c r="W143" s="38"/>
      <c r="X143" s="38"/>
      <c r="Y143" s="38"/>
      <c r="Z143" s="38"/>
    </row>
    <row r="144" spans="1:26">
      <c r="A144" s="57"/>
      <c r="B144" s="57"/>
      <c r="C144" s="62">
        <v>44317</v>
      </c>
      <c r="D144" s="59">
        <v>0.05</v>
      </c>
      <c r="E144" s="60">
        <v>1.2500000000000001E-2</v>
      </c>
      <c r="F144" s="38"/>
      <c r="G144" s="38"/>
      <c r="H144" s="38"/>
      <c r="I144" s="38"/>
      <c r="J144" s="38"/>
      <c r="K144" s="38"/>
      <c r="L144" s="38"/>
      <c r="M144" s="38"/>
      <c r="N144" s="38"/>
      <c r="O144" s="38"/>
      <c r="P144" s="38"/>
      <c r="Q144" s="38"/>
      <c r="R144" s="38"/>
      <c r="S144" s="38"/>
      <c r="T144" s="38"/>
      <c r="U144" s="38"/>
      <c r="V144" s="38"/>
      <c r="W144" s="38"/>
      <c r="X144" s="38"/>
      <c r="Y144" s="38"/>
      <c r="Z144" s="38"/>
    </row>
    <row r="145" spans="1:26">
      <c r="A145" s="57"/>
      <c r="B145" s="57"/>
      <c r="C145" s="62">
        <v>44348</v>
      </c>
      <c r="D145" s="59">
        <v>0.05</v>
      </c>
      <c r="E145" s="60">
        <v>1.2500000000000001E-2</v>
      </c>
      <c r="F145" s="38"/>
      <c r="G145" s="38"/>
      <c r="H145" s="38"/>
      <c r="I145" s="38"/>
      <c r="J145" s="38"/>
      <c r="K145" s="38"/>
      <c r="L145" s="38"/>
      <c r="M145" s="38"/>
      <c r="N145" s="38"/>
      <c r="O145" s="38"/>
      <c r="P145" s="38"/>
      <c r="Q145" s="38"/>
      <c r="R145" s="38"/>
      <c r="S145" s="38"/>
      <c r="T145" s="38"/>
      <c r="U145" s="38"/>
      <c r="V145" s="38"/>
      <c r="W145" s="38"/>
      <c r="X145" s="38"/>
      <c r="Y145" s="38"/>
      <c r="Z145" s="38"/>
    </row>
    <row r="146" spans="1:26">
      <c r="A146" s="57"/>
      <c r="B146" s="57"/>
      <c r="C146" s="62">
        <v>44378</v>
      </c>
      <c r="D146" s="59">
        <v>0.05</v>
      </c>
      <c r="E146" s="60">
        <v>1.2500000000000001E-2</v>
      </c>
      <c r="F146" s="38"/>
      <c r="G146" s="38"/>
      <c r="H146" s="38"/>
      <c r="I146" s="38"/>
      <c r="J146" s="38"/>
      <c r="K146" s="38"/>
      <c r="L146" s="38"/>
      <c r="M146" s="38"/>
      <c r="N146" s="38"/>
      <c r="O146" s="38"/>
      <c r="P146" s="38"/>
      <c r="Q146" s="38"/>
      <c r="R146" s="38"/>
      <c r="S146" s="38"/>
      <c r="T146" s="38"/>
      <c r="U146" s="38"/>
      <c r="V146" s="38"/>
      <c r="W146" s="38"/>
      <c r="X146" s="38"/>
      <c r="Y146" s="38"/>
      <c r="Z146" s="38"/>
    </row>
    <row r="147" spans="1:26">
      <c r="A147" s="57"/>
      <c r="B147" s="50">
        <v>2</v>
      </c>
      <c r="C147" s="61">
        <v>44198</v>
      </c>
      <c r="D147" s="55">
        <v>0.05</v>
      </c>
      <c r="E147" s="56">
        <v>1.2500000000000001E-2</v>
      </c>
      <c r="F147" s="38"/>
      <c r="G147" s="38"/>
      <c r="H147" s="38"/>
      <c r="I147" s="38"/>
      <c r="J147" s="38"/>
      <c r="K147" s="38"/>
      <c r="L147" s="38"/>
      <c r="M147" s="38"/>
      <c r="N147" s="38"/>
      <c r="O147" s="38"/>
      <c r="P147" s="38"/>
      <c r="Q147" s="38"/>
      <c r="R147" s="38"/>
      <c r="S147" s="38"/>
      <c r="T147" s="38"/>
      <c r="U147" s="38"/>
      <c r="V147" s="38"/>
      <c r="W147" s="38"/>
      <c r="X147" s="38"/>
      <c r="Y147" s="38"/>
      <c r="Z147" s="38"/>
    </row>
    <row r="148" spans="1:26">
      <c r="A148" s="57"/>
      <c r="B148" s="57"/>
      <c r="C148" s="62">
        <v>44229</v>
      </c>
      <c r="D148" s="59">
        <v>0.05</v>
      </c>
      <c r="E148" s="60">
        <v>1.2500000000000001E-2</v>
      </c>
      <c r="F148" s="38"/>
      <c r="G148" s="38"/>
      <c r="H148" s="38"/>
      <c r="I148" s="38"/>
      <c r="J148" s="38"/>
      <c r="K148" s="38"/>
      <c r="L148" s="38"/>
      <c r="M148" s="38"/>
      <c r="N148" s="38"/>
      <c r="O148" s="38"/>
      <c r="P148" s="38"/>
      <c r="Q148" s="38"/>
      <c r="R148" s="38"/>
      <c r="S148" s="38"/>
      <c r="T148" s="38"/>
      <c r="U148" s="38"/>
      <c r="V148" s="38"/>
      <c r="W148" s="38"/>
      <c r="X148" s="38"/>
      <c r="Y148" s="38"/>
      <c r="Z148" s="38"/>
    </row>
    <row r="149" spans="1:26">
      <c r="A149" s="57"/>
      <c r="B149" s="50">
        <v>3</v>
      </c>
      <c r="C149" s="61">
        <v>44199</v>
      </c>
      <c r="D149" s="55">
        <v>0</v>
      </c>
      <c r="E149" s="56">
        <v>0</v>
      </c>
      <c r="F149" s="38"/>
      <c r="G149" s="38"/>
      <c r="H149" s="38"/>
      <c r="I149" s="38"/>
      <c r="J149" s="38"/>
      <c r="K149" s="38"/>
      <c r="L149" s="38"/>
      <c r="M149" s="38"/>
      <c r="N149" s="38"/>
      <c r="O149" s="38"/>
      <c r="P149" s="38"/>
      <c r="Q149" s="38"/>
      <c r="R149" s="38"/>
      <c r="S149" s="38"/>
      <c r="T149" s="38"/>
      <c r="U149" s="38"/>
      <c r="V149" s="38"/>
      <c r="W149" s="38"/>
      <c r="X149" s="38"/>
      <c r="Y149" s="38"/>
      <c r="Z149" s="38"/>
    </row>
    <row r="150" spans="1:26">
      <c r="A150" s="50" t="s">
        <v>1251</v>
      </c>
      <c r="B150" s="51"/>
      <c r="C150" s="51"/>
      <c r="D150" s="55">
        <v>0.44999999999999996</v>
      </c>
      <c r="E150" s="56">
        <v>0.11249999999999999</v>
      </c>
      <c r="F150" s="38"/>
      <c r="G150" s="38"/>
      <c r="H150" s="38"/>
      <c r="I150" s="38"/>
      <c r="J150" s="38"/>
      <c r="K150" s="38"/>
      <c r="L150" s="38"/>
      <c r="M150" s="38"/>
      <c r="N150" s="38"/>
      <c r="O150" s="38"/>
      <c r="P150" s="38"/>
      <c r="Q150" s="38"/>
      <c r="R150" s="38"/>
      <c r="S150" s="38"/>
      <c r="T150" s="38"/>
      <c r="U150" s="38"/>
      <c r="V150" s="38"/>
      <c r="W150" s="38"/>
      <c r="X150" s="38"/>
      <c r="Y150" s="38"/>
      <c r="Z150" s="38"/>
    </row>
    <row r="151" spans="1:26">
      <c r="A151" s="50" t="s">
        <v>797</v>
      </c>
      <c r="B151" s="50">
        <v>1</v>
      </c>
      <c r="C151" s="50" t="s">
        <v>34</v>
      </c>
      <c r="D151" s="55">
        <v>0.05</v>
      </c>
      <c r="E151" s="56">
        <v>0</v>
      </c>
      <c r="F151" s="38"/>
      <c r="G151" s="38"/>
      <c r="H151" s="38"/>
      <c r="I151" s="38"/>
      <c r="J151" s="38"/>
      <c r="K151" s="38"/>
      <c r="L151" s="38"/>
      <c r="M151" s="38"/>
      <c r="N151" s="38"/>
      <c r="O151" s="38"/>
      <c r="P151" s="38"/>
      <c r="Q151" s="38"/>
      <c r="R151" s="38"/>
      <c r="S151" s="38"/>
      <c r="T151" s="38"/>
      <c r="U151" s="38"/>
      <c r="V151" s="38"/>
      <c r="W151" s="38"/>
      <c r="X151" s="38"/>
      <c r="Y151" s="38"/>
      <c r="Z151" s="38"/>
    </row>
    <row r="152" spans="1:26">
      <c r="A152" s="57"/>
      <c r="B152" s="57"/>
      <c r="C152" s="62">
        <v>44228</v>
      </c>
      <c r="D152" s="59">
        <v>0.05</v>
      </c>
      <c r="E152" s="60">
        <v>0</v>
      </c>
      <c r="F152" s="38"/>
      <c r="G152" s="38"/>
      <c r="H152" s="38"/>
      <c r="I152" s="38"/>
      <c r="J152" s="38"/>
      <c r="K152" s="38"/>
      <c r="L152" s="38"/>
      <c r="M152" s="38"/>
      <c r="N152" s="38"/>
      <c r="O152" s="38"/>
      <c r="P152" s="38"/>
      <c r="Q152" s="38"/>
      <c r="R152" s="38"/>
      <c r="S152" s="38"/>
      <c r="T152" s="38"/>
      <c r="U152" s="38"/>
      <c r="V152" s="38"/>
      <c r="W152" s="38"/>
      <c r="X152" s="38"/>
      <c r="Y152" s="38"/>
      <c r="Z152" s="38"/>
    </row>
    <row r="153" spans="1:26">
      <c r="A153" s="57"/>
      <c r="B153" s="50">
        <v>2</v>
      </c>
      <c r="C153" s="50" t="s">
        <v>56</v>
      </c>
      <c r="D153" s="55">
        <v>0.1</v>
      </c>
      <c r="E153" s="56">
        <v>0.05</v>
      </c>
      <c r="F153" s="38"/>
      <c r="G153" s="38"/>
      <c r="H153" s="38"/>
      <c r="I153" s="38"/>
      <c r="J153" s="38"/>
      <c r="K153" s="38"/>
      <c r="L153" s="38"/>
      <c r="M153" s="38"/>
      <c r="N153" s="38"/>
      <c r="O153" s="38"/>
      <c r="P153" s="38"/>
      <c r="Q153" s="38"/>
      <c r="R153" s="38"/>
      <c r="S153" s="38"/>
      <c r="T153" s="38"/>
      <c r="U153" s="38"/>
      <c r="V153" s="38"/>
      <c r="W153" s="38"/>
      <c r="X153" s="38"/>
      <c r="Y153" s="38"/>
      <c r="Z153" s="38"/>
    </row>
    <row r="154" spans="1:26">
      <c r="A154" s="57"/>
      <c r="B154" s="50">
        <v>3</v>
      </c>
      <c r="C154" s="50" t="s">
        <v>68</v>
      </c>
      <c r="D154" s="55">
        <v>0.2</v>
      </c>
      <c r="E154" s="56">
        <v>0.16</v>
      </c>
      <c r="F154" s="38"/>
      <c r="G154" s="38"/>
      <c r="H154" s="38"/>
      <c r="I154" s="38"/>
      <c r="J154" s="38"/>
      <c r="K154" s="38"/>
      <c r="L154" s="38"/>
      <c r="M154" s="38"/>
      <c r="N154" s="38"/>
      <c r="O154" s="38"/>
      <c r="P154" s="38"/>
      <c r="Q154" s="38"/>
      <c r="R154" s="38"/>
      <c r="S154" s="38"/>
      <c r="T154" s="38"/>
      <c r="U154" s="38"/>
      <c r="V154" s="38"/>
      <c r="W154" s="38"/>
      <c r="X154" s="38"/>
      <c r="Y154" s="38"/>
      <c r="Z154" s="38"/>
    </row>
    <row r="155" spans="1:26">
      <c r="A155" s="57"/>
      <c r="B155" s="57"/>
      <c r="C155" s="58" t="s">
        <v>73</v>
      </c>
      <c r="D155" s="59">
        <v>0.2</v>
      </c>
      <c r="E155" s="60">
        <v>0.03</v>
      </c>
      <c r="F155" s="38"/>
      <c r="G155" s="38"/>
      <c r="H155" s="38"/>
      <c r="I155" s="38"/>
      <c r="J155" s="38"/>
      <c r="K155" s="38"/>
      <c r="L155" s="38"/>
      <c r="M155" s="38"/>
      <c r="N155" s="38"/>
      <c r="O155" s="38"/>
      <c r="P155" s="38"/>
      <c r="Q155" s="38"/>
      <c r="R155" s="38"/>
      <c r="S155" s="38"/>
      <c r="T155" s="38"/>
      <c r="U155" s="38"/>
      <c r="V155" s="38"/>
      <c r="W155" s="38"/>
      <c r="X155" s="38"/>
      <c r="Y155" s="38"/>
      <c r="Z155" s="38"/>
    </row>
    <row r="156" spans="1:26">
      <c r="A156" s="57"/>
      <c r="B156" s="57"/>
      <c r="C156" s="58" t="s">
        <v>75</v>
      </c>
      <c r="D156" s="59">
        <v>0.2</v>
      </c>
      <c r="E156" s="60">
        <v>0.06</v>
      </c>
      <c r="F156" s="38"/>
      <c r="G156" s="38"/>
      <c r="H156" s="38"/>
      <c r="I156" s="38"/>
      <c r="J156" s="38"/>
      <c r="K156" s="38"/>
      <c r="L156" s="38"/>
      <c r="M156" s="38"/>
      <c r="N156" s="38"/>
      <c r="O156" s="38"/>
      <c r="P156" s="38"/>
      <c r="Q156" s="38"/>
      <c r="R156" s="38"/>
      <c r="S156" s="38"/>
      <c r="T156" s="38"/>
      <c r="U156" s="38"/>
      <c r="V156" s="38"/>
      <c r="W156" s="38"/>
      <c r="X156" s="38"/>
      <c r="Y156" s="38"/>
      <c r="Z156" s="38"/>
    </row>
    <row r="157" spans="1:26">
      <c r="A157" s="57"/>
      <c r="B157" s="50">
        <v>4</v>
      </c>
      <c r="C157" s="50" t="s">
        <v>79</v>
      </c>
      <c r="D157" s="55">
        <v>0.1</v>
      </c>
      <c r="E157" s="56">
        <v>0.02</v>
      </c>
      <c r="F157" s="38"/>
      <c r="G157" s="38"/>
      <c r="H157" s="38"/>
      <c r="I157" s="38"/>
      <c r="J157" s="38"/>
      <c r="K157" s="38"/>
      <c r="L157" s="38"/>
      <c r="M157" s="38"/>
      <c r="N157" s="38"/>
      <c r="O157" s="38"/>
      <c r="P157" s="38"/>
      <c r="Q157" s="38"/>
      <c r="R157" s="38"/>
      <c r="S157" s="38"/>
      <c r="T157" s="38"/>
      <c r="U157" s="38"/>
      <c r="V157" s="38"/>
      <c r="W157" s="38"/>
      <c r="X157" s="38"/>
      <c r="Y157" s="38"/>
      <c r="Z157" s="38"/>
    </row>
    <row r="158" spans="1:26">
      <c r="A158" s="57"/>
      <c r="B158" s="57"/>
      <c r="C158" s="58" t="s">
        <v>83</v>
      </c>
      <c r="D158" s="59">
        <v>0.1</v>
      </c>
      <c r="E158" s="60">
        <v>0.03</v>
      </c>
      <c r="F158" s="38"/>
      <c r="G158" s="38"/>
      <c r="H158" s="38"/>
      <c r="I158" s="38"/>
      <c r="J158" s="38"/>
      <c r="K158" s="38"/>
      <c r="L158" s="38"/>
      <c r="M158" s="38"/>
      <c r="N158" s="38"/>
      <c r="O158" s="38"/>
      <c r="P158" s="38"/>
      <c r="Q158" s="38"/>
      <c r="R158" s="38"/>
      <c r="S158" s="38"/>
      <c r="T158" s="38"/>
      <c r="U158" s="38"/>
      <c r="V158" s="38"/>
      <c r="W158" s="38"/>
      <c r="X158" s="38"/>
      <c r="Y158" s="38"/>
      <c r="Z158" s="38"/>
    </row>
    <row r="159" spans="1:26">
      <c r="A159" s="50" t="s">
        <v>1252</v>
      </c>
      <c r="B159" s="51"/>
      <c r="C159" s="51"/>
      <c r="D159" s="55">
        <v>1</v>
      </c>
      <c r="E159" s="56">
        <v>0.35000000000000009</v>
      </c>
      <c r="F159" s="38"/>
      <c r="G159" s="38"/>
      <c r="H159" s="38"/>
      <c r="I159" s="38"/>
      <c r="J159" s="38"/>
      <c r="K159" s="38"/>
      <c r="L159" s="38"/>
      <c r="M159" s="38"/>
      <c r="N159" s="38"/>
      <c r="O159" s="38"/>
      <c r="P159" s="38"/>
      <c r="Q159" s="38"/>
      <c r="R159" s="38"/>
      <c r="S159" s="38"/>
      <c r="T159" s="38"/>
      <c r="U159" s="38"/>
      <c r="V159" s="38"/>
      <c r="W159" s="38"/>
      <c r="X159" s="38"/>
      <c r="Y159" s="38"/>
      <c r="Z159" s="38"/>
    </row>
    <row r="160" spans="1:26">
      <c r="A160" s="50" t="s">
        <v>328</v>
      </c>
      <c r="B160" s="50">
        <v>1</v>
      </c>
      <c r="C160" s="61">
        <v>44197</v>
      </c>
      <c r="D160" s="55">
        <v>0.1</v>
      </c>
      <c r="E160" s="56">
        <v>0.05</v>
      </c>
      <c r="F160" s="38"/>
      <c r="G160" s="38"/>
      <c r="H160" s="38"/>
      <c r="I160" s="38"/>
      <c r="J160" s="38"/>
      <c r="K160" s="38"/>
      <c r="L160" s="38"/>
      <c r="M160" s="38"/>
      <c r="N160" s="38"/>
      <c r="O160" s="38"/>
      <c r="P160" s="38"/>
      <c r="Q160" s="38"/>
      <c r="R160" s="38"/>
      <c r="S160" s="38"/>
      <c r="T160" s="38"/>
      <c r="U160" s="38"/>
      <c r="V160" s="38"/>
      <c r="W160" s="38"/>
      <c r="X160" s="38"/>
      <c r="Y160" s="38"/>
      <c r="Z160" s="38"/>
    </row>
    <row r="161" spans="1:26">
      <c r="A161" s="57"/>
      <c r="B161" s="50">
        <v>2</v>
      </c>
      <c r="C161" s="61">
        <v>44198</v>
      </c>
      <c r="D161" s="55">
        <v>0.1</v>
      </c>
      <c r="E161" s="56">
        <v>0</v>
      </c>
      <c r="F161" s="38"/>
      <c r="G161" s="38"/>
      <c r="H161" s="38"/>
      <c r="I161" s="38"/>
      <c r="J161" s="38"/>
      <c r="K161" s="38"/>
      <c r="L161" s="38"/>
      <c r="M161" s="38"/>
      <c r="N161" s="38"/>
      <c r="O161" s="38"/>
      <c r="P161" s="38"/>
      <c r="Q161" s="38"/>
      <c r="R161" s="38"/>
      <c r="S161" s="38"/>
      <c r="T161" s="38"/>
      <c r="U161" s="38"/>
      <c r="V161" s="38"/>
      <c r="W161" s="38"/>
      <c r="X161" s="38"/>
      <c r="Y161" s="38"/>
      <c r="Z161" s="38"/>
    </row>
    <row r="162" spans="1:26">
      <c r="A162" s="57"/>
      <c r="B162" s="50">
        <v>3</v>
      </c>
      <c r="C162" s="61">
        <v>44199</v>
      </c>
      <c r="D162" s="55">
        <v>0.09</v>
      </c>
      <c r="E162" s="56">
        <v>0.09</v>
      </c>
      <c r="F162" s="38"/>
      <c r="G162" s="38"/>
      <c r="H162" s="38"/>
      <c r="I162" s="38"/>
      <c r="J162" s="38"/>
      <c r="K162" s="38"/>
      <c r="L162" s="38"/>
      <c r="M162" s="38"/>
      <c r="N162" s="38"/>
      <c r="O162" s="38"/>
      <c r="P162" s="38"/>
      <c r="Q162" s="38"/>
      <c r="R162" s="38"/>
      <c r="S162" s="38"/>
      <c r="T162" s="38"/>
      <c r="U162" s="38"/>
      <c r="V162" s="38"/>
      <c r="W162" s="38"/>
      <c r="X162" s="38"/>
      <c r="Y162" s="38"/>
      <c r="Z162" s="38"/>
    </row>
    <row r="163" spans="1:26">
      <c r="A163" s="57"/>
      <c r="B163" s="57"/>
      <c r="C163" s="62">
        <v>44230</v>
      </c>
      <c r="D163" s="59">
        <v>0.21</v>
      </c>
      <c r="E163" s="60">
        <v>0</v>
      </c>
      <c r="F163" s="38"/>
      <c r="G163" s="38"/>
      <c r="H163" s="38"/>
      <c r="I163" s="38"/>
      <c r="J163" s="38"/>
      <c r="K163" s="38"/>
      <c r="L163" s="38"/>
      <c r="M163" s="38"/>
      <c r="N163" s="38"/>
      <c r="O163" s="38"/>
      <c r="P163" s="38"/>
      <c r="Q163" s="38"/>
      <c r="R163" s="38"/>
      <c r="S163" s="38"/>
      <c r="T163" s="38"/>
      <c r="U163" s="38"/>
      <c r="V163" s="38"/>
      <c r="W163" s="38"/>
      <c r="X163" s="38"/>
      <c r="Y163" s="38"/>
      <c r="Z163" s="38"/>
    </row>
    <row r="164" spans="1:26">
      <c r="A164" s="57"/>
      <c r="B164" s="50">
        <v>4</v>
      </c>
      <c r="C164" s="61">
        <v>44200</v>
      </c>
      <c r="D164" s="55">
        <v>0.1</v>
      </c>
      <c r="E164" s="56">
        <v>0.05</v>
      </c>
      <c r="F164" s="38"/>
      <c r="G164" s="38"/>
      <c r="H164" s="38"/>
      <c r="I164" s="38"/>
      <c r="J164" s="38"/>
      <c r="K164" s="38"/>
      <c r="L164" s="38"/>
      <c r="M164" s="38"/>
      <c r="N164" s="38"/>
      <c r="O164" s="38"/>
      <c r="P164" s="38"/>
      <c r="Q164" s="38"/>
      <c r="R164" s="38"/>
      <c r="S164" s="38"/>
      <c r="T164" s="38"/>
      <c r="U164" s="38"/>
      <c r="V164" s="38"/>
      <c r="W164" s="38"/>
      <c r="X164" s="38"/>
      <c r="Y164" s="38"/>
      <c r="Z164" s="38"/>
    </row>
    <row r="165" spans="1:26">
      <c r="A165" s="57"/>
      <c r="B165" s="50">
        <v>5</v>
      </c>
      <c r="C165" s="61">
        <v>44201</v>
      </c>
      <c r="D165" s="55">
        <v>6.6666666666666666E-2</v>
      </c>
      <c r="E165" s="56">
        <v>3.3000000000000002E-2</v>
      </c>
      <c r="F165" s="38"/>
      <c r="G165" s="38"/>
      <c r="H165" s="38"/>
      <c r="I165" s="38"/>
      <c r="J165" s="38"/>
      <c r="K165" s="38"/>
      <c r="L165" s="38"/>
      <c r="M165" s="38"/>
      <c r="N165" s="38"/>
      <c r="O165" s="38"/>
      <c r="P165" s="38"/>
      <c r="Q165" s="38"/>
      <c r="R165" s="38"/>
      <c r="S165" s="38"/>
      <c r="T165" s="38"/>
      <c r="U165" s="38"/>
      <c r="V165" s="38"/>
      <c r="W165" s="38"/>
      <c r="X165" s="38"/>
      <c r="Y165" s="38"/>
      <c r="Z165" s="38"/>
    </row>
    <row r="166" spans="1:26">
      <c r="A166" s="57"/>
      <c r="B166" s="57"/>
      <c r="C166" s="62">
        <v>44232</v>
      </c>
      <c r="D166" s="59">
        <v>6.6666666666666666E-2</v>
      </c>
      <c r="E166" s="60">
        <v>0.01</v>
      </c>
      <c r="F166" s="38"/>
      <c r="G166" s="38"/>
      <c r="H166" s="38"/>
      <c r="I166" s="38"/>
      <c r="J166" s="38"/>
      <c r="K166" s="38"/>
      <c r="L166" s="38"/>
      <c r="M166" s="38"/>
      <c r="N166" s="38"/>
      <c r="O166" s="38"/>
      <c r="P166" s="38"/>
      <c r="Q166" s="38"/>
      <c r="R166" s="38"/>
      <c r="S166" s="38"/>
      <c r="T166" s="38"/>
      <c r="U166" s="38"/>
      <c r="V166" s="38"/>
      <c r="W166" s="38"/>
      <c r="X166" s="38"/>
      <c r="Y166" s="38"/>
      <c r="Z166" s="38"/>
    </row>
    <row r="167" spans="1:26">
      <c r="A167" s="57"/>
      <c r="B167" s="57"/>
      <c r="C167" s="62">
        <v>44260</v>
      </c>
      <c r="D167" s="59">
        <v>6.6666666666666666E-2</v>
      </c>
      <c r="E167" s="60">
        <v>0.01</v>
      </c>
      <c r="F167" s="38"/>
      <c r="G167" s="38"/>
      <c r="H167" s="38"/>
      <c r="I167" s="38"/>
      <c r="J167" s="38"/>
      <c r="K167" s="38"/>
      <c r="L167" s="38"/>
      <c r="M167" s="38"/>
      <c r="N167" s="38"/>
      <c r="O167" s="38"/>
      <c r="P167" s="38"/>
      <c r="Q167" s="38"/>
      <c r="R167" s="38"/>
      <c r="S167" s="38"/>
      <c r="T167" s="38"/>
      <c r="U167" s="38"/>
      <c r="V167" s="38"/>
      <c r="W167" s="38"/>
      <c r="X167" s="38"/>
      <c r="Y167" s="38"/>
      <c r="Z167" s="38"/>
    </row>
    <row r="168" spans="1:26">
      <c r="A168" s="57"/>
      <c r="B168" s="57"/>
      <c r="C168" s="62">
        <v>44291</v>
      </c>
      <c r="D168" s="59">
        <v>6.6666666666666666E-2</v>
      </c>
      <c r="E168" s="60">
        <v>1.7000000000000001E-2</v>
      </c>
      <c r="F168" s="38"/>
      <c r="G168" s="38"/>
      <c r="H168" s="38"/>
      <c r="I168" s="38"/>
      <c r="J168" s="38"/>
      <c r="K168" s="38"/>
      <c r="L168" s="38"/>
      <c r="M168" s="38"/>
      <c r="N168" s="38"/>
      <c r="O168" s="38"/>
      <c r="P168" s="38"/>
      <c r="Q168" s="38"/>
      <c r="R168" s="38"/>
      <c r="S168" s="38"/>
      <c r="T168" s="38"/>
      <c r="U168" s="38"/>
      <c r="V168" s="38"/>
      <c r="W168" s="38"/>
      <c r="X168" s="38"/>
      <c r="Y168" s="38"/>
      <c r="Z168" s="38"/>
    </row>
    <row r="169" spans="1:26">
      <c r="A169" s="57"/>
      <c r="B169" s="57"/>
      <c r="C169" s="62">
        <v>44321</v>
      </c>
      <c r="D169" s="59">
        <v>6.6666666666666666E-2</v>
      </c>
      <c r="E169" s="60">
        <v>1.7000000000000001E-2</v>
      </c>
      <c r="F169" s="38"/>
      <c r="G169" s="38"/>
      <c r="H169" s="38"/>
      <c r="I169" s="38"/>
      <c r="J169" s="38"/>
      <c r="K169" s="38"/>
      <c r="L169" s="38"/>
      <c r="M169" s="38"/>
      <c r="N169" s="38"/>
      <c r="O169" s="38"/>
      <c r="P169" s="38"/>
      <c r="Q169" s="38"/>
      <c r="R169" s="38"/>
      <c r="S169" s="38"/>
      <c r="T169" s="38"/>
      <c r="U169" s="38"/>
      <c r="V169" s="38"/>
      <c r="W169" s="38"/>
      <c r="X169" s="38"/>
      <c r="Y169" s="38"/>
      <c r="Z169" s="38"/>
    </row>
    <row r="170" spans="1:26">
      <c r="A170" s="57"/>
      <c r="B170" s="57"/>
      <c r="C170" s="62">
        <v>44352</v>
      </c>
      <c r="D170" s="59">
        <v>6.6666666666666666E-2</v>
      </c>
      <c r="E170" s="60">
        <v>3.3000000000000002E-2</v>
      </c>
      <c r="F170" s="38"/>
      <c r="G170" s="38"/>
      <c r="H170" s="38"/>
      <c r="I170" s="38"/>
      <c r="J170" s="38"/>
      <c r="K170" s="38"/>
      <c r="L170" s="38"/>
      <c r="M170" s="38"/>
      <c r="N170" s="38"/>
      <c r="O170" s="38"/>
      <c r="P170" s="38"/>
      <c r="Q170" s="38"/>
      <c r="R170" s="38"/>
      <c r="S170" s="38"/>
      <c r="T170" s="38"/>
      <c r="U170" s="38"/>
      <c r="V170" s="38"/>
      <c r="W170" s="38"/>
      <c r="X170" s="38"/>
      <c r="Y170" s="38"/>
      <c r="Z170" s="38"/>
    </row>
    <row r="171" spans="1:26">
      <c r="A171" s="50" t="s">
        <v>1253</v>
      </c>
      <c r="B171" s="51"/>
      <c r="C171" s="51"/>
      <c r="D171" s="55">
        <v>0.99999999999999989</v>
      </c>
      <c r="E171" s="56">
        <v>0.31000000000000005</v>
      </c>
      <c r="F171" s="38"/>
      <c r="G171" s="38"/>
      <c r="H171" s="38"/>
      <c r="I171" s="38"/>
      <c r="J171" s="38"/>
      <c r="K171" s="38"/>
      <c r="L171" s="38"/>
      <c r="M171" s="38"/>
      <c r="N171" s="38"/>
      <c r="O171" s="38"/>
      <c r="P171" s="38"/>
      <c r="Q171" s="38"/>
      <c r="R171" s="38"/>
      <c r="S171" s="38"/>
      <c r="T171" s="38"/>
      <c r="U171" s="38"/>
      <c r="V171" s="38"/>
      <c r="W171" s="38"/>
      <c r="X171" s="38"/>
      <c r="Y171" s="38"/>
      <c r="Z171" s="38"/>
    </row>
    <row r="172" spans="1:26">
      <c r="A172" s="50" t="s">
        <v>372</v>
      </c>
      <c r="B172" s="50">
        <v>1</v>
      </c>
      <c r="C172" s="50" t="s">
        <v>34</v>
      </c>
      <c r="D172" s="55">
        <v>0.1</v>
      </c>
      <c r="E172" s="56">
        <v>0</v>
      </c>
      <c r="F172" s="38"/>
      <c r="G172" s="38"/>
      <c r="H172" s="38"/>
      <c r="I172" s="38"/>
      <c r="J172" s="38"/>
      <c r="K172" s="38"/>
      <c r="L172" s="38"/>
      <c r="M172" s="38"/>
      <c r="N172" s="38"/>
      <c r="O172" s="38"/>
      <c r="P172" s="38"/>
      <c r="Q172" s="38"/>
      <c r="R172" s="38"/>
      <c r="S172" s="38"/>
      <c r="T172" s="38"/>
      <c r="U172" s="38"/>
      <c r="V172" s="38"/>
      <c r="W172" s="38"/>
      <c r="X172" s="38"/>
      <c r="Y172" s="38"/>
      <c r="Z172" s="38"/>
    </row>
    <row r="173" spans="1:26">
      <c r="A173" s="57"/>
      <c r="B173" s="50">
        <v>2</v>
      </c>
      <c r="C173" s="50" t="s">
        <v>60</v>
      </c>
      <c r="D173" s="55">
        <v>0.1</v>
      </c>
      <c r="E173" s="56">
        <v>0.25</v>
      </c>
      <c r="F173" s="38"/>
      <c r="G173" s="38"/>
      <c r="H173" s="38"/>
      <c r="I173" s="38"/>
      <c r="J173" s="38"/>
      <c r="K173" s="38"/>
      <c r="L173" s="38"/>
      <c r="M173" s="38"/>
      <c r="N173" s="38"/>
      <c r="O173" s="38"/>
      <c r="P173" s="38"/>
      <c r="Q173" s="38"/>
      <c r="R173" s="38"/>
      <c r="S173" s="38"/>
      <c r="T173" s="38"/>
      <c r="U173" s="38"/>
      <c r="V173" s="38"/>
      <c r="W173" s="38"/>
      <c r="X173" s="38"/>
      <c r="Y173" s="38"/>
      <c r="Z173" s="38"/>
    </row>
    <row r="174" spans="1:26">
      <c r="A174" s="57"/>
      <c r="B174" s="50">
        <v>3</v>
      </c>
      <c r="C174" s="50" t="s">
        <v>75</v>
      </c>
      <c r="D174" s="55">
        <v>0.2</v>
      </c>
      <c r="E174" s="56">
        <v>0.25</v>
      </c>
      <c r="F174" s="38"/>
      <c r="G174" s="38"/>
      <c r="H174" s="38"/>
      <c r="I174" s="38"/>
      <c r="J174" s="38"/>
      <c r="K174" s="38"/>
      <c r="L174" s="38"/>
      <c r="M174" s="38"/>
      <c r="N174" s="38"/>
      <c r="O174" s="38"/>
      <c r="P174" s="38"/>
      <c r="Q174" s="38"/>
      <c r="R174" s="38"/>
      <c r="S174" s="38"/>
      <c r="T174" s="38"/>
      <c r="U174" s="38"/>
      <c r="V174" s="38"/>
      <c r="W174" s="38"/>
      <c r="X174" s="38"/>
      <c r="Y174" s="38"/>
      <c r="Z174" s="38"/>
    </row>
    <row r="175" spans="1:26">
      <c r="A175" s="57"/>
      <c r="B175" s="50">
        <v>4</v>
      </c>
      <c r="C175" s="50">
        <v>4.0999999999999996</v>
      </c>
      <c r="D175" s="55">
        <v>0.05</v>
      </c>
      <c r="E175" s="56">
        <v>0.05</v>
      </c>
      <c r="F175" s="38"/>
      <c r="G175" s="38"/>
      <c r="H175" s="38"/>
      <c r="I175" s="38"/>
      <c r="J175" s="38"/>
      <c r="K175" s="38"/>
      <c r="L175" s="38"/>
      <c r="M175" s="38"/>
      <c r="N175" s="38"/>
      <c r="O175" s="38"/>
      <c r="P175" s="38"/>
      <c r="Q175" s="38"/>
      <c r="R175" s="38"/>
      <c r="S175" s="38"/>
      <c r="T175" s="38"/>
      <c r="U175" s="38"/>
      <c r="V175" s="38"/>
      <c r="W175" s="38"/>
      <c r="X175" s="38"/>
      <c r="Y175" s="38"/>
      <c r="Z175" s="38"/>
    </row>
    <row r="176" spans="1:26">
      <c r="A176" s="57"/>
      <c r="B176" s="57"/>
      <c r="C176" s="58">
        <v>4.2</v>
      </c>
      <c r="D176" s="59">
        <v>0.05</v>
      </c>
      <c r="E176" s="60"/>
      <c r="F176" s="38"/>
      <c r="G176" s="38"/>
      <c r="H176" s="38"/>
      <c r="I176" s="38"/>
      <c r="J176" s="38"/>
      <c r="K176" s="38"/>
      <c r="L176" s="38"/>
      <c r="M176" s="38"/>
      <c r="N176" s="38"/>
      <c r="O176" s="38"/>
      <c r="P176" s="38"/>
      <c r="Q176" s="38"/>
      <c r="R176" s="38"/>
      <c r="S176" s="38"/>
      <c r="T176" s="38"/>
      <c r="U176" s="38"/>
      <c r="V176" s="38"/>
      <c r="W176" s="38"/>
      <c r="X176" s="38"/>
      <c r="Y176" s="38"/>
      <c r="Z176" s="38"/>
    </row>
    <row r="177" spans="1:26">
      <c r="A177" s="57"/>
      <c r="B177" s="57"/>
      <c r="C177" s="58">
        <v>4.3</v>
      </c>
      <c r="D177" s="59">
        <v>0.05</v>
      </c>
      <c r="E177" s="60"/>
      <c r="F177" s="38"/>
      <c r="G177" s="38"/>
      <c r="H177" s="38"/>
      <c r="I177" s="38"/>
      <c r="J177" s="38"/>
      <c r="K177" s="38"/>
      <c r="L177" s="38"/>
      <c r="M177" s="38"/>
      <c r="N177" s="38"/>
      <c r="O177" s="38"/>
      <c r="P177" s="38"/>
      <c r="Q177" s="38"/>
      <c r="R177" s="38"/>
      <c r="S177" s="38"/>
      <c r="T177" s="38"/>
      <c r="U177" s="38"/>
      <c r="V177" s="38"/>
      <c r="W177" s="38"/>
      <c r="X177" s="38"/>
      <c r="Y177" s="38"/>
      <c r="Z177" s="38"/>
    </row>
    <row r="178" spans="1:26">
      <c r="A178" s="57"/>
      <c r="B178" s="57"/>
      <c r="C178" s="58">
        <v>4.4000000000000004</v>
      </c>
      <c r="D178" s="59">
        <v>0.05</v>
      </c>
      <c r="E178" s="60"/>
      <c r="F178" s="38"/>
      <c r="G178" s="38"/>
      <c r="H178" s="38"/>
      <c r="I178" s="38"/>
      <c r="J178" s="38"/>
      <c r="K178" s="38"/>
      <c r="L178" s="38"/>
      <c r="M178" s="38"/>
      <c r="N178" s="38"/>
      <c r="O178" s="38"/>
      <c r="P178" s="38"/>
      <c r="Q178" s="38"/>
      <c r="R178" s="38"/>
      <c r="S178" s="38"/>
      <c r="T178" s="38"/>
      <c r="U178" s="38"/>
      <c r="V178" s="38"/>
      <c r="W178" s="38"/>
      <c r="X178" s="38"/>
      <c r="Y178" s="38"/>
      <c r="Z178" s="38"/>
    </row>
    <row r="179" spans="1:26">
      <c r="A179" s="57"/>
      <c r="B179" s="50">
        <v>5</v>
      </c>
      <c r="C179" s="50" t="s">
        <v>399</v>
      </c>
      <c r="D179" s="55">
        <v>0.1</v>
      </c>
      <c r="E179" s="56">
        <v>0.25</v>
      </c>
      <c r="F179" s="38"/>
      <c r="G179" s="38"/>
      <c r="H179" s="38"/>
      <c r="I179" s="38"/>
      <c r="J179" s="38"/>
      <c r="K179" s="38"/>
      <c r="L179" s="38"/>
      <c r="M179" s="38"/>
      <c r="N179" s="38"/>
      <c r="O179" s="38"/>
      <c r="P179" s="38"/>
      <c r="Q179" s="38"/>
      <c r="R179" s="38"/>
      <c r="S179" s="38"/>
      <c r="T179" s="38"/>
      <c r="U179" s="38"/>
      <c r="V179" s="38"/>
      <c r="W179" s="38"/>
      <c r="X179" s="38"/>
      <c r="Y179" s="38"/>
      <c r="Z179" s="38"/>
    </row>
    <row r="180" spans="1:26">
      <c r="A180" s="57"/>
      <c r="B180" s="57"/>
      <c r="C180" s="58" t="s">
        <v>405</v>
      </c>
      <c r="D180" s="59">
        <v>0.1</v>
      </c>
      <c r="E180" s="60">
        <v>0.25</v>
      </c>
      <c r="F180" s="38"/>
      <c r="G180" s="38"/>
      <c r="H180" s="38"/>
      <c r="I180" s="38"/>
      <c r="J180" s="38"/>
      <c r="K180" s="38"/>
      <c r="L180" s="38"/>
      <c r="M180" s="38"/>
      <c r="N180" s="38"/>
      <c r="O180" s="38"/>
      <c r="P180" s="38"/>
      <c r="Q180" s="38"/>
      <c r="R180" s="38"/>
      <c r="S180" s="38"/>
      <c r="T180" s="38"/>
      <c r="U180" s="38"/>
      <c r="V180" s="38"/>
      <c r="W180" s="38"/>
      <c r="X180" s="38"/>
      <c r="Y180" s="38"/>
      <c r="Z180" s="38"/>
    </row>
    <row r="181" spans="1:26">
      <c r="A181" s="57"/>
      <c r="B181" s="57"/>
      <c r="C181" s="58" t="s">
        <v>410</v>
      </c>
      <c r="D181" s="59">
        <v>0.1</v>
      </c>
      <c r="E181" s="60">
        <v>0.5</v>
      </c>
      <c r="F181" s="38"/>
      <c r="G181" s="38"/>
      <c r="H181" s="38"/>
      <c r="I181" s="38"/>
      <c r="J181" s="38"/>
      <c r="K181" s="38"/>
      <c r="L181" s="38"/>
      <c r="M181" s="38"/>
      <c r="N181" s="38"/>
      <c r="O181" s="38"/>
      <c r="P181" s="38"/>
      <c r="Q181" s="38"/>
      <c r="R181" s="38"/>
      <c r="S181" s="38"/>
      <c r="T181" s="38"/>
      <c r="U181" s="38"/>
      <c r="V181" s="38"/>
      <c r="W181" s="38"/>
      <c r="X181" s="38"/>
      <c r="Y181" s="38"/>
      <c r="Z181" s="38"/>
    </row>
    <row r="182" spans="1:26">
      <c r="A182" s="57"/>
      <c r="B182" s="50">
        <v>6</v>
      </c>
      <c r="C182" s="50" t="s">
        <v>416</v>
      </c>
      <c r="D182" s="55">
        <v>0.2</v>
      </c>
      <c r="E182" s="56">
        <v>0.25</v>
      </c>
      <c r="F182" s="38"/>
      <c r="G182" s="38"/>
      <c r="H182" s="38"/>
      <c r="I182" s="38"/>
      <c r="J182" s="38"/>
      <c r="K182" s="38"/>
      <c r="L182" s="38"/>
      <c r="M182" s="38"/>
      <c r="N182" s="38"/>
      <c r="O182" s="38"/>
      <c r="P182" s="38"/>
      <c r="Q182" s="38"/>
      <c r="R182" s="38"/>
      <c r="S182" s="38"/>
      <c r="T182" s="38"/>
      <c r="U182" s="38"/>
      <c r="V182" s="38"/>
      <c r="W182" s="38"/>
      <c r="X182" s="38"/>
      <c r="Y182" s="38"/>
      <c r="Z182" s="38"/>
    </row>
    <row r="183" spans="1:26">
      <c r="A183" s="50" t="s">
        <v>1254</v>
      </c>
      <c r="B183" s="51"/>
      <c r="C183" s="51"/>
      <c r="D183" s="55">
        <v>1.1000000000000001</v>
      </c>
      <c r="E183" s="56">
        <v>1.8</v>
      </c>
      <c r="F183" s="38"/>
      <c r="G183" s="38"/>
      <c r="H183" s="38"/>
      <c r="I183" s="38"/>
      <c r="J183" s="38"/>
      <c r="K183" s="38"/>
      <c r="L183" s="38"/>
      <c r="M183" s="38"/>
      <c r="N183" s="38"/>
      <c r="O183" s="38"/>
      <c r="P183" s="38"/>
      <c r="Q183" s="38"/>
      <c r="R183" s="38"/>
      <c r="S183" s="38"/>
      <c r="T183" s="38"/>
      <c r="U183" s="38"/>
      <c r="V183" s="38"/>
      <c r="W183" s="38"/>
      <c r="X183" s="38"/>
      <c r="Y183" s="38"/>
      <c r="Z183" s="38"/>
    </row>
    <row r="184" spans="1:26">
      <c r="A184" s="50" t="s">
        <v>554</v>
      </c>
      <c r="B184" s="50">
        <v>1</v>
      </c>
      <c r="C184" s="50" t="s">
        <v>34</v>
      </c>
      <c r="D184" s="55">
        <v>1.5454545454545455E-2</v>
      </c>
      <c r="E184" s="56">
        <v>1.7299999999999999E-2</v>
      </c>
      <c r="F184" s="38"/>
      <c r="G184" s="38"/>
      <c r="H184" s="38"/>
      <c r="I184" s="38"/>
      <c r="J184" s="38"/>
      <c r="K184" s="38"/>
      <c r="L184" s="38"/>
      <c r="M184" s="38"/>
      <c r="N184" s="38"/>
      <c r="O184" s="38"/>
      <c r="P184" s="38"/>
      <c r="Q184" s="38"/>
      <c r="R184" s="38"/>
      <c r="S184" s="38"/>
      <c r="T184" s="38"/>
      <c r="U184" s="38"/>
      <c r="V184" s="38"/>
      <c r="W184" s="38"/>
      <c r="X184" s="38"/>
      <c r="Y184" s="38"/>
      <c r="Z184" s="38"/>
    </row>
    <row r="185" spans="1:26">
      <c r="A185" s="57"/>
      <c r="B185" s="57"/>
      <c r="C185" s="58" t="s">
        <v>205</v>
      </c>
      <c r="D185" s="59">
        <v>1.5454545454545455E-2</v>
      </c>
      <c r="E185" s="60"/>
      <c r="F185" s="38"/>
      <c r="G185" s="38"/>
      <c r="H185" s="38"/>
      <c r="I185" s="38"/>
      <c r="J185" s="38"/>
      <c r="K185" s="38"/>
      <c r="L185" s="38"/>
      <c r="M185" s="38"/>
      <c r="N185" s="38"/>
      <c r="O185" s="38"/>
      <c r="P185" s="38"/>
      <c r="Q185" s="38"/>
      <c r="R185" s="38"/>
      <c r="S185" s="38"/>
      <c r="T185" s="38"/>
      <c r="U185" s="38"/>
      <c r="V185" s="38"/>
      <c r="W185" s="38"/>
      <c r="X185" s="38"/>
      <c r="Y185" s="38"/>
      <c r="Z185" s="38"/>
    </row>
    <row r="186" spans="1:26">
      <c r="A186" s="57"/>
      <c r="B186" s="57"/>
      <c r="C186" s="58" t="s">
        <v>207</v>
      </c>
      <c r="D186" s="59">
        <v>1.5454545454545455E-2</v>
      </c>
      <c r="E186" s="60">
        <v>1.7299999999999999E-2</v>
      </c>
      <c r="F186" s="38"/>
      <c r="G186" s="38"/>
      <c r="H186" s="38"/>
      <c r="I186" s="38"/>
      <c r="J186" s="38"/>
      <c r="K186" s="38"/>
      <c r="L186" s="38"/>
      <c r="M186" s="38"/>
      <c r="N186" s="38"/>
      <c r="O186" s="38"/>
      <c r="P186" s="38"/>
      <c r="Q186" s="38"/>
      <c r="R186" s="38"/>
      <c r="S186" s="38"/>
      <c r="T186" s="38"/>
      <c r="U186" s="38"/>
      <c r="V186" s="38"/>
      <c r="W186" s="38"/>
      <c r="X186" s="38"/>
      <c r="Y186" s="38"/>
      <c r="Z186" s="38"/>
    </row>
    <row r="187" spans="1:26">
      <c r="A187" s="57"/>
      <c r="B187" s="57"/>
      <c r="C187" s="58" t="s">
        <v>212</v>
      </c>
      <c r="D187" s="59">
        <v>1.5454545454545455E-2</v>
      </c>
      <c r="E187" s="60">
        <v>0</v>
      </c>
      <c r="F187" s="38"/>
      <c r="G187" s="38"/>
      <c r="H187" s="38"/>
      <c r="I187" s="38"/>
      <c r="J187" s="38"/>
      <c r="K187" s="38"/>
      <c r="L187" s="38"/>
      <c r="M187" s="38"/>
      <c r="N187" s="38"/>
      <c r="O187" s="38"/>
      <c r="P187" s="38"/>
      <c r="Q187" s="38"/>
      <c r="R187" s="38"/>
      <c r="S187" s="38"/>
      <c r="T187" s="38"/>
      <c r="U187" s="38"/>
      <c r="V187" s="38"/>
      <c r="W187" s="38"/>
      <c r="X187" s="38"/>
      <c r="Y187" s="38"/>
      <c r="Z187" s="38"/>
    </row>
    <row r="188" spans="1:26">
      <c r="A188" s="57"/>
      <c r="B188" s="57"/>
      <c r="C188" s="58" t="s">
        <v>214</v>
      </c>
      <c r="D188" s="59">
        <v>1.5454545454545455E-2</v>
      </c>
      <c r="E188" s="60"/>
      <c r="F188" s="38"/>
      <c r="G188" s="38"/>
      <c r="H188" s="38"/>
      <c r="I188" s="38"/>
      <c r="J188" s="38"/>
      <c r="K188" s="38"/>
      <c r="L188" s="38"/>
      <c r="M188" s="38"/>
      <c r="N188" s="38"/>
      <c r="O188" s="38"/>
      <c r="P188" s="38"/>
      <c r="Q188" s="38"/>
      <c r="R188" s="38"/>
      <c r="S188" s="38"/>
      <c r="T188" s="38"/>
      <c r="U188" s="38"/>
      <c r="V188" s="38"/>
      <c r="W188" s="38"/>
      <c r="X188" s="38"/>
      <c r="Y188" s="38"/>
      <c r="Z188" s="38"/>
    </row>
    <row r="189" spans="1:26">
      <c r="A189" s="57"/>
      <c r="B189" s="57"/>
      <c r="C189" s="58" t="s">
        <v>216</v>
      </c>
      <c r="D189" s="59">
        <v>1.5454545454545455E-2</v>
      </c>
      <c r="E189" s="60"/>
      <c r="F189" s="38"/>
      <c r="G189" s="38"/>
      <c r="H189" s="38"/>
      <c r="I189" s="38"/>
      <c r="J189" s="38"/>
      <c r="K189" s="38"/>
      <c r="L189" s="38"/>
      <c r="M189" s="38"/>
      <c r="N189" s="38"/>
      <c r="O189" s="38"/>
      <c r="P189" s="38"/>
      <c r="Q189" s="38"/>
      <c r="R189" s="38"/>
      <c r="S189" s="38"/>
      <c r="T189" s="38"/>
      <c r="U189" s="38"/>
      <c r="V189" s="38"/>
      <c r="W189" s="38"/>
      <c r="X189" s="38"/>
      <c r="Y189" s="38"/>
      <c r="Z189" s="38"/>
    </row>
    <row r="190" spans="1:26">
      <c r="A190" s="57"/>
      <c r="B190" s="57"/>
      <c r="C190" s="58" t="s">
        <v>219</v>
      </c>
      <c r="D190" s="59">
        <v>1.5454545454545455E-2</v>
      </c>
      <c r="E190" s="60"/>
      <c r="F190" s="38"/>
      <c r="G190" s="38"/>
      <c r="H190" s="38"/>
      <c r="I190" s="38"/>
      <c r="J190" s="38"/>
      <c r="K190" s="38"/>
      <c r="L190" s="38"/>
      <c r="M190" s="38"/>
      <c r="N190" s="38"/>
      <c r="O190" s="38"/>
      <c r="P190" s="38"/>
      <c r="Q190" s="38"/>
      <c r="R190" s="38"/>
      <c r="S190" s="38"/>
      <c r="T190" s="38"/>
      <c r="U190" s="38"/>
      <c r="V190" s="38"/>
      <c r="W190" s="38"/>
      <c r="X190" s="38"/>
      <c r="Y190" s="38"/>
      <c r="Z190" s="38"/>
    </row>
    <row r="191" spans="1:26">
      <c r="A191" s="57"/>
      <c r="B191" s="57"/>
      <c r="C191" s="58" t="s">
        <v>226</v>
      </c>
      <c r="D191" s="59">
        <v>1.5454545454545455E-2</v>
      </c>
      <c r="E191" s="60">
        <v>1.7299999999999999E-2</v>
      </c>
      <c r="F191" s="38"/>
      <c r="G191" s="38"/>
      <c r="H191" s="38"/>
      <c r="I191" s="38"/>
      <c r="J191" s="38"/>
      <c r="K191" s="38"/>
      <c r="L191" s="38"/>
      <c r="M191" s="38"/>
      <c r="N191" s="38"/>
      <c r="O191" s="38"/>
      <c r="P191" s="38"/>
      <c r="Q191" s="38"/>
      <c r="R191" s="38"/>
      <c r="S191" s="38"/>
      <c r="T191" s="38"/>
      <c r="U191" s="38"/>
      <c r="V191" s="38"/>
      <c r="W191" s="38"/>
      <c r="X191" s="38"/>
      <c r="Y191" s="38"/>
      <c r="Z191" s="38"/>
    </row>
    <row r="192" spans="1:26">
      <c r="A192" s="57"/>
      <c r="B192" s="57"/>
      <c r="C192" s="58" t="s">
        <v>231</v>
      </c>
      <c r="D192" s="59">
        <v>1.5454545454545455E-2</v>
      </c>
      <c r="E192" s="60">
        <v>1.5599999999999999E-2</v>
      </c>
      <c r="F192" s="38"/>
      <c r="G192" s="38"/>
      <c r="H192" s="38"/>
      <c r="I192" s="38"/>
      <c r="J192" s="38"/>
      <c r="K192" s="38"/>
      <c r="L192" s="38"/>
      <c r="M192" s="38"/>
      <c r="N192" s="38"/>
      <c r="O192" s="38"/>
      <c r="P192" s="38"/>
      <c r="Q192" s="38"/>
      <c r="R192" s="38"/>
      <c r="S192" s="38"/>
      <c r="T192" s="38"/>
      <c r="U192" s="38"/>
      <c r="V192" s="38"/>
      <c r="W192" s="38"/>
      <c r="X192" s="38"/>
      <c r="Y192" s="38"/>
      <c r="Z192" s="38"/>
    </row>
    <row r="193" spans="1:26">
      <c r="A193" s="57"/>
      <c r="B193" s="57"/>
      <c r="C193" s="58" t="s">
        <v>233</v>
      </c>
      <c r="D193" s="59">
        <v>1.5454545454545455E-2</v>
      </c>
      <c r="E193" s="60"/>
      <c r="F193" s="38"/>
      <c r="G193" s="38"/>
      <c r="H193" s="38"/>
      <c r="I193" s="38"/>
      <c r="J193" s="38"/>
      <c r="K193" s="38"/>
      <c r="L193" s="38"/>
      <c r="M193" s="38"/>
      <c r="N193" s="38"/>
      <c r="O193" s="38"/>
      <c r="P193" s="38"/>
      <c r="Q193" s="38"/>
      <c r="R193" s="38"/>
      <c r="S193" s="38"/>
      <c r="T193" s="38"/>
      <c r="U193" s="38"/>
      <c r="V193" s="38"/>
      <c r="W193" s="38"/>
      <c r="X193" s="38"/>
      <c r="Y193" s="38"/>
      <c r="Z193" s="38"/>
    </row>
    <row r="194" spans="1:26">
      <c r="A194" s="57"/>
      <c r="B194" s="57"/>
      <c r="C194" s="58" t="s">
        <v>239</v>
      </c>
      <c r="D194" s="59">
        <v>1.5454545454545455E-2</v>
      </c>
      <c r="E194" s="60"/>
      <c r="F194" s="38"/>
      <c r="G194" s="38"/>
      <c r="H194" s="38"/>
      <c r="I194" s="38"/>
      <c r="J194" s="38"/>
      <c r="K194" s="38"/>
      <c r="L194" s="38"/>
      <c r="M194" s="38"/>
      <c r="N194" s="38"/>
      <c r="O194" s="38"/>
      <c r="P194" s="38"/>
      <c r="Q194" s="38"/>
      <c r="R194" s="38"/>
      <c r="S194" s="38"/>
      <c r="T194" s="38"/>
      <c r="U194" s="38"/>
      <c r="V194" s="38"/>
      <c r="W194" s="38"/>
      <c r="X194" s="38"/>
      <c r="Y194" s="38"/>
      <c r="Z194" s="38"/>
    </row>
    <row r="195" spans="1:26">
      <c r="A195" s="57"/>
      <c r="B195" s="57"/>
      <c r="C195" s="58" t="s">
        <v>47</v>
      </c>
      <c r="D195" s="59">
        <v>1.5454545454545455E-2</v>
      </c>
      <c r="E195" s="60">
        <v>1.7299999999999999E-2</v>
      </c>
      <c r="F195" s="38"/>
      <c r="G195" s="38"/>
      <c r="H195" s="38"/>
      <c r="I195" s="38"/>
      <c r="J195" s="38"/>
      <c r="K195" s="38"/>
      <c r="L195" s="38"/>
      <c r="M195" s="38"/>
      <c r="N195" s="38"/>
      <c r="O195" s="38"/>
      <c r="P195" s="38"/>
      <c r="Q195" s="38"/>
      <c r="R195" s="38"/>
      <c r="S195" s="38"/>
      <c r="T195" s="38"/>
      <c r="U195" s="38"/>
      <c r="V195" s="38"/>
      <c r="W195" s="38"/>
      <c r="X195" s="38"/>
      <c r="Y195" s="38"/>
      <c r="Z195" s="38"/>
    </row>
    <row r="196" spans="1:26">
      <c r="A196" s="57"/>
      <c r="B196" s="57"/>
      <c r="C196" s="58" t="s">
        <v>243</v>
      </c>
      <c r="D196" s="59">
        <v>1.5454545454545455E-2</v>
      </c>
      <c r="E196" s="60"/>
      <c r="F196" s="38"/>
      <c r="G196" s="38"/>
      <c r="H196" s="38"/>
      <c r="I196" s="38"/>
      <c r="J196" s="38"/>
      <c r="K196" s="38"/>
      <c r="L196" s="38"/>
      <c r="M196" s="38"/>
      <c r="N196" s="38"/>
      <c r="O196" s="38"/>
      <c r="P196" s="38"/>
      <c r="Q196" s="38"/>
      <c r="R196" s="38"/>
      <c r="S196" s="38"/>
      <c r="T196" s="38"/>
      <c r="U196" s="38"/>
      <c r="V196" s="38"/>
      <c r="W196" s="38"/>
      <c r="X196" s="38"/>
      <c r="Y196" s="38"/>
      <c r="Z196" s="38"/>
    </row>
    <row r="197" spans="1:26">
      <c r="A197" s="57"/>
      <c r="B197" s="57"/>
      <c r="C197" s="58" t="s">
        <v>247</v>
      </c>
      <c r="D197" s="59">
        <v>1.5454545454545455E-2</v>
      </c>
      <c r="E197" s="60">
        <v>1.7299999999999999E-2</v>
      </c>
      <c r="F197" s="38"/>
      <c r="G197" s="38"/>
      <c r="H197" s="38"/>
      <c r="I197" s="38"/>
      <c r="J197" s="38"/>
      <c r="K197" s="38"/>
      <c r="L197" s="38"/>
      <c r="M197" s="38"/>
      <c r="N197" s="38"/>
      <c r="O197" s="38"/>
      <c r="P197" s="38"/>
      <c r="Q197" s="38"/>
      <c r="R197" s="38"/>
      <c r="S197" s="38"/>
      <c r="T197" s="38"/>
      <c r="U197" s="38"/>
      <c r="V197" s="38"/>
      <c r="W197" s="38"/>
      <c r="X197" s="38"/>
      <c r="Y197" s="38"/>
      <c r="Z197" s="38"/>
    </row>
    <row r="198" spans="1:26">
      <c r="A198" s="57"/>
      <c r="B198" s="57"/>
      <c r="C198" s="58" t="s">
        <v>254</v>
      </c>
      <c r="D198" s="59">
        <v>1.5454545454545455E-2</v>
      </c>
      <c r="E198" s="60"/>
      <c r="F198" s="38"/>
      <c r="G198" s="38"/>
      <c r="H198" s="38"/>
      <c r="I198" s="38"/>
      <c r="J198" s="38"/>
      <c r="K198" s="38"/>
      <c r="L198" s="38"/>
      <c r="M198" s="38"/>
      <c r="N198" s="38"/>
      <c r="O198" s="38"/>
      <c r="P198" s="38"/>
      <c r="Q198" s="38"/>
      <c r="R198" s="38"/>
      <c r="S198" s="38"/>
      <c r="T198" s="38"/>
      <c r="U198" s="38"/>
      <c r="V198" s="38"/>
      <c r="W198" s="38"/>
      <c r="X198" s="38"/>
      <c r="Y198" s="38"/>
      <c r="Z198" s="38"/>
    </row>
    <row r="199" spans="1:26">
      <c r="A199" s="57"/>
      <c r="B199" s="57"/>
      <c r="C199" s="58" t="s">
        <v>590</v>
      </c>
      <c r="D199" s="59">
        <v>1.5454545454545455E-2</v>
      </c>
      <c r="E199" s="60"/>
      <c r="F199" s="38"/>
      <c r="G199" s="38"/>
      <c r="H199" s="38"/>
      <c r="I199" s="38"/>
      <c r="J199" s="38"/>
      <c r="K199" s="38"/>
      <c r="L199" s="38"/>
      <c r="M199" s="38"/>
      <c r="N199" s="38"/>
      <c r="O199" s="38"/>
      <c r="P199" s="38"/>
      <c r="Q199" s="38"/>
      <c r="R199" s="38"/>
      <c r="S199" s="38"/>
      <c r="T199" s="38"/>
      <c r="U199" s="38"/>
      <c r="V199" s="38"/>
      <c r="W199" s="38"/>
      <c r="X199" s="38"/>
      <c r="Y199" s="38"/>
      <c r="Z199" s="38"/>
    </row>
    <row r="200" spans="1:26">
      <c r="A200" s="57"/>
      <c r="B200" s="57"/>
      <c r="C200" s="58" t="s">
        <v>592</v>
      </c>
      <c r="D200" s="59">
        <v>1.5454545454545455E-2</v>
      </c>
      <c r="E200" s="60">
        <v>1.7299999999999999E-2</v>
      </c>
      <c r="F200" s="38"/>
      <c r="G200" s="38"/>
      <c r="H200" s="38"/>
      <c r="I200" s="38"/>
      <c r="J200" s="38"/>
      <c r="K200" s="38"/>
      <c r="L200" s="38"/>
      <c r="M200" s="38"/>
      <c r="N200" s="38"/>
      <c r="O200" s="38"/>
      <c r="P200" s="38"/>
      <c r="Q200" s="38"/>
      <c r="R200" s="38"/>
      <c r="S200" s="38"/>
      <c r="T200" s="38"/>
      <c r="U200" s="38"/>
      <c r="V200" s="38"/>
      <c r="W200" s="38"/>
      <c r="X200" s="38"/>
      <c r="Y200" s="38"/>
      <c r="Z200" s="38"/>
    </row>
    <row r="201" spans="1:26">
      <c r="A201" s="57"/>
      <c r="B201" s="57"/>
      <c r="C201" s="58" t="s">
        <v>596</v>
      </c>
      <c r="D201" s="59">
        <v>1.5454545454545455E-2</v>
      </c>
      <c r="E201" s="60">
        <v>1.7299999999999999E-2</v>
      </c>
      <c r="F201" s="38"/>
      <c r="G201" s="38"/>
      <c r="H201" s="38"/>
      <c r="I201" s="38"/>
      <c r="J201" s="38"/>
      <c r="K201" s="38"/>
      <c r="L201" s="38"/>
      <c r="M201" s="38"/>
      <c r="N201" s="38"/>
      <c r="O201" s="38"/>
      <c r="P201" s="38"/>
      <c r="Q201" s="38"/>
      <c r="R201" s="38"/>
      <c r="S201" s="38"/>
      <c r="T201" s="38"/>
      <c r="U201" s="38"/>
      <c r="V201" s="38"/>
      <c r="W201" s="38"/>
      <c r="X201" s="38"/>
      <c r="Y201" s="38"/>
      <c r="Z201" s="38"/>
    </row>
    <row r="202" spans="1:26">
      <c r="A202" s="57"/>
      <c r="B202" s="57"/>
      <c r="C202" s="58" t="s">
        <v>601</v>
      </c>
      <c r="D202" s="59">
        <v>1.5454545454545455E-2</v>
      </c>
      <c r="E202" s="60"/>
      <c r="F202" s="38"/>
      <c r="G202" s="38"/>
      <c r="H202" s="38"/>
      <c r="I202" s="38"/>
      <c r="J202" s="38"/>
      <c r="K202" s="38"/>
      <c r="L202" s="38"/>
      <c r="M202" s="38"/>
      <c r="N202" s="38"/>
      <c r="O202" s="38"/>
      <c r="P202" s="38"/>
      <c r="Q202" s="38"/>
      <c r="R202" s="38"/>
      <c r="S202" s="38"/>
      <c r="T202" s="38"/>
      <c r="U202" s="38"/>
      <c r="V202" s="38"/>
      <c r="W202" s="38"/>
      <c r="X202" s="38"/>
      <c r="Y202" s="38"/>
      <c r="Z202" s="38"/>
    </row>
    <row r="203" spans="1:26">
      <c r="A203" s="57"/>
      <c r="B203" s="57"/>
      <c r="C203" s="58" t="s">
        <v>602</v>
      </c>
      <c r="D203" s="59">
        <v>1.5454545454545455E-2</v>
      </c>
      <c r="E203" s="60"/>
      <c r="F203" s="38"/>
      <c r="G203" s="38"/>
      <c r="H203" s="38"/>
      <c r="I203" s="38"/>
      <c r="J203" s="38"/>
      <c r="K203" s="38"/>
      <c r="L203" s="38"/>
      <c r="M203" s="38"/>
      <c r="N203" s="38"/>
      <c r="O203" s="38"/>
      <c r="P203" s="38"/>
      <c r="Q203" s="38"/>
      <c r="R203" s="38"/>
      <c r="S203" s="38"/>
      <c r="T203" s="38"/>
      <c r="U203" s="38"/>
      <c r="V203" s="38"/>
      <c r="W203" s="38"/>
      <c r="X203" s="38"/>
      <c r="Y203" s="38"/>
      <c r="Z203" s="38"/>
    </row>
    <row r="204" spans="1:26">
      <c r="A204" s="57"/>
      <c r="B204" s="57"/>
      <c r="C204" s="58" t="s">
        <v>603</v>
      </c>
      <c r="D204" s="59">
        <v>1.5454545454545455E-2</v>
      </c>
      <c r="E204" s="60"/>
      <c r="F204" s="38"/>
      <c r="G204" s="38"/>
      <c r="H204" s="38"/>
      <c r="I204" s="38"/>
      <c r="J204" s="38"/>
      <c r="K204" s="38"/>
      <c r="L204" s="38"/>
      <c r="M204" s="38"/>
      <c r="N204" s="38"/>
      <c r="O204" s="38"/>
      <c r="P204" s="38"/>
      <c r="Q204" s="38"/>
      <c r="R204" s="38"/>
      <c r="S204" s="38"/>
      <c r="T204" s="38"/>
      <c r="U204" s="38"/>
      <c r="V204" s="38"/>
      <c r="W204" s="38"/>
      <c r="X204" s="38"/>
      <c r="Y204" s="38"/>
      <c r="Z204" s="38"/>
    </row>
    <row r="205" spans="1:26">
      <c r="A205" s="57"/>
      <c r="B205" s="57"/>
      <c r="C205" s="58" t="s">
        <v>604</v>
      </c>
      <c r="D205" s="59">
        <v>1.5454545454545455E-2</v>
      </c>
      <c r="E205" s="60">
        <v>1.7299999999999999E-2</v>
      </c>
      <c r="F205" s="38"/>
      <c r="G205" s="38"/>
      <c r="H205" s="38"/>
      <c r="I205" s="38"/>
      <c r="J205" s="38"/>
      <c r="K205" s="38"/>
      <c r="L205" s="38"/>
      <c r="M205" s="38"/>
      <c r="N205" s="38"/>
      <c r="O205" s="38"/>
      <c r="P205" s="38"/>
      <c r="Q205" s="38"/>
      <c r="R205" s="38"/>
      <c r="S205" s="38"/>
      <c r="T205" s="38"/>
      <c r="U205" s="38"/>
      <c r="V205" s="38"/>
      <c r="W205" s="38"/>
      <c r="X205" s="38"/>
      <c r="Y205" s="38"/>
      <c r="Z205" s="38"/>
    </row>
    <row r="206" spans="1:26">
      <c r="A206" s="57"/>
      <c r="B206" s="57"/>
      <c r="C206" s="58" t="s">
        <v>49</v>
      </c>
      <c r="D206" s="59">
        <v>1.5454545454545455E-2</v>
      </c>
      <c r="E206" s="60"/>
      <c r="F206" s="38"/>
      <c r="G206" s="38"/>
      <c r="H206" s="38"/>
      <c r="I206" s="38"/>
      <c r="J206" s="38"/>
      <c r="K206" s="38"/>
      <c r="L206" s="38"/>
      <c r="M206" s="38"/>
      <c r="N206" s="38"/>
      <c r="O206" s="38"/>
      <c r="P206" s="38"/>
      <c r="Q206" s="38"/>
      <c r="R206" s="38"/>
      <c r="S206" s="38"/>
      <c r="T206" s="38"/>
      <c r="U206" s="38"/>
      <c r="V206" s="38"/>
      <c r="W206" s="38"/>
      <c r="X206" s="38"/>
      <c r="Y206" s="38"/>
      <c r="Z206" s="38"/>
    </row>
    <row r="207" spans="1:26">
      <c r="A207" s="57"/>
      <c r="B207" s="57"/>
      <c r="C207" s="58" t="s">
        <v>608</v>
      </c>
      <c r="D207" s="59">
        <v>1.5454545454545455E-2</v>
      </c>
      <c r="E207" s="60"/>
      <c r="F207" s="38"/>
      <c r="G207" s="38"/>
      <c r="H207" s="38"/>
      <c r="I207" s="38"/>
      <c r="J207" s="38"/>
      <c r="K207" s="38"/>
      <c r="L207" s="38"/>
      <c r="M207" s="38"/>
      <c r="N207" s="38"/>
      <c r="O207" s="38"/>
      <c r="P207" s="38"/>
      <c r="Q207" s="38"/>
      <c r="R207" s="38"/>
      <c r="S207" s="38"/>
      <c r="T207" s="38"/>
      <c r="U207" s="38"/>
      <c r="V207" s="38"/>
      <c r="W207" s="38"/>
      <c r="X207" s="38"/>
      <c r="Y207" s="38"/>
      <c r="Z207" s="38"/>
    </row>
    <row r="208" spans="1:26">
      <c r="A208" s="57"/>
      <c r="B208" s="57"/>
      <c r="C208" s="58" t="s">
        <v>612</v>
      </c>
      <c r="D208" s="59">
        <v>1.5454545454545455E-2</v>
      </c>
      <c r="E208" s="60">
        <v>1.7299999999999999E-2</v>
      </c>
      <c r="F208" s="38"/>
      <c r="G208" s="38"/>
      <c r="H208" s="38"/>
      <c r="I208" s="38"/>
      <c r="J208" s="38"/>
      <c r="K208" s="38"/>
      <c r="L208" s="38"/>
      <c r="M208" s="38"/>
      <c r="N208" s="38"/>
      <c r="O208" s="38"/>
      <c r="P208" s="38"/>
      <c r="Q208" s="38"/>
      <c r="R208" s="38"/>
      <c r="S208" s="38"/>
      <c r="T208" s="38"/>
      <c r="U208" s="38"/>
      <c r="V208" s="38"/>
      <c r="W208" s="38"/>
      <c r="X208" s="38"/>
      <c r="Y208" s="38"/>
      <c r="Z208" s="38"/>
    </row>
    <row r="209" spans="1:26">
      <c r="A209" s="57"/>
      <c r="B209" s="57"/>
      <c r="C209" s="58" t="s">
        <v>616</v>
      </c>
      <c r="D209" s="59">
        <v>1.5454545454545455E-2</v>
      </c>
      <c r="E209" s="60"/>
      <c r="F209" s="38"/>
      <c r="G209" s="38"/>
      <c r="H209" s="38"/>
      <c r="I209" s="38"/>
      <c r="J209" s="38"/>
      <c r="K209" s="38"/>
      <c r="L209" s="38"/>
      <c r="M209" s="38"/>
      <c r="N209" s="38"/>
      <c r="O209" s="38"/>
      <c r="P209" s="38"/>
      <c r="Q209" s="38"/>
      <c r="R209" s="38"/>
      <c r="S209" s="38"/>
      <c r="T209" s="38"/>
      <c r="U209" s="38"/>
      <c r="V209" s="38"/>
      <c r="W209" s="38"/>
      <c r="X209" s="38"/>
      <c r="Y209" s="38"/>
      <c r="Z209" s="38"/>
    </row>
    <row r="210" spans="1:26">
      <c r="A210" s="57"/>
      <c r="B210" s="57"/>
      <c r="C210" s="58" t="s">
        <v>620</v>
      </c>
      <c r="D210" s="59">
        <v>1.5454545454545455E-2</v>
      </c>
      <c r="E210" s="60"/>
      <c r="F210" s="38"/>
      <c r="G210" s="38"/>
      <c r="H210" s="38"/>
      <c r="I210" s="38"/>
      <c r="J210" s="38"/>
      <c r="K210" s="38"/>
      <c r="L210" s="38"/>
      <c r="M210" s="38"/>
      <c r="N210" s="38"/>
      <c r="O210" s="38"/>
      <c r="P210" s="38"/>
      <c r="Q210" s="38"/>
      <c r="R210" s="38"/>
      <c r="S210" s="38"/>
      <c r="T210" s="38"/>
      <c r="U210" s="38"/>
      <c r="V210" s="38"/>
      <c r="W210" s="38"/>
      <c r="X210" s="38"/>
      <c r="Y210" s="38"/>
      <c r="Z210" s="38"/>
    </row>
    <row r="211" spans="1:26">
      <c r="A211" s="57"/>
      <c r="B211" s="57"/>
      <c r="C211" s="58" t="s">
        <v>52</v>
      </c>
      <c r="D211" s="59">
        <v>1.5454545454545455E-2</v>
      </c>
      <c r="E211" s="60"/>
      <c r="F211" s="38"/>
      <c r="G211" s="38"/>
      <c r="H211" s="38"/>
      <c r="I211" s="38"/>
      <c r="J211" s="38"/>
      <c r="K211" s="38"/>
      <c r="L211" s="38"/>
      <c r="M211" s="38"/>
      <c r="N211" s="38"/>
      <c r="O211" s="38"/>
      <c r="P211" s="38"/>
      <c r="Q211" s="38"/>
      <c r="R211" s="38"/>
      <c r="S211" s="38"/>
      <c r="T211" s="38"/>
      <c r="U211" s="38"/>
      <c r="V211" s="38"/>
      <c r="W211" s="38"/>
      <c r="X211" s="38"/>
      <c r="Y211" s="38"/>
      <c r="Z211" s="38"/>
    </row>
    <row r="212" spans="1:26">
      <c r="A212" s="57"/>
      <c r="B212" s="57"/>
      <c r="C212" s="58" t="s">
        <v>184</v>
      </c>
      <c r="D212" s="59">
        <v>1.5454545454545455E-2</v>
      </c>
      <c r="E212" s="60"/>
      <c r="F212" s="38"/>
      <c r="G212" s="38"/>
      <c r="H212" s="38"/>
      <c r="I212" s="38"/>
      <c r="J212" s="38"/>
      <c r="K212" s="38"/>
      <c r="L212" s="38"/>
      <c r="M212" s="38"/>
      <c r="N212" s="38"/>
      <c r="O212" s="38"/>
      <c r="P212" s="38"/>
      <c r="Q212" s="38"/>
      <c r="R212" s="38"/>
      <c r="S212" s="38"/>
      <c r="T212" s="38"/>
      <c r="U212" s="38"/>
      <c r="V212" s="38"/>
      <c r="W212" s="38"/>
      <c r="X212" s="38"/>
      <c r="Y212" s="38"/>
      <c r="Z212" s="38"/>
    </row>
    <row r="213" spans="1:26">
      <c r="A213" s="57"/>
      <c r="B213" s="57"/>
      <c r="C213" s="58" t="s">
        <v>189</v>
      </c>
      <c r="D213" s="59">
        <v>1.5454545454545455E-2</v>
      </c>
      <c r="E213" s="60">
        <v>1.7299999999999999E-2</v>
      </c>
      <c r="F213" s="38"/>
      <c r="G213" s="38"/>
      <c r="H213" s="38"/>
      <c r="I213" s="38"/>
      <c r="J213" s="38"/>
      <c r="K213" s="38"/>
      <c r="L213" s="38"/>
      <c r="M213" s="38"/>
      <c r="N213" s="38"/>
      <c r="O213" s="38"/>
      <c r="P213" s="38"/>
      <c r="Q213" s="38"/>
      <c r="R213" s="38"/>
      <c r="S213" s="38"/>
      <c r="T213" s="38"/>
      <c r="U213" s="38"/>
      <c r="V213" s="38"/>
      <c r="W213" s="38"/>
      <c r="X213" s="38"/>
      <c r="Y213" s="38"/>
      <c r="Z213" s="38"/>
    </row>
    <row r="214" spans="1:26">
      <c r="A214" s="57"/>
      <c r="B214" s="57"/>
      <c r="C214" s="58" t="s">
        <v>195</v>
      </c>
      <c r="D214" s="59">
        <v>1.5454545454545455E-2</v>
      </c>
      <c r="E214" s="60">
        <v>1.7299999999999999E-2</v>
      </c>
      <c r="F214" s="38"/>
      <c r="G214" s="38"/>
      <c r="H214" s="38"/>
      <c r="I214" s="38"/>
      <c r="J214" s="38"/>
      <c r="K214" s="38"/>
      <c r="L214" s="38"/>
      <c r="M214" s="38"/>
      <c r="N214" s="38"/>
      <c r="O214" s="38"/>
      <c r="P214" s="38"/>
      <c r="Q214" s="38"/>
      <c r="R214" s="38"/>
      <c r="S214" s="38"/>
      <c r="T214" s="38"/>
      <c r="U214" s="38"/>
      <c r="V214" s="38"/>
      <c r="W214" s="38"/>
      <c r="X214" s="38"/>
      <c r="Y214" s="38"/>
      <c r="Z214" s="38"/>
    </row>
    <row r="215" spans="1:26">
      <c r="A215" s="57"/>
      <c r="B215" s="57"/>
      <c r="C215" s="58" t="s">
        <v>201</v>
      </c>
      <c r="D215" s="59">
        <v>1.5454545454545455E-2</v>
      </c>
      <c r="E215" s="60"/>
      <c r="F215" s="38"/>
      <c r="G215" s="38"/>
      <c r="H215" s="38"/>
      <c r="I215" s="38"/>
      <c r="J215" s="38"/>
      <c r="K215" s="38"/>
      <c r="L215" s="38"/>
      <c r="M215" s="38"/>
      <c r="N215" s="38"/>
      <c r="O215" s="38"/>
      <c r="P215" s="38"/>
      <c r="Q215" s="38"/>
      <c r="R215" s="38"/>
      <c r="S215" s="38"/>
      <c r="T215" s="38"/>
      <c r="U215" s="38"/>
      <c r="V215" s="38"/>
      <c r="W215" s="38"/>
      <c r="X215" s="38"/>
      <c r="Y215" s="38"/>
      <c r="Z215" s="38"/>
    </row>
    <row r="216" spans="1:26">
      <c r="A216" s="57"/>
      <c r="B216" s="57"/>
      <c r="C216" s="58" t="s">
        <v>203</v>
      </c>
      <c r="D216" s="59">
        <v>1.5454545454545455E-2</v>
      </c>
      <c r="E216" s="60"/>
      <c r="F216" s="38"/>
      <c r="G216" s="38"/>
      <c r="H216" s="38"/>
      <c r="I216" s="38"/>
      <c r="J216" s="38"/>
      <c r="K216" s="38"/>
      <c r="L216" s="38"/>
      <c r="M216" s="38"/>
      <c r="N216" s="38"/>
      <c r="O216" s="38"/>
      <c r="P216" s="38"/>
      <c r="Q216" s="38"/>
      <c r="R216" s="38"/>
      <c r="S216" s="38"/>
      <c r="T216" s="38"/>
      <c r="U216" s="38"/>
      <c r="V216" s="38"/>
      <c r="W216" s="38"/>
      <c r="X216" s="38"/>
      <c r="Y216" s="38"/>
      <c r="Z216" s="38"/>
    </row>
    <row r="217" spans="1:26">
      <c r="A217" s="57"/>
      <c r="B217" s="50">
        <v>2</v>
      </c>
      <c r="C217" s="50" t="s">
        <v>56</v>
      </c>
      <c r="D217" s="55">
        <v>3.7499999999999999E-2</v>
      </c>
      <c r="E217" s="56"/>
      <c r="F217" s="38"/>
      <c r="G217" s="38"/>
      <c r="H217" s="38"/>
      <c r="I217" s="38"/>
      <c r="J217" s="38"/>
      <c r="K217" s="38"/>
      <c r="L217" s="38"/>
      <c r="M217" s="38"/>
      <c r="N217" s="38"/>
      <c r="O217" s="38"/>
      <c r="P217" s="38"/>
      <c r="Q217" s="38"/>
      <c r="R217" s="38"/>
      <c r="S217" s="38"/>
      <c r="T217" s="38"/>
      <c r="U217" s="38"/>
      <c r="V217" s="38"/>
      <c r="W217" s="38"/>
      <c r="X217" s="38"/>
      <c r="Y217" s="38"/>
      <c r="Z217" s="38"/>
    </row>
    <row r="218" spans="1:26">
      <c r="A218" s="57"/>
      <c r="B218" s="57"/>
      <c r="C218" s="58" t="s">
        <v>60</v>
      </c>
      <c r="D218" s="59">
        <v>3.7499999999999999E-2</v>
      </c>
      <c r="E218" s="60"/>
      <c r="F218" s="38"/>
      <c r="G218" s="38"/>
      <c r="H218" s="38"/>
      <c r="I218" s="38"/>
      <c r="J218" s="38"/>
      <c r="K218" s="38"/>
      <c r="L218" s="38"/>
      <c r="M218" s="38"/>
      <c r="N218" s="38"/>
      <c r="O218" s="38"/>
      <c r="P218" s="38"/>
      <c r="Q218" s="38"/>
      <c r="R218" s="38"/>
      <c r="S218" s="38"/>
      <c r="T218" s="38"/>
      <c r="U218" s="38"/>
      <c r="V218" s="38"/>
      <c r="W218" s="38"/>
      <c r="X218" s="38"/>
      <c r="Y218" s="38"/>
      <c r="Z218" s="38"/>
    </row>
    <row r="219" spans="1:26">
      <c r="A219" s="57"/>
      <c r="B219" s="57"/>
      <c r="C219" s="58" t="s">
        <v>63</v>
      </c>
      <c r="D219" s="59">
        <v>3.7499999999999999E-2</v>
      </c>
      <c r="E219" s="60"/>
      <c r="F219" s="38"/>
      <c r="G219" s="38"/>
      <c r="H219" s="38"/>
      <c r="I219" s="38"/>
      <c r="J219" s="38"/>
      <c r="K219" s="38"/>
      <c r="L219" s="38"/>
      <c r="M219" s="38"/>
      <c r="N219" s="38"/>
      <c r="O219" s="38"/>
      <c r="P219" s="38"/>
      <c r="Q219" s="38"/>
      <c r="R219" s="38"/>
      <c r="S219" s="38"/>
      <c r="T219" s="38"/>
      <c r="U219" s="38"/>
      <c r="V219" s="38"/>
      <c r="W219" s="38"/>
      <c r="X219" s="38"/>
      <c r="Y219" s="38"/>
      <c r="Z219" s="38"/>
    </row>
    <row r="220" spans="1:26">
      <c r="A220" s="57"/>
      <c r="B220" s="57"/>
      <c r="C220" s="58" t="s">
        <v>110</v>
      </c>
      <c r="D220" s="59">
        <v>3.7499999999999999E-2</v>
      </c>
      <c r="E220" s="60"/>
      <c r="F220" s="38"/>
      <c r="G220" s="38"/>
      <c r="H220" s="38"/>
      <c r="I220" s="38"/>
      <c r="J220" s="38"/>
      <c r="K220" s="38"/>
      <c r="L220" s="38"/>
      <c r="M220" s="38"/>
      <c r="N220" s="38"/>
      <c r="O220" s="38"/>
      <c r="P220" s="38"/>
      <c r="Q220" s="38"/>
      <c r="R220" s="38"/>
      <c r="S220" s="38"/>
      <c r="T220" s="38"/>
      <c r="U220" s="38"/>
      <c r="V220" s="38"/>
      <c r="W220" s="38"/>
      <c r="X220" s="38"/>
      <c r="Y220" s="38"/>
      <c r="Z220" s="38"/>
    </row>
    <row r="221" spans="1:26">
      <c r="A221" s="57"/>
      <c r="B221" s="57"/>
      <c r="C221" s="58" t="s">
        <v>112</v>
      </c>
      <c r="D221" s="59">
        <v>3.7499999999999999E-2</v>
      </c>
      <c r="E221" s="60"/>
      <c r="F221" s="38"/>
      <c r="G221" s="38"/>
      <c r="H221" s="38"/>
      <c r="I221" s="38"/>
      <c r="J221" s="38"/>
      <c r="K221" s="38"/>
      <c r="L221" s="38"/>
      <c r="M221" s="38"/>
      <c r="N221" s="38"/>
      <c r="O221" s="38"/>
      <c r="P221" s="38"/>
      <c r="Q221" s="38"/>
      <c r="R221" s="38"/>
      <c r="S221" s="38"/>
      <c r="T221" s="38"/>
      <c r="U221" s="38"/>
      <c r="V221" s="38"/>
      <c r="W221" s="38"/>
      <c r="X221" s="38"/>
      <c r="Y221" s="38"/>
      <c r="Z221" s="38"/>
    </row>
    <row r="222" spans="1:26">
      <c r="A222" s="57"/>
      <c r="B222" s="57"/>
      <c r="C222" s="58" t="s">
        <v>114</v>
      </c>
      <c r="D222" s="59">
        <v>3.7499999999999999E-2</v>
      </c>
      <c r="E222" s="60"/>
      <c r="F222" s="38"/>
      <c r="G222" s="38"/>
      <c r="H222" s="38"/>
      <c r="I222" s="38"/>
      <c r="J222" s="38"/>
      <c r="K222" s="38"/>
      <c r="L222" s="38"/>
      <c r="M222" s="38"/>
      <c r="N222" s="38"/>
      <c r="O222" s="38"/>
      <c r="P222" s="38"/>
      <c r="Q222" s="38"/>
      <c r="R222" s="38"/>
      <c r="S222" s="38"/>
      <c r="T222" s="38"/>
      <c r="U222" s="38"/>
      <c r="V222" s="38"/>
      <c r="W222" s="38"/>
      <c r="X222" s="38"/>
      <c r="Y222" s="38"/>
      <c r="Z222" s="38"/>
    </row>
    <row r="223" spans="1:26">
      <c r="A223" s="57"/>
      <c r="B223" s="57"/>
      <c r="C223" s="58" t="s">
        <v>116</v>
      </c>
      <c r="D223" s="59">
        <v>3.7499999999999999E-2</v>
      </c>
      <c r="E223" s="60"/>
      <c r="F223" s="38"/>
      <c r="G223" s="38"/>
      <c r="H223" s="38"/>
      <c r="I223" s="38"/>
      <c r="J223" s="38"/>
      <c r="K223" s="38"/>
      <c r="L223" s="38"/>
      <c r="M223" s="38"/>
      <c r="N223" s="38"/>
      <c r="O223" s="38"/>
      <c r="P223" s="38"/>
      <c r="Q223" s="38"/>
      <c r="R223" s="38"/>
      <c r="S223" s="38"/>
      <c r="T223" s="38"/>
      <c r="U223" s="38"/>
      <c r="V223" s="38"/>
      <c r="W223" s="38"/>
      <c r="X223" s="38"/>
      <c r="Y223" s="38"/>
      <c r="Z223" s="38"/>
    </row>
    <row r="224" spans="1:26">
      <c r="A224" s="57"/>
      <c r="B224" s="57"/>
      <c r="C224" s="58" t="s">
        <v>118</v>
      </c>
      <c r="D224" s="59">
        <v>3.7499999999999999E-2</v>
      </c>
      <c r="E224" s="60"/>
      <c r="F224" s="38"/>
      <c r="G224" s="38"/>
      <c r="H224" s="38"/>
      <c r="I224" s="38"/>
      <c r="J224" s="38"/>
      <c r="K224" s="38"/>
      <c r="L224" s="38"/>
      <c r="M224" s="38"/>
      <c r="N224" s="38"/>
      <c r="O224" s="38"/>
      <c r="P224" s="38"/>
      <c r="Q224" s="38"/>
      <c r="R224" s="38"/>
      <c r="S224" s="38"/>
      <c r="T224" s="38"/>
      <c r="U224" s="38"/>
      <c r="V224" s="38"/>
      <c r="W224" s="38"/>
      <c r="X224" s="38"/>
      <c r="Y224" s="38"/>
      <c r="Z224" s="38"/>
    </row>
    <row r="225" spans="1:26">
      <c r="A225" s="57"/>
      <c r="B225" s="50">
        <v>4</v>
      </c>
      <c r="C225" s="50" t="s">
        <v>79</v>
      </c>
      <c r="D225" s="55">
        <v>2.3333333333333334E-2</v>
      </c>
      <c r="E225" s="56">
        <v>1.7500000000000002E-2</v>
      </c>
      <c r="F225" s="38"/>
      <c r="G225" s="38"/>
      <c r="H225" s="38"/>
      <c r="I225" s="38"/>
      <c r="J225" s="38"/>
      <c r="K225" s="38"/>
      <c r="L225" s="38"/>
      <c r="M225" s="38"/>
      <c r="N225" s="38"/>
      <c r="O225" s="38"/>
      <c r="P225" s="38"/>
      <c r="Q225" s="38"/>
      <c r="R225" s="38"/>
      <c r="S225" s="38"/>
      <c r="T225" s="38"/>
      <c r="U225" s="38"/>
      <c r="V225" s="38"/>
      <c r="W225" s="38"/>
      <c r="X225" s="38"/>
      <c r="Y225" s="38"/>
      <c r="Z225" s="38"/>
    </row>
    <row r="226" spans="1:26">
      <c r="A226" s="57"/>
      <c r="B226" s="57"/>
      <c r="C226" s="58" t="s">
        <v>83</v>
      </c>
      <c r="D226" s="59">
        <v>2.3333333333333334E-2</v>
      </c>
      <c r="E226" s="60"/>
      <c r="F226" s="38"/>
      <c r="G226" s="38"/>
      <c r="H226" s="38"/>
      <c r="I226" s="38"/>
      <c r="J226" s="38"/>
      <c r="K226" s="38"/>
      <c r="L226" s="38"/>
      <c r="M226" s="38"/>
      <c r="N226" s="38"/>
      <c r="O226" s="38"/>
      <c r="P226" s="38"/>
      <c r="Q226" s="38"/>
      <c r="R226" s="38"/>
      <c r="S226" s="38"/>
      <c r="T226" s="38"/>
      <c r="U226" s="38"/>
      <c r="V226" s="38"/>
      <c r="W226" s="38"/>
      <c r="X226" s="38"/>
      <c r="Y226" s="38"/>
      <c r="Z226" s="38"/>
    </row>
    <row r="227" spans="1:26">
      <c r="A227" s="57"/>
      <c r="B227" s="57"/>
      <c r="C227" s="58" t="s">
        <v>86</v>
      </c>
      <c r="D227" s="59">
        <v>2.3333333333333334E-2</v>
      </c>
      <c r="E227" s="60"/>
      <c r="F227" s="38"/>
      <c r="G227" s="38"/>
      <c r="H227" s="38"/>
      <c r="I227" s="38"/>
      <c r="J227" s="38"/>
      <c r="K227" s="38"/>
      <c r="L227" s="38"/>
      <c r="M227" s="38"/>
      <c r="N227" s="38"/>
      <c r="O227" s="38"/>
      <c r="P227" s="38"/>
      <c r="Q227" s="38"/>
      <c r="R227" s="38"/>
      <c r="S227" s="38"/>
      <c r="T227" s="38"/>
      <c r="U227" s="38"/>
      <c r="V227" s="38"/>
      <c r="W227" s="38"/>
      <c r="X227" s="38"/>
      <c r="Y227" s="38"/>
      <c r="Z227" s="38"/>
    </row>
    <row r="228" spans="1:26">
      <c r="A228" s="57"/>
      <c r="B228" s="50">
        <v>6</v>
      </c>
      <c r="C228" s="50" t="s">
        <v>648</v>
      </c>
      <c r="D228" s="55">
        <v>1.4999999999999999E-2</v>
      </c>
      <c r="E228" s="56"/>
      <c r="F228" s="38"/>
      <c r="G228" s="38"/>
      <c r="H228" s="38"/>
      <c r="I228" s="38"/>
      <c r="J228" s="38"/>
      <c r="K228" s="38"/>
      <c r="L228" s="38"/>
      <c r="M228" s="38"/>
      <c r="N228" s="38"/>
      <c r="O228" s="38"/>
      <c r="P228" s="38"/>
      <c r="Q228" s="38"/>
      <c r="R228" s="38"/>
      <c r="S228" s="38"/>
      <c r="T228" s="38"/>
      <c r="U228" s="38"/>
      <c r="V228" s="38"/>
      <c r="W228" s="38"/>
      <c r="X228" s="38"/>
      <c r="Y228" s="38"/>
      <c r="Z228" s="38"/>
    </row>
    <row r="229" spans="1:26">
      <c r="A229" s="57"/>
      <c r="B229" s="57"/>
      <c r="C229" s="58" t="s">
        <v>651</v>
      </c>
      <c r="D229" s="59">
        <v>1.4999999999999999E-2</v>
      </c>
      <c r="E229" s="60"/>
      <c r="F229" s="38"/>
      <c r="G229" s="38"/>
      <c r="H229" s="38"/>
      <c r="I229" s="38"/>
      <c r="J229" s="38"/>
      <c r="K229" s="38"/>
      <c r="L229" s="38"/>
      <c r="M229" s="38"/>
      <c r="N229" s="38"/>
      <c r="O229" s="38"/>
      <c r="P229" s="38"/>
      <c r="Q229" s="38"/>
      <c r="R229" s="38"/>
      <c r="S229" s="38"/>
      <c r="T229" s="38"/>
      <c r="U229" s="38"/>
      <c r="V229" s="38"/>
      <c r="W229" s="38"/>
      <c r="X229" s="38"/>
      <c r="Y229" s="38"/>
      <c r="Z229" s="38"/>
    </row>
    <row r="230" spans="1:26">
      <c r="A230" s="57"/>
      <c r="B230" s="50">
        <v>7</v>
      </c>
      <c r="C230" s="50" t="s">
        <v>653</v>
      </c>
      <c r="D230" s="55">
        <v>1.4999999999999999E-2</v>
      </c>
      <c r="E230" s="56">
        <v>1.4999999999999999E-2</v>
      </c>
      <c r="F230" s="38"/>
      <c r="G230" s="38"/>
      <c r="H230" s="38"/>
      <c r="I230" s="38"/>
      <c r="J230" s="38"/>
      <c r="K230" s="38"/>
      <c r="L230" s="38"/>
      <c r="M230" s="38"/>
      <c r="N230" s="38"/>
      <c r="O230" s="38"/>
      <c r="P230" s="38"/>
      <c r="Q230" s="38"/>
      <c r="R230" s="38"/>
      <c r="S230" s="38"/>
      <c r="T230" s="38"/>
      <c r="U230" s="38"/>
      <c r="V230" s="38"/>
      <c r="W230" s="38"/>
      <c r="X230" s="38"/>
      <c r="Y230" s="38"/>
      <c r="Z230" s="38"/>
    </row>
    <row r="231" spans="1:26">
      <c r="A231" s="57"/>
      <c r="B231" s="57"/>
      <c r="C231" s="58" t="s">
        <v>657</v>
      </c>
      <c r="D231" s="59">
        <v>1.4999999999999999E-2</v>
      </c>
      <c r="E231" s="60"/>
      <c r="F231" s="38"/>
      <c r="G231" s="38"/>
      <c r="H231" s="38"/>
      <c r="I231" s="38"/>
      <c r="J231" s="38"/>
      <c r="K231" s="38"/>
      <c r="L231" s="38"/>
      <c r="M231" s="38"/>
      <c r="N231" s="38"/>
      <c r="O231" s="38"/>
      <c r="P231" s="38"/>
      <c r="Q231" s="38"/>
      <c r="R231" s="38"/>
      <c r="S231" s="38"/>
      <c r="T231" s="38"/>
      <c r="U231" s="38"/>
      <c r="V231" s="38"/>
      <c r="W231" s="38"/>
      <c r="X231" s="38"/>
      <c r="Y231" s="38"/>
      <c r="Z231" s="38"/>
    </row>
    <row r="232" spans="1:26">
      <c r="A232" s="57"/>
      <c r="B232" s="50">
        <v>8</v>
      </c>
      <c r="C232" s="50" t="s">
        <v>660</v>
      </c>
      <c r="D232" s="55">
        <v>1.4999999999999999E-2</v>
      </c>
      <c r="E232" s="56">
        <v>1.4999999999999999E-2</v>
      </c>
      <c r="F232" s="38"/>
      <c r="G232" s="38"/>
      <c r="H232" s="38"/>
      <c r="I232" s="38"/>
      <c r="J232" s="38"/>
      <c r="K232" s="38"/>
      <c r="L232" s="38"/>
      <c r="M232" s="38"/>
      <c r="N232" s="38"/>
      <c r="O232" s="38"/>
      <c r="P232" s="38"/>
      <c r="Q232" s="38"/>
      <c r="R232" s="38"/>
      <c r="S232" s="38"/>
      <c r="T232" s="38"/>
      <c r="U232" s="38"/>
      <c r="V232" s="38"/>
      <c r="W232" s="38"/>
      <c r="X232" s="38"/>
      <c r="Y232" s="38"/>
      <c r="Z232" s="38"/>
    </row>
    <row r="233" spans="1:26">
      <c r="A233" s="57"/>
      <c r="B233" s="57"/>
      <c r="C233" s="58" t="s">
        <v>665</v>
      </c>
      <c r="D233" s="59">
        <v>1.4999999999999999E-2</v>
      </c>
      <c r="E233" s="60"/>
      <c r="F233" s="38"/>
      <c r="G233" s="38"/>
      <c r="H233" s="38"/>
      <c r="I233" s="38"/>
      <c r="J233" s="38"/>
      <c r="K233" s="38"/>
      <c r="L233" s="38"/>
      <c r="M233" s="38"/>
      <c r="N233" s="38"/>
      <c r="O233" s="38"/>
      <c r="P233" s="38"/>
      <c r="Q233" s="38"/>
      <c r="R233" s="38"/>
      <c r="S233" s="38"/>
      <c r="T233" s="38"/>
      <c r="U233" s="38"/>
      <c r="V233" s="38"/>
      <c r="W233" s="38"/>
      <c r="X233" s="38"/>
      <c r="Y233" s="38"/>
      <c r="Z233" s="38"/>
    </row>
    <row r="234" spans="1:26">
      <c r="A234" s="57"/>
      <c r="B234" s="50">
        <v>9</v>
      </c>
      <c r="C234" s="50" t="s">
        <v>667</v>
      </c>
      <c r="D234" s="55">
        <v>1.4999999999999999E-2</v>
      </c>
      <c r="E234" s="56">
        <v>1.4999999999999999E-2</v>
      </c>
      <c r="F234" s="38"/>
      <c r="G234" s="38"/>
      <c r="H234" s="38"/>
      <c r="I234" s="38"/>
      <c r="J234" s="38"/>
      <c r="K234" s="38"/>
      <c r="L234" s="38"/>
      <c r="M234" s="38"/>
      <c r="N234" s="38"/>
      <c r="O234" s="38"/>
      <c r="P234" s="38"/>
      <c r="Q234" s="38"/>
      <c r="R234" s="38"/>
      <c r="S234" s="38"/>
      <c r="T234" s="38"/>
      <c r="U234" s="38"/>
      <c r="V234" s="38"/>
      <c r="W234" s="38"/>
      <c r="X234" s="38"/>
      <c r="Y234" s="38"/>
      <c r="Z234" s="38"/>
    </row>
    <row r="235" spans="1:26">
      <c r="A235" s="57"/>
      <c r="B235" s="57"/>
      <c r="C235" s="58" t="s">
        <v>670</v>
      </c>
      <c r="D235" s="59">
        <v>1.4999999999999999E-2</v>
      </c>
      <c r="E235" s="60"/>
      <c r="F235" s="38"/>
      <c r="G235" s="38"/>
      <c r="H235" s="38"/>
      <c r="I235" s="38"/>
      <c r="J235" s="38"/>
      <c r="K235" s="38"/>
      <c r="L235" s="38"/>
      <c r="M235" s="38"/>
      <c r="N235" s="38"/>
      <c r="O235" s="38"/>
      <c r="P235" s="38"/>
      <c r="Q235" s="38"/>
      <c r="R235" s="38"/>
      <c r="S235" s="38"/>
      <c r="T235" s="38"/>
      <c r="U235" s="38"/>
      <c r="V235" s="38"/>
      <c r="W235" s="38"/>
      <c r="X235" s="38"/>
      <c r="Y235" s="38"/>
      <c r="Z235" s="38"/>
    </row>
    <row r="236" spans="1:26">
      <c r="A236" s="50" t="s">
        <v>1255</v>
      </c>
      <c r="B236" s="51"/>
      <c r="C236" s="51"/>
      <c r="D236" s="55">
        <v>0.99999999999999967</v>
      </c>
      <c r="E236" s="56">
        <v>0.26840000000000008</v>
      </c>
      <c r="F236" s="38"/>
      <c r="G236" s="38"/>
      <c r="H236" s="38"/>
      <c r="I236" s="38"/>
      <c r="J236" s="38"/>
      <c r="K236" s="38"/>
      <c r="L236" s="38"/>
      <c r="M236" s="38"/>
      <c r="N236" s="38"/>
      <c r="O236" s="38"/>
      <c r="P236" s="38"/>
      <c r="Q236" s="38"/>
      <c r="R236" s="38"/>
      <c r="S236" s="38"/>
      <c r="T236" s="38"/>
      <c r="U236" s="38"/>
      <c r="V236" s="38"/>
      <c r="W236" s="38"/>
      <c r="X236" s="38"/>
      <c r="Y236" s="38"/>
      <c r="Z236" s="38"/>
    </row>
    <row r="237" spans="1:26">
      <c r="A237" s="50" t="s">
        <v>422</v>
      </c>
      <c r="B237" s="50">
        <v>1</v>
      </c>
      <c r="C237" s="50" t="s">
        <v>34</v>
      </c>
      <c r="D237" s="55">
        <v>6.6666666666666666E-2</v>
      </c>
      <c r="E237" s="56">
        <v>0.3</v>
      </c>
      <c r="F237" s="38"/>
      <c r="G237" s="38"/>
      <c r="H237" s="38"/>
      <c r="I237" s="38"/>
      <c r="J237" s="38"/>
      <c r="K237" s="38"/>
      <c r="L237" s="38"/>
      <c r="M237" s="38"/>
      <c r="N237" s="38"/>
      <c r="O237" s="38"/>
      <c r="P237" s="38"/>
      <c r="Q237" s="38"/>
      <c r="R237" s="38"/>
      <c r="S237" s="38"/>
      <c r="T237" s="38"/>
      <c r="U237" s="38"/>
      <c r="V237" s="38"/>
      <c r="W237" s="38"/>
      <c r="X237" s="38"/>
      <c r="Y237" s="38"/>
      <c r="Z237" s="38"/>
    </row>
    <row r="238" spans="1:26">
      <c r="A238" s="57"/>
      <c r="B238" s="57"/>
      <c r="C238" s="58" t="s">
        <v>47</v>
      </c>
      <c r="D238" s="59">
        <v>6.6666666666666666E-2</v>
      </c>
      <c r="E238" s="60">
        <v>0.3</v>
      </c>
      <c r="F238" s="38"/>
      <c r="G238" s="38"/>
      <c r="H238" s="38"/>
      <c r="I238" s="38"/>
      <c r="J238" s="38"/>
      <c r="K238" s="38"/>
      <c r="L238" s="38"/>
      <c r="M238" s="38"/>
      <c r="N238" s="38"/>
      <c r="O238" s="38"/>
      <c r="P238" s="38"/>
      <c r="Q238" s="38"/>
      <c r="R238" s="38"/>
      <c r="S238" s="38"/>
      <c r="T238" s="38"/>
      <c r="U238" s="38"/>
      <c r="V238" s="38"/>
      <c r="W238" s="38"/>
      <c r="X238" s="38"/>
      <c r="Y238" s="38"/>
      <c r="Z238" s="38"/>
    </row>
    <row r="239" spans="1:26">
      <c r="A239" s="57"/>
      <c r="B239" s="57"/>
      <c r="C239" s="58" t="s">
        <v>49</v>
      </c>
      <c r="D239" s="59">
        <v>6.6666666666666666E-2</v>
      </c>
      <c r="E239" s="60">
        <v>0</v>
      </c>
      <c r="F239" s="38"/>
      <c r="G239" s="38"/>
      <c r="H239" s="38"/>
      <c r="I239" s="38"/>
      <c r="J239" s="38"/>
      <c r="K239" s="38"/>
      <c r="L239" s="38"/>
      <c r="M239" s="38"/>
      <c r="N239" s="38"/>
      <c r="O239" s="38"/>
      <c r="P239" s="38"/>
      <c r="Q239" s="38"/>
      <c r="R239" s="38"/>
      <c r="S239" s="38"/>
      <c r="T239" s="38"/>
      <c r="U239" s="38"/>
      <c r="V239" s="38"/>
      <c r="W239" s="38"/>
      <c r="X239" s="38"/>
      <c r="Y239" s="38"/>
      <c r="Z239" s="38"/>
    </row>
    <row r="240" spans="1:26">
      <c r="A240" s="57"/>
      <c r="B240" s="50">
        <v>2</v>
      </c>
      <c r="C240" s="50" t="s">
        <v>56</v>
      </c>
      <c r="D240" s="55">
        <v>0.1</v>
      </c>
      <c r="E240" s="56">
        <v>0.15</v>
      </c>
      <c r="F240" s="38"/>
      <c r="G240" s="38"/>
      <c r="H240" s="38"/>
      <c r="I240" s="38"/>
      <c r="J240" s="38"/>
      <c r="K240" s="38"/>
      <c r="L240" s="38"/>
      <c r="M240" s="38"/>
      <c r="N240" s="38"/>
      <c r="O240" s="38"/>
      <c r="P240" s="38"/>
      <c r="Q240" s="38"/>
      <c r="R240" s="38"/>
      <c r="S240" s="38"/>
      <c r="T240" s="38"/>
      <c r="U240" s="38"/>
      <c r="V240" s="38"/>
      <c r="W240" s="38"/>
      <c r="X240" s="38"/>
      <c r="Y240" s="38"/>
      <c r="Z240" s="38"/>
    </row>
    <row r="241" spans="1:26">
      <c r="A241" s="57"/>
      <c r="B241" s="57"/>
      <c r="C241" s="58" t="s">
        <v>60</v>
      </c>
      <c r="D241" s="59">
        <v>0.1</v>
      </c>
      <c r="E241" s="60">
        <v>0</v>
      </c>
      <c r="F241" s="38"/>
      <c r="G241" s="38"/>
      <c r="H241" s="38"/>
      <c r="I241" s="38"/>
      <c r="J241" s="38"/>
      <c r="K241" s="38"/>
      <c r="L241" s="38"/>
      <c r="M241" s="38"/>
      <c r="N241" s="38"/>
      <c r="O241" s="38"/>
      <c r="P241" s="38"/>
      <c r="Q241" s="38"/>
      <c r="R241" s="38"/>
      <c r="S241" s="38"/>
      <c r="T241" s="38"/>
      <c r="U241" s="38"/>
      <c r="V241" s="38"/>
      <c r="W241" s="38"/>
      <c r="X241" s="38"/>
      <c r="Y241" s="38"/>
      <c r="Z241" s="38"/>
    </row>
    <row r="242" spans="1:26">
      <c r="A242" s="57"/>
      <c r="B242" s="50">
        <v>3</v>
      </c>
      <c r="C242" s="50" t="s">
        <v>68</v>
      </c>
      <c r="D242" s="55">
        <v>0.1</v>
      </c>
      <c r="E242" s="56">
        <v>0.6</v>
      </c>
      <c r="F242" s="38"/>
      <c r="G242" s="38"/>
      <c r="H242" s="38"/>
      <c r="I242" s="38"/>
      <c r="J242" s="38"/>
      <c r="K242" s="38"/>
      <c r="L242" s="38"/>
      <c r="M242" s="38"/>
      <c r="N242" s="38"/>
      <c r="O242" s="38"/>
      <c r="P242" s="38"/>
      <c r="Q242" s="38"/>
      <c r="R242" s="38"/>
      <c r="S242" s="38"/>
      <c r="T242" s="38"/>
      <c r="U242" s="38"/>
      <c r="V242" s="38"/>
      <c r="W242" s="38"/>
      <c r="X242" s="38"/>
      <c r="Y242" s="38"/>
      <c r="Z242" s="38"/>
    </row>
    <row r="243" spans="1:26">
      <c r="A243" s="57"/>
      <c r="B243" s="57"/>
      <c r="C243" s="58" t="s">
        <v>73</v>
      </c>
      <c r="D243" s="59">
        <v>0.1</v>
      </c>
      <c r="E243" s="60">
        <v>0</v>
      </c>
      <c r="F243" s="38"/>
      <c r="G243" s="38"/>
      <c r="H243" s="38"/>
      <c r="I243" s="38"/>
      <c r="J243" s="38"/>
      <c r="K243" s="38"/>
      <c r="L243" s="38"/>
      <c r="M243" s="38"/>
      <c r="N243" s="38"/>
      <c r="O243" s="38"/>
      <c r="P243" s="38"/>
      <c r="Q243" s="38"/>
      <c r="R243" s="38"/>
      <c r="S243" s="38"/>
      <c r="T243" s="38"/>
      <c r="U243" s="38"/>
      <c r="V243" s="38"/>
      <c r="W243" s="38"/>
      <c r="X243" s="38"/>
      <c r="Y243" s="38"/>
      <c r="Z243" s="38"/>
    </row>
    <row r="244" spans="1:26">
      <c r="A244" s="57"/>
      <c r="B244" s="50">
        <v>4</v>
      </c>
      <c r="C244" s="50" t="s">
        <v>79</v>
      </c>
      <c r="D244" s="55">
        <v>0.05</v>
      </c>
      <c r="E244" s="56">
        <v>0.05</v>
      </c>
      <c r="F244" s="38"/>
      <c r="G244" s="38"/>
      <c r="H244" s="38"/>
      <c r="I244" s="38"/>
      <c r="J244" s="38"/>
      <c r="K244" s="38"/>
      <c r="L244" s="38"/>
      <c r="M244" s="38"/>
      <c r="N244" s="38"/>
      <c r="O244" s="38"/>
      <c r="P244" s="38"/>
      <c r="Q244" s="38"/>
      <c r="R244" s="38"/>
      <c r="S244" s="38"/>
      <c r="T244" s="38"/>
      <c r="U244" s="38"/>
      <c r="V244" s="38"/>
      <c r="W244" s="38"/>
      <c r="X244" s="38"/>
      <c r="Y244" s="38"/>
      <c r="Z244" s="38"/>
    </row>
    <row r="245" spans="1:26">
      <c r="A245" s="57"/>
      <c r="B245" s="57"/>
      <c r="C245" s="58" t="s">
        <v>83</v>
      </c>
      <c r="D245" s="59">
        <v>0.05</v>
      </c>
      <c r="E245" s="60">
        <v>8.3333333333333329E-2</v>
      </c>
      <c r="F245" s="38"/>
      <c r="G245" s="38"/>
      <c r="H245" s="38"/>
      <c r="I245" s="38"/>
      <c r="J245" s="38"/>
      <c r="K245" s="38"/>
      <c r="L245" s="38"/>
      <c r="M245" s="38"/>
      <c r="N245" s="38"/>
      <c r="O245" s="38"/>
      <c r="P245" s="38"/>
      <c r="Q245" s="38"/>
      <c r="R245" s="38"/>
      <c r="S245" s="38"/>
      <c r="T245" s="38"/>
      <c r="U245" s="38"/>
      <c r="V245" s="38"/>
      <c r="W245" s="38"/>
      <c r="X245" s="38"/>
      <c r="Y245" s="38"/>
      <c r="Z245" s="38"/>
    </row>
    <row r="246" spans="1:26">
      <c r="A246" s="57"/>
      <c r="B246" s="57"/>
      <c r="C246" s="58" t="s">
        <v>86</v>
      </c>
      <c r="D246" s="59">
        <v>0.05</v>
      </c>
      <c r="E246" s="60">
        <v>0</v>
      </c>
      <c r="F246" s="38"/>
      <c r="G246" s="38"/>
      <c r="H246" s="38"/>
      <c r="I246" s="38"/>
      <c r="J246" s="38"/>
      <c r="K246" s="38"/>
      <c r="L246" s="38"/>
      <c r="M246" s="38"/>
      <c r="N246" s="38"/>
      <c r="O246" s="38"/>
      <c r="P246" s="38"/>
      <c r="Q246" s="38"/>
      <c r="R246" s="38"/>
      <c r="S246" s="38"/>
      <c r="T246" s="38"/>
      <c r="U246" s="38"/>
      <c r="V246" s="38"/>
      <c r="W246" s="38"/>
      <c r="X246" s="38"/>
      <c r="Y246" s="38"/>
      <c r="Z246" s="38"/>
    </row>
    <row r="247" spans="1:26">
      <c r="A247" s="57"/>
      <c r="B247" s="57"/>
      <c r="C247" s="58" t="s">
        <v>89</v>
      </c>
      <c r="D247" s="59">
        <v>0.05</v>
      </c>
      <c r="E247" s="60">
        <v>0.33333333333333331</v>
      </c>
      <c r="F247" s="38"/>
      <c r="G247" s="38"/>
      <c r="H247" s="38"/>
      <c r="I247" s="38"/>
      <c r="J247" s="38"/>
      <c r="K247" s="38"/>
      <c r="L247" s="38"/>
      <c r="M247" s="38"/>
      <c r="N247" s="38"/>
      <c r="O247" s="38"/>
      <c r="P247" s="38"/>
      <c r="Q247" s="38"/>
      <c r="R247" s="38"/>
      <c r="S247" s="38"/>
      <c r="T247" s="38"/>
      <c r="U247" s="38"/>
      <c r="V247" s="38"/>
      <c r="W247" s="38"/>
      <c r="X247" s="38"/>
      <c r="Y247" s="38"/>
      <c r="Z247" s="38"/>
    </row>
    <row r="248" spans="1:26">
      <c r="A248" s="57"/>
      <c r="B248" s="50">
        <v>5</v>
      </c>
      <c r="C248" s="50" t="s">
        <v>469</v>
      </c>
      <c r="D248" s="55">
        <v>6.6666666666666666E-2</v>
      </c>
      <c r="E248" s="56">
        <v>0.25</v>
      </c>
      <c r="F248" s="38"/>
      <c r="G248" s="38"/>
      <c r="H248" s="38"/>
      <c r="I248" s="38"/>
      <c r="J248" s="38"/>
      <c r="K248" s="38"/>
      <c r="L248" s="38"/>
      <c r="M248" s="38"/>
      <c r="N248" s="38"/>
      <c r="O248" s="38"/>
      <c r="P248" s="38"/>
      <c r="Q248" s="38"/>
      <c r="R248" s="38"/>
      <c r="S248" s="38"/>
      <c r="T248" s="38"/>
      <c r="U248" s="38"/>
      <c r="V248" s="38"/>
      <c r="W248" s="38"/>
      <c r="X248" s="38"/>
      <c r="Y248" s="38"/>
      <c r="Z248" s="38"/>
    </row>
    <row r="249" spans="1:26">
      <c r="A249" s="57"/>
      <c r="B249" s="57"/>
      <c r="C249" s="58" t="s">
        <v>476</v>
      </c>
      <c r="D249" s="59">
        <v>6.6666666666666666E-2</v>
      </c>
      <c r="E249" s="60">
        <v>0.5</v>
      </c>
      <c r="F249" s="38"/>
      <c r="G249" s="38"/>
      <c r="H249" s="38"/>
      <c r="I249" s="38"/>
      <c r="J249" s="38"/>
      <c r="K249" s="38"/>
      <c r="L249" s="38"/>
      <c r="M249" s="38"/>
      <c r="N249" s="38"/>
      <c r="O249" s="38"/>
      <c r="P249" s="38"/>
      <c r="Q249" s="38"/>
      <c r="R249" s="38"/>
      <c r="S249" s="38"/>
      <c r="T249" s="38"/>
      <c r="U249" s="38"/>
      <c r="V249" s="38"/>
      <c r="W249" s="38"/>
      <c r="X249" s="38"/>
      <c r="Y249" s="38"/>
      <c r="Z249" s="38"/>
    </row>
    <row r="250" spans="1:26">
      <c r="A250" s="57"/>
      <c r="B250" s="57"/>
      <c r="C250" s="58" t="s">
        <v>482</v>
      </c>
      <c r="D250" s="59">
        <v>6.6666666666666666E-2</v>
      </c>
      <c r="E250" s="60">
        <v>0.5</v>
      </c>
      <c r="F250" s="38"/>
      <c r="G250" s="38"/>
      <c r="H250" s="38"/>
      <c r="I250" s="38"/>
      <c r="J250" s="38"/>
      <c r="K250" s="38"/>
      <c r="L250" s="38"/>
      <c r="M250" s="38"/>
      <c r="N250" s="38"/>
      <c r="O250" s="38"/>
      <c r="P250" s="38"/>
      <c r="Q250" s="38"/>
      <c r="R250" s="38"/>
      <c r="S250" s="38"/>
      <c r="T250" s="38"/>
      <c r="U250" s="38"/>
      <c r="V250" s="38"/>
      <c r="W250" s="38"/>
      <c r="X250" s="38"/>
      <c r="Y250" s="38"/>
      <c r="Z250" s="38"/>
    </row>
    <row r="251" spans="1:26">
      <c r="A251" s="50" t="s">
        <v>1256</v>
      </c>
      <c r="B251" s="51"/>
      <c r="C251" s="51"/>
      <c r="D251" s="55">
        <v>1.0000000000000002</v>
      </c>
      <c r="E251" s="56">
        <v>3.0666666666666664</v>
      </c>
      <c r="F251" s="38"/>
      <c r="G251" s="38"/>
      <c r="H251" s="38"/>
      <c r="I251" s="38"/>
      <c r="J251" s="38"/>
      <c r="K251" s="38"/>
      <c r="L251" s="38"/>
      <c r="M251" s="38"/>
      <c r="N251" s="38"/>
      <c r="O251" s="38"/>
      <c r="P251" s="38"/>
      <c r="Q251" s="38"/>
      <c r="R251" s="38"/>
      <c r="S251" s="38"/>
      <c r="T251" s="38"/>
      <c r="U251" s="38"/>
      <c r="V251" s="38"/>
      <c r="W251" s="38"/>
      <c r="X251" s="38"/>
      <c r="Y251" s="38"/>
      <c r="Z251" s="38"/>
    </row>
    <row r="252" spans="1:26">
      <c r="A252" s="50" t="s">
        <v>1116</v>
      </c>
      <c r="B252" s="50">
        <v>1</v>
      </c>
      <c r="C252" s="50" t="s">
        <v>34</v>
      </c>
      <c r="D252" s="55">
        <v>0.1</v>
      </c>
      <c r="E252" s="56"/>
      <c r="F252" s="38"/>
      <c r="G252" s="38"/>
      <c r="H252" s="38"/>
      <c r="I252" s="38"/>
      <c r="J252" s="38"/>
      <c r="K252" s="38"/>
      <c r="L252" s="38"/>
      <c r="M252" s="38"/>
      <c r="N252" s="38"/>
      <c r="O252" s="38"/>
      <c r="P252" s="38"/>
      <c r="Q252" s="38"/>
      <c r="R252" s="38"/>
      <c r="S252" s="38"/>
      <c r="T252" s="38"/>
      <c r="U252" s="38"/>
      <c r="V252" s="38"/>
      <c r="W252" s="38"/>
      <c r="X252" s="38"/>
      <c r="Y252" s="38"/>
      <c r="Z252" s="38"/>
    </row>
    <row r="253" spans="1:26">
      <c r="A253" s="57"/>
      <c r="B253" s="57"/>
      <c r="C253" s="58" t="s">
        <v>47</v>
      </c>
      <c r="D253" s="59">
        <v>0.1</v>
      </c>
      <c r="E253" s="60"/>
      <c r="F253" s="38"/>
      <c r="G253" s="38"/>
      <c r="H253" s="38"/>
      <c r="I253" s="38"/>
      <c r="J253" s="38"/>
      <c r="K253" s="38"/>
      <c r="L253" s="38"/>
      <c r="M253" s="38"/>
      <c r="N253" s="38"/>
      <c r="O253" s="38"/>
      <c r="P253" s="38"/>
      <c r="Q253" s="38"/>
      <c r="R253" s="38"/>
      <c r="S253" s="38"/>
      <c r="T253" s="38"/>
      <c r="U253" s="38"/>
      <c r="V253" s="38"/>
      <c r="W253" s="38"/>
      <c r="X253" s="38"/>
      <c r="Y253" s="38"/>
      <c r="Z253" s="38"/>
    </row>
    <row r="254" spans="1:26">
      <c r="A254" s="57"/>
      <c r="B254" s="57"/>
      <c r="C254" s="58" t="s">
        <v>49</v>
      </c>
      <c r="D254" s="59">
        <v>0.04</v>
      </c>
      <c r="E254" s="60"/>
      <c r="F254" s="38"/>
      <c r="G254" s="38"/>
      <c r="H254" s="38"/>
      <c r="I254" s="38"/>
      <c r="J254" s="38"/>
      <c r="K254" s="38"/>
      <c r="L254" s="38"/>
      <c r="M254" s="38"/>
      <c r="N254" s="38"/>
      <c r="O254" s="38"/>
      <c r="P254" s="38"/>
      <c r="Q254" s="38"/>
      <c r="R254" s="38"/>
      <c r="S254" s="38"/>
      <c r="T254" s="38"/>
      <c r="U254" s="38"/>
      <c r="V254" s="38"/>
      <c r="W254" s="38"/>
      <c r="X254" s="38"/>
      <c r="Y254" s="38"/>
      <c r="Z254" s="38"/>
    </row>
    <row r="255" spans="1:26">
      <c r="A255" s="57"/>
      <c r="B255" s="57"/>
      <c r="C255" s="58" t="s">
        <v>52</v>
      </c>
      <c r="D255" s="59">
        <v>0.01</v>
      </c>
      <c r="E255" s="60"/>
      <c r="F255" s="38"/>
      <c r="G255" s="38"/>
      <c r="H255" s="38"/>
      <c r="I255" s="38"/>
      <c r="J255" s="38"/>
      <c r="K255" s="38"/>
      <c r="L255" s="38"/>
      <c r="M255" s="38"/>
      <c r="N255" s="38"/>
      <c r="O255" s="38"/>
      <c r="P255" s="38"/>
      <c r="Q255" s="38"/>
      <c r="R255" s="38"/>
      <c r="S255" s="38"/>
      <c r="T255" s="38"/>
      <c r="U255" s="38"/>
      <c r="V255" s="38"/>
      <c r="W255" s="38"/>
      <c r="X255" s="38"/>
      <c r="Y255" s="38"/>
      <c r="Z255" s="38"/>
    </row>
    <row r="256" spans="1:26">
      <c r="A256" s="57"/>
      <c r="B256" s="50">
        <v>2</v>
      </c>
      <c r="C256" s="50" t="s">
        <v>56</v>
      </c>
      <c r="D256" s="55">
        <v>0.15</v>
      </c>
      <c r="E256" s="56"/>
      <c r="F256" s="38"/>
      <c r="G256" s="38"/>
      <c r="H256" s="38"/>
      <c r="I256" s="38"/>
      <c r="J256" s="38"/>
      <c r="K256" s="38"/>
      <c r="L256" s="38"/>
      <c r="M256" s="38"/>
      <c r="N256" s="38"/>
      <c r="O256" s="38"/>
      <c r="P256" s="38"/>
      <c r="Q256" s="38"/>
      <c r="R256" s="38"/>
      <c r="S256" s="38"/>
      <c r="T256" s="38"/>
      <c r="U256" s="38"/>
      <c r="V256" s="38"/>
      <c r="W256" s="38"/>
      <c r="X256" s="38"/>
      <c r="Y256" s="38"/>
      <c r="Z256" s="38"/>
    </row>
    <row r="257" spans="1:26">
      <c r="A257" s="57"/>
      <c r="B257" s="57"/>
      <c r="C257" s="58" t="s">
        <v>60</v>
      </c>
      <c r="D257" s="59">
        <v>0.15</v>
      </c>
      <c r="E257" s="60"/>
      <c r="F257" s="38"/>
      <c r="G257" s="38"/>
      <c r="H257" s="38"/>
      <c r="I257" s="38"/>
      <c r="J257" s="38"/>
      <c r="K257" s="38"/>
      <c r="L257" s="38"/>
      <c r="M257" s="38"/>
      <c r="N257" s="38"/>
      <c r="O257" s="38"/>
      <c r="P257" s="38"/>
      <c r="Q257" s="38"/>
      <c r="R257" s="38"/>
      <c r="S257" s="38"/>
      <c r="T257" s="38"/>
      <c r="U257" s="38"/>
      <c r="V257" s="38"/>
      <c r="W257" s="38"/>
      <c r="X257" s="38"/>
      <c r="Y257" s="38"/>
      <c r="Z257" s="38"/>
    </row>
    <row r="258" spans="1:26">
      <c r="A258" s="57"/>
      <c r="B258" s="57"/>
      <c r="C258" s="58" t="s">
        <v>63</v>
      </c>
      <c r="D258" s="59">
        <v>0.1</v>
      </c>
      <c r="E258" s="60"/>
      <c r="F258" s="38"/>
      <c r="G258" s="38"/>
      <c r="H258" s="38"/>
      <c r="I258" s="38"/>
      <c r="J258" s="38"/>
      <c r="K258" s="38"/>
      <c r="L258" s="38"/>
      <c r="M258" s="38"/>
      <c r="N258" s="38"/>
      <c r="O258" s="38"/>
      <c r="P258" s="38"/>
      <c r="Q258" s="38"/>
      <c r="R258" s="38"/>
      <c r="S258" s="38"/>
      <c r="T258" s="38"/>
      <c r="U258" s="38"/>
      <c r="V258" s="38"/>
      <c r="W258" s="38"/>
      <c r="X258" s="38"/>
      <c r="Y258" s="38"/>
      <c r="Z258" s="38"/>
    </row>
    <row r="259" spans="1:26">
      <c r="A259" s="57"/>
      <c r="B259" s="57"/>
      <c r="C259" s="58" t="s">
        <v>110</v>
      </c>
      <c r="D259" s="59">
        <v>0.05</v>
      </c>
      <c r="E259" s="60"/>
      <c r="F259" s="38"/>
      <c r="G259" s="38"/>
      <c r="H259" s="38"/>
      <c r="I259" s="38"/>
      <c r="J259" s="38"/>
      <c r="K259" s="38"/>
      <c r="L259" s="38"/>
      <c r="M259" s="38"/>
      <c r="N259" s="38"/>
      <c r="O259" s="38"/>
      <c r="P259" s="38"/>
      <c r="Q259" s="38"/>
      <c r="R259" s="38"/>
      <c r="S259" s="38"/>
      <c r="T259" s="38"/>
      <c r="U259" s="38"/>
      <c r="V259" s="38"/>
      <c r="W259" s="38"/>
      <c r="X259" s="38"/>
      <c r="Y259" s="38"/>
      <c r="Z259" s="38"/>
    </row>
    <row r="260" spans="1:26">
      <c r="A260" s="57"/>
      <c r="B260" s="57"/>
      <c r="C260" s="58" t="s">
        <v>112</v>
      </c>
      <c r="D260" s="59">
        <v>0.05</v>
      </c>
      <c r="E260" s="60"/>
      <c r="F260" s="38"/>
      <c r="G260" s="38"/>
      <c r="H260" s="38"/>
      <c r="I260" s="38"/>
      <c r="J260" s="38"/>
      <c r="K260" s="38"/>
      <c r="L260" s="38"/>
      <c r="M260" s="38"/>
      <c r="N260" s="38"/>
      <c r="O260" s="38"/>
      <c r="P260" s="38"/>
      <c r="Q260" s="38"/>
      <c r="R260" s="38"/>
      <c r="S260" s="38"/>
      <c r="T260" s="38"/>
      <c r="U260" s="38"/>
      <c r="V260" s="38"/>
      <c r="W260" s="38"/>
      <c r="X260" s="38"/>
      <c r="Y260" s="38"/>
      <c r="Z260" s="38"/>
    </row>
    <row r="261" spans="1:26">
      <c r="A261" s="57"/>
      <c r="B261" s="57"/>
      <c r="C261" s="58" t="s">
        <v>114</v>
      </c>
      <c r="D261" s="59">
        <v>0.05</v>
      </c>
      <c r="E261" s="60"/>
      <c r="F261" s="38"/>
      <c r="G261" s="38"/>
      <c r="H261" s="38"/>
      <c r="I261" s="38"/>
      <c r="J261" s="38"/>
      <c r="K261" s="38"/>
      <c r="L261" s="38"/>
      <c r="M261" s="38"/>
      <c r="N261" s="38"/>
      <c r="O261" s="38"/>
      <c r="P261" s="38"/>
      <c r="Q261" s="38"/>
      <c r="R261" s="38"/>
      <c r="S261" s="38"/>
      <c r="T261" s="38"/>
      <c r="U261" s="38"/>
      <c r="V261" s="38"/>
      <c r="W261" s="38"/>
      <c r="X261" s="38"/>
      <c r="Y261" s="38"/>
      <c r="Z261" s="38"/>
    </row>
    <row r="262" spans="1:26">
      <c r="A262" s="57"/>
      <c r="B262" s="57"/>
      <c r="C262" s="58" t="s">
        <v>116</v>
      </c>
      <c r="D262" s="59">
        <v>0.05</v>
      </c>
      <c r="E262" s="60"/>
      <c r="F262" s="38"/>
      <c r="G262" s="38"/>
      <c r="H262" s="38"/>
      <c r="I262" s="38"/>
      <c r="J262" s="38"/>
      <c r="K262" s="38"/>
      <c r="L262" s="38"/>
      <c r="M262" s="38"/>
      <c r="N262" s="38"/>
      <c r="O262" s="38"/>
      <c r="P262" s="38"/>
      <c r="Q262" s="38"/>
      <c r="R262" s="38"/>
      <c r="S262" s="38"/>
      <c r="T262" s="38"/>
      <c r="U262" s="38"/>
      <c r="V262" s="38"/>
      <c r="W262" s="38"/>
      <c r="X262" s="38"/>
      <c r="Y262" s="38"/>
      <c r="Z262" s="38"/>
    </row>
    <row r="263" spans="1:26">
      <c r="A263" s="57"/>
      <c r="B263" s="50">
        <v>3</v>
      </c>
      <c r="C263" s="50" t="s">
        <v>68</v>
      </c>
      <c r="D263" s="55">
        <v>2.5000000000000001E-2</v>
      </c>
      <c r="E263" s="56"/>
      <c r="F263" s="38"/>
      <c r="G263" s="38"/>
      <c r="H263" s="38"/>
      <c r="I263" s="38"/>
      <c r="J263" s="38"/>
      <c r="K263" s="38"/>
      <c r="L263" s="38"/>
      <c r="M263" s="38"/>
      <c r="N263" s="38"/>
      <c r="O263" s="38"/>
      <c r="P263" s="38"/>
      <c r="Q263" s="38"/>
      <c r="R263" s="38"/>
      <c r="S263" s="38"/>
      <c r="T263" s="38"/>
      <c r="U263" s="38"/>
      <c r="V263" s="38"/>
      <c r="W263" s="38"/>
      <c r="X263" s="38"/>
      <c r="Y263" s="38"/>
      <c r="Z263" s="38"/>
    </row>
    <row r="264" spans="1:26">
      <c r="A264" s="57"/>
      <c r="B264" s="57"/>
      <c r="C264" s="58" t="s">
        <v>73</v>
      </c>
      <c r="D264" s="59">
        <v>2.5000000000000001E-2</v>
      </c>
      <c r="E264" s="60"/>
      <c r="F264" s="38"/>
      <c r="G264" s="38"/>
      <c r="H264" s="38"/>
      <c r="I264" s="38"/>
      <c r="J264" s="38"/>
      <c r="K264" s="38"/>
      <c r="L264" s="38"/>
      <c r="M264" s="38"/>
      <c r="N264" s="38"/>
      <c r="O264" s="38"/>
      <c r="P264" s="38"/>
      <c r="Q264" s="38"/>
      <c r="R264" s="38"/>
      <c r="S264" s="38"/>
      <c r="T264" s="38"/>
      <c r="U264" s="38"/>
      <c r="V264" s="38"/>
      <c r="W264" s="38"/>
      <c r="X264" s="38"/>
      <c r="Y264" s="38"/>
      <c r="Z264" s="38"/>
    </row>
    <row r="265" spans="1:26">
      <c r="A265" s="57"/>
      <c r="B265" s="57"/>
      <c r="C265" s="58" t="s">
        <v>75</v>
      </c>
      <c r="D265" s="59">
        <v>0.03</v>
      </c>
      <c r="E265" s="60"/>
      <c r="F265" s="38"/>
      <c r="G265" s="38"/>
      <c r="H265" s="38"/>
      <c r="I265" s="38"/>
      <c r="J265" s="38"/>
      <c r="K265" s="38"/>
      <c r="L265" s="38"/>
      <c r="M265" s="38"/>
      <c r="N265" s="38"/>
      <c r="O265" s="38"/>
      <c r="P265" s="38"/>
      <c r="Q265" s="38"/>
      <c r="R265" s="38"/>
      <c r="S265" s="38"/>
      <c r="T265" s="38"/>
      <c r="U265" s="38"/>
      <c r="V265" s="38"/>
      <c r="W265" s="38"/>
      <c r="X265" s="38"/>
      <c r="Y265" s="38"/>
      <c r="Z265" s="38"/>
    </row>
    <row r="266" spans="1:26">
      <c r="A266" s="57"/>
      <c r="B266" s="57"/>
      <c r="C266" s="58" t="s">
        <v>287</v>
      </c>
      <c r="D266" s="59">
        <v>0.03</v>
      </c>
      <c r="E266" s="60"/>
      <c r="F266" s="38"/>
      <c r="G266" s="38"/>
      <c r="H266" s="38"/>
      <c r="I266" s="38"/>
      <c r="J266" s="38"/>
      <c r="K266" s="38"/>
      <c r="L266" s="38"/>
      <c r="M266" s="38"/>
      <c r="N266" s="38"/>
      <c r="O266" s="38"/>
      <c r="P266" s="38"/>
      <c r="Q266" s="38"/>
      <c r="R266" s="38"/>
      <c r="S266" s="38"/>
      <c r="T266" s="38"/>
      <c r="U266" s="38"/>
      <c r="V266" s="38"/>
      <c r="W266" s="38"/>
      <c r="X266" s="38"/>
      <c r="Y266" s="38"/>
      <c r="Z266" s="38"/>
    </row>
    <row r="267" spans="1:26">
      <c r="A267" s="57"/>
      <c r="B267" s="57"/>
      <c r="C267" s="58" t="s">
        <v>290</v>
      </c>
      <c r="D267" s="59">
        <v>0.04</v>
      </c>
      <c r="E267" s="60"/>
      <c r="F267" s="38"/>
      <c r="G267" s="38"/>
      <c r="H267" s="38"/>
      <c r="I267" s="38"/>
      <c r="J267" s="38"/>
      <c r="K267" s="38"/>
      <c r="L267" s="38"/>
      <c r="M267" s="38"/>
      <c r="N267" s="38"/>
      <c r="O267" s="38"/>
      <c r="P267" s="38"/>
      <c r="Q267" s="38"/>
      <c r="R267" s="38"/>
      <c r="S267" s="38"/>
      <c r="T267" s="38"/>
      <c r="U267" s="38"/>
      <c r="V267" s="38"/>
      <c r="W267" s="38"/>
      <c r="X267" s="38"/>
      <c r="Y267" s="38"/>
      <c r="Z267" s="38"/>
    </row>
    <row r="268" spans="1:26">
      <c r="A268" s="50" t="s">
        <v>1257</v>
      </c>
      <c r="B268" s="51"/>
      <c r="C268" s="51"/>
      <c r="D268" s="55">
        <v>1.0000000000000002</v>
      </c>
      <c r="E268" s="56"/>
      <c r="F268" s="38"/>
      <c r="G268" s="38"/>
      <c r="H268" s="38"/>
      <c r="I268" s="38"/>
      <c r="J268" s="38"/>
      <c r="K268" s="38"/>
      <c r="L268" s="38"/>
      <c r="M268" s="38"/>
      <c r="N268" s="38"/>
      <c r="O268" s="38"/>
      <c r="P268" s="38"/>
      <c r="Q268" s="38"/>
      <c r="R268" s="38"/>
      <c r="S268" s="38"/>
      <c r="T268" s="38"/>
      <c r="U268" s="38"/>
      <c r="V268" s="38"/>
      <c r="W268" s="38"/>
      <c r="X268" s="38"/>
      <c r="Y268" s="38"/>
      <c r="Z268" s="38"/>
    </row>
    <row r="269" spans="1:26">
      <c r="A269" s="50" t="s">
        <v>929</v>
      </c>
      <c r="B269" s="50">
        <v>1</v>
      </c>
      <c r="C269" s="50" t="s">
        <v>34</v>
      </c>
      <c r="D269" s="55">
        <v>0.02</v>
      </c>
      <c r="E269" s="56"/>
      <c r="F269" s="38"/>
      <c r="G269" s="38"/>
      <c r="H269" s="38"/>
      <c r="I269" s="38"/>
      <c r="J269" s="38"/>
      <c r="K269" s="38"/>
      <c r="L269" s="38"/>
      <c r="M269" s="38"/>
      <c r="N269" s="38"/>
      <c r="O269" s="38"/>
      <c r="P269" s="38"/>
      <c r="Q269" s="38"/>
      <c r="R269" s="38"/>
      <c r="S269" s="38"/>
      <c r="T269" s="38"/>
      <c r="U269" s="38"/>
      <c r="V269" s="38"/>
      <c r="W269" s="38"/>
      <c r="X269" s="38"/>
      <c r="Y269" s="38"/>
      <c r="Z269" s="38"/>
    </row>
    <row r="270" spans="1:26">
      <c r="A270" s="57"/>
      <c r="B270" s="57"/>
      <c r="C270" s="58" t="s">
        <v>205</v>
      </c>
      <c r="D270" s="59">
        <v>2.5000000000000001E-3</v>
      </c>
      <c r="E270" s="60"/>
      <c r="F270" s="38"/>
      <c r="G270" s="38"/>
      <c r="H270" s="38"/>
      <c r="I270" s="38"/>
      <c r="J270" s="38"/>
      <c r="K270" s="38"/>
      <c r="L270" s="38"/>
      <c r="M270" s="38"/>
      <c r="N270" s="38"/>
      <c r="O270" s="38"/>
      <c r="P270" s="38"/>
      <c r="Q270" s="38"/>
      <c r="R270" s="38"/>
      <c r="S270" s="38"/>
      <c r="T270" s="38"/>
      <c r="U270" s="38"/>
      <c r="V270" s="38"/>
      <c r="W270" s="38"/>
      <c r="X270" s="38"/>
      <c r="Y270" s="38"/>
      <c r="Z270" s="38"/>
    </row>
    <row r="271" spans="1:26">
      <c r="A271" s="57"/>
      <c r="B271" s="57"/>
      <c r="C271" s="58" t="s">
        <v>47</v>
      </c>
      <c r="D271" s="59">
        <v>0.02</v>
      </c>
      <c r="E271" s="60"/>
      <c r="F271" s="38"/>
      <c r="G271" s="38"/>
      <c r="H271" s="38"/>
      <c r="I271" s="38"/>
      <c r="J271" s="38"/>
      <c r="K271" s="38"/>
      <c r="L271" s="38"/>
      <c r="M271" s="38"/>
      <c r="N271" s="38"/>
      <c r="O271" s="38"/>
      <c r="P271" s="38"/>
      <c r="Q271" s="38"/>
      <c r="R271" s="38"/>
      <c r="S271" s="38"/>
      <c r="T271" s="38"/>
      <c r="U271" s="38"/>
      <c r="V271" s="38"/>
      <c r="W271" s="38"/>
      <c r="X271" s="38"/>
      <c r="Y271" s="38"/>
      <c r="Z271" s="38"/>
    </row>
    <row r="272" spans="1:26">
      <c r="A272" s="57"/>
      <c r="B272" s="57"/>
      <c r="C272" s="58" t="s">
        <v>49</v>
      </c>
      <c r="D272" s="59">
        <v>0.02</v>
      </c>
      <c r="E272" s="60"/>
      <c r="F272" s="38"/>
      <c r="G272" s="38"/>
      <c r="H272" s="38"/>
      <c r="I272" s="38"/>
      <c r="J272" s="38"/>
      <c r="K272" s="38"/>
      <c r="L272" s="38"/>
      <c r="M272" s="38"/>
      <c r="N272" s="38"/>
      <c r="O272" s="38"/>
      <c r="P272" s="38"/>
      <c r="Q272" s="38"/>
      <c r="R272" s="38"/>
      <c r="S272" s="38"/>
      <c r="T272" s="38"/>
      <c r="U272" s="38"/>
      <c r="V272" s="38"/>
      <c r="W272" s="38"/>
      <c r="X272" s="38"/>
      <c r="Y272" s="38"/>
      <c r="Z272" s="38"/>
    </row>
    <row r="273" spans="1:26">
      <c r="A273" s="57"/>
      <c r="B273" s="57"/>
      <c r="C273" s="58" t="s">
        <v>52</v>
      </c>
      <c r="D273" s="59">
        <v>0.02</v>
      </c>
      <c r="E273" s="60"/>
      <c r="F273" s="38"/>
      <c r="G273" s="38"/>
      <c r="H273" s="38"/>
      <c r="I273" s="38"/>
      <c r="J273" s="38"/>
      <c r="K273" s="38"/>
      <c r="L273" s="38"/>
      <c r="M273" s="38"/>
      <c r="N273" s="38"/>
      <c r="O273" s="38"/>
      <c r="P273" s="38"/>
      <c r="Q273" s="38"/>
      <c r="R273" s="38"/>
      <c r="S273" s="38"/>
      <c r="T273" s="38"/>
      <c r="U273" s="38"/>
      <c r="V273" s="38"/>
      <c r="W273" s="38"/>
      <c r="X273" s="38"/>
      <c r="Y273" s="38"/>
      <c r="Z273" s="38"/>
    </row>
    <row r="274" spans="1:26">
      <c r="A274" s="57"/>
      <c r="B274" s="57"/>
      <c r="C274" s="58" t="s">
        <v>184</v>
      </c>
      <c r="D274" s="59">
        <v>0.03</v>
      </c>
      <c r="E274" s="60"/>
      <c r="F274" s="38"/>
      <c r="G274" s="38"/>
      <c r="H274" s="38"/>
      <c r="I274" s="38"/>
      <c r="J274" s="38"/>
      <c r="K274" s="38"/>
      <c r="L274" s="38"/>
      <c r="M274" s="38"/>
      <c r="N274" s="38"/>
      <c r="O274" s="38"/>
      <c r="P274" s="38"/>
      <c r="Q274" s="38"/>
      <c r="R274" s="38"/>
      <c r="S274" s="38"/>
      <c r="T274" s="38"/>
      <c r="U274" s="38"/>
      <c r="V274" s="38"/>
      <c r="W274" s="38"/>
      <c r="X274" s="38"/>
      <c r="Y274" s="38"/>
      <c r="Z274" s="38"/>
    </row>
    <row r="275" spans="1:26">
      <c r="A275" s="57"/>
      <c r="B275" s="57"/>
      <c r="C275" s="58" t="s">
        <v>189</v>
      </c>
      <c r="D275" s="59">
        <v>0.03</v>
      </c>
      <c r="E275" s="60"/>
      <c r="F275" s="38"/>
      <c r="G275" s="38"/>
      <c r="H275" s="38"/>
      <c r="I275" s="38"/>
      <c r="J275" s="38"/>
      <c r="K275" s="38"/>
      <c r="L275" s="38"/>
      <c r="M275" s="38"/>
      <c r="N275" s="38"/>
      <c r="O275" s="38"/>
      <c r="P275" s="38"/>
      <c r="Q275" s="38"/>
      <c r="R275" s="38"/>
      <c r="S275" s="38"/>
      <c r="T275" s="38"/>
      <c r="U275" s="38"/>
      <c r="V275" s="38"/>
      <c r="W275" s="38"/>
      <c r="X275" s="38"/>
      <c r="Y275" s="38"/>
      <c r="Z275" s="38"/>
    </row>
    <row r="276" spans="1:26">
      <c r="A276" s="57"/>
      <c r="B276" s="57"/>
      <c r="C276" s="58" t="s">
        <v>195</v>
      </c>
      <c r="D276" s="59">
        <v>2.5000000000000001E-3</v>
      </c>
      <c r="E276" s="60"/>
      <c r="F276" s="38"/>
      <c r="G276" s="38"/>
      <c r="H276" s="38"/>
      <c r="I276" s="38"/>
      <c r="J276" s="38"/>
      <c r="K276" s="38"/>
      <c r="L276" s="38"/>
      <c r="M276" s="38"/>
      <c r="N276" s="38"/>
      <c r="O276" s="38"/>
      <c r="P276" s="38"/>
      <c r="Q276" s="38"/>
      <c r="R276" s="38"/>
      <c r="S276" s="38"/>
      <c r="T276" s="38"/>
      <c r="U276" s="38"/>
      <c r="V276" s="38"/>
      <c r="W276" s="38"/>
      <c r="X276" s="38"/>
      <c r="Y276" s="38"/>
      <c r="Z276" s="38"/>
    </row>
    <row r="277" spans="1:26">
      <c r="A277" s="57"/>
      <c r="B277" s="57"/>
      <c r="C277" s="58" t="s">
        <v>201</v>
      </c>
      <c r="D277" s="59">
        <v>2.5000000000000001E-3</v>
      </c>
      <c r="E277" s="60"/>
      <c r="F277" s="38"/>
      <c r="G277" s="38"/>
      <c r="H277" s="38"/>
      <c r="I277" s="38"/>
      <c r="J277" s="38"/>
      <c r="K277" s="38"/>
      <c r="L277" s="38"/>
      <c r="M277" s="38"/>
      <c r="N277" s="38"/>
      <c r="O277" s="38"/>
      <c r="P277" s="38"/>
      <c r="Q277" s="38"/>
      <c r="R277" s="38"/>
      <c r="S277" s="38"/>
      <c r="T277" s="38"/>
      <c r="U277" s="38"/>
      <c r="V277" s="38"/>
      <c r="W277" s="38"/>
      <c r="X277" s="38"/>
      <c r="Y277" s="38"/>
      <c r="Z277" s="38"/>
    </row>
    <row r="278" spans="1:26">
      <c r="A278" s="57"/>
      <c r="B278" s="57"/>
      <c r="C278" s="58" t="s">
        <v>203</v>
      </c>
      <c r="D278" s="59">
        <v>2.5000000000000001E-3</v>
      </c>
      <c r="E278" s="60"/>
      <c r="F278" s="38"/>
      <c r="G278" s="38"/>
      <c r="H278" s="38"/>
      <c r="I278" s="38"/>
      <c r="J278" s="38"/>
      <c r="K278" s="38"/>
      <c r="L278" s="38"/>
      <c r="M278" s="38"/>
      <c r="N278" s="38"/>
      <c r="O278" s="38"/>
      <c r="P278" s="38"/>
      <c r="Q278" s="38"/>
      <c r="R278" s="38"/>
      <c r="S278" s="38"/>
      <c r="T278" s="38"/>
      <c r="U278" s="38"/>
      <c r="V278" s="38"/>
      <c r="W278" s="38"/>
      <c r="X278" s="38"/>
      <c r="Y278" s="38"/>
      <c r="Z278" s="38"/>
    </row>
    <row r="279" spans="1:26">
      <c r="A279" s="57"/>
      <c r="B279" s="50">
        <v>2</v>
      </c>
      <c r="C279" s="50" t="s">
        <v>56</v>
      </c>
      <c r="D279" s="55">
        <v>0.01</v>
      </c>
      <c r="E279" s="56"/>
      <c r="F279" s="38"/>
      <c r="G279" s="38"/>
      <c r="H279" s="38"/>
      <c r="I279" s="38"/>
      <c r="J279" s="38"/>
      <c r="K279" s="38"/>
      <c r="L279" s="38"/>
      <c r="M279" s="38"/>
      <c r="N279" s="38"/>
      <c r="O279" s="38"/>
      <c r="P279" s="38"/>
      <c r="Q279" s="38"/>
      <c r="R279" s="38"/>
      <c r="S279" s="38"/>
      <c r="T279" s="38"/>
      <c r="U279" s="38"/>
      <c r="V279" s="38"/>
      <c r="W279" s="38"/>
      <c r="X279" s="38"/>
      <c r="Y279" s="38"/>
      <c r="Z279" s="38"/>
    </row>
    <row r="280" spans="1:26">
      <c r="A280" s="57"/>
      <c r="B280" s="57"/>
      <c r="C280" s="58" t="s">
        <v>63</v>
      </c>
      <c r="D280" s="59">
        <v>0.03</v>
      </c>
      <c r="E280" s="60"/>
      <c r="F280" s="38"/>
      <c r="G280" s="38"/>
      <c r="H280" s="38"/>
      <c r="I280" s="38"/>
      <c r="J280" s="38"/>
      <c r="K280" s="38"/>
      <c r="L280" s="38"/>
      <c r="M280" s="38"/>
      <c r="N280" s="38"/>
      <c r="O280" s="38"/>
      <c r="P280" s="38"/>
      <c r="Q280" s="38"/>
      <c r="R280" s="38"/>
      <c r="S280" s="38"/>
      <c r="T280" s="38"/>
      <c r="U280" s="38"/>
      <c r="V280" s="38"/>
      <c r="W280" s="38"/>
      <c r="X280" s="38"/>
      <c r="Y280" s="38"/>
      <c r="Z280" s="38"/>
    </row>
    <row r="281" spans="1:26">
      <c r="A281" s="57"/>
      <c r="B281" s="57"/>
      <c r="C281" s="58" t="s">
        <v>110</v>
      </c>
      <c r="D281" s="59">
        <v>0.01</v>
      </c>
      <c r="E281" s="60"/>
      <c r="F281" s="38"/>
      <c r="G281" s="38"/>
      <c r="H281" s="38"/>
      <c r="I281" s="38"/>
      <c r="J281" s="38"/>
      <c r="K281" s="38"/>
      <c r="L281" s="38"/>
      <c r="M281" s="38"/>
      <c r="N281" s="38"/>
      <c r="O281" s="38"/>
      <c r="P281" s="38"/>
      <c r="Q281" s="38"/>
      <c r="R281" s="38"/>
      <c r="S281" s="38"/>
      <c r="T281" s="38"/>
      <c r="U281" s="38"/>
      <c r="V281" s="38"/>
      <c r="W281" s="38"/>
      <c r="X281" s="38"/>
      <c r="Y281" s="38"/>
      <c r="Z281" s="38"/>
    </row>
    <row r="282" spans="1:26">
      <c r="A282" s="57"/>
      <c r="B282" s="57"/>
      <c r="C282" s="58" t="s">
        <v>112</v>
      </c>
      <c r="D282" s="59">
        <v>0.05</v>
      </c>
      <c r="E282" s="60"/>
      <c r="F282" s="38"/>
      <c r="G282" s="38"/>
      <c r="H282" s="38"/>
      <c r="I282" s="38"/>
      <c r="J282" s="38"/>
      <c r="K282" s="38"/>
      <c r="L282" s="38"/>
      <c r="M282" s="38"/>
      <c r="N282" s="38"/>
      <c r="O282" s="38"/>
      <c r="P282" s="38"/>
      <c r="Q282" s="38"/>
      <c r="R282" s="38"/>
      <c r="S282" s="38"/>
      <c r="T282" s="38"/>
      <c r="U282" s="38"/>
      <c r="V282" s="38"/>
      <c r="W282" s="38"/>
      <c r="X282" s="38"/>
      <c r="Y282" s="38"/>
      <c r="Z282" s="38"/>
    </row>
    <row r="283" spans="1:26">
      <c r="A283" s="57"/>
      <c r="B283" s="50">
        <v>3</v>
      </c>
      <c r="C283" s="50" t="s">
        <v>68</v>
      </c>
      <c r="D283" s="55">
        <v>7.4999999999999997E-2</v>
      </c>
      <c r="E283" s="56"/>
      <c r="F283" s="38"/>
      <c r="G283" s="38"/>
      <c r="H283" s="38"/>
      <c r="I283" s="38"/>
      <c r="J283" s="38"/>
      <c r="K283" s="38"/>
      <c r="L283" s="38"/>
      <c r="M283" s="38"/>
      <c r="N283" s="38"/>
      <c r="O283" s="38"/>
      <c r="P283" s="38"/>
      <c r="Q283" s="38"/>
      <c r="R283" s="38"/>
      <c r="S283" s="38"/>
      <c r="T283" s="38"/>
      <c r="U283" s="38"/>
      <c r="V283" s="38"/>
      <c r="W283" s="38"/>
      <c r="X283" s="38"/>
      <c r="Y283" s="38"/>
      <c r="Z283" s="38"/>
    </row>
    <row r="284" spans="1:26">
      <c r="A284" s="57"/>
      <c r="B284" s="57"/>
      <c r="C284" s="58" t="s">
        <v>73</v>
      </c>
      <c r="D284" s="59">
        <v>7.4999999999999997E-2</v>
      </c>
      <c r="E284" s="60"/>
      <c r="F284" s="38"/>
      <c r="G284" s="38"/>
      <c r="H284" s="38"/>
      <c r="I284" s="38"/>
      <c r="J284" s="38"/>
      <c r="K284" s="38"/>
      <c r="L284" s="38"/>
      <c r="M284" s="38"/>
      <c r="N284" s="38"/>
      <c r="O284" s="38"/>
      <c r="P284" s="38"/>
      <c r="Q284" s="38"/>
      <c r="R284" s="38"/>
      <c r="S284" s="38"/>
      <c r="T284" s="38"/>
      <c r="U284" s="38"/>
      <c r="V284" s="38"/>
      <c r="W284" s="38"/>
      <c r="X284" s="38"/>
      <c r="Y284" s="38"/>
      <c r="Z284" s="38"/>
    </row>
    <row r="285" spans="1:26">
      <c r="A285" s="57"/>
      <c r="B285" s="57"/>
      <c r="C285" s="58" t="s">
        <v>75</v>
      </c>
      <c r="D285" s="59">
        <v>7.4999999999999997E-2</v>
      </c>
      <c r="E285" s="60"/>
      <c r="F285" s="38"/>
      <c r="G285" s="38"/>
      <c r="H285" s="38"/>
      <c r="I285" s="38"/>
      <c r="J285" s="38"/>
      <c r="K285" s="38"/>
      <c r="L285" s="38"/>
      <c r="M285" s="38"/>
      <c r="N285" s="38"/>
      <c r="O285" s="38"/>
      <c r="P285" s="38"/>
      <c r="Q285" s="38"/>
      <c r="R285" s="38"/>
      <c r="S285" s="38"/>
      <c r="T285" s="38"/>
      <c r="U285" s="38"/>
      <c r="V285" s="38"/>
      <c r="W285" s="38"/>
      <c r="X285" s="38"/>
      <c r="Y285" s="38"/>
      <c r="Z285" s="38"/>
    </row>
    <row r="286" spans="1:26">
      <c r="A286" s="57"/>
      <c r="B286" s="57"/>
      <c r="C286" s="58" t="s">
        <v>287</v>
      </c>
      <c r="D286" s="59">
        <v>7.4999999999999997E-2</v>
      </c>
      <c r="E286" s="60"/>
      <c r="F286" s="38"/>
      <c r="G286" s="38"/>
      <c r="H286" s="38"/>
      <c r="I286" s="38"/>
      <c r="J286" s="38"/>
      <c r="K286" s="38"/>
      <c r="L286" s="38"/>
      <c r="M286" s="38"/>
      <c r="N286" s="38"/>
      <c r="O286" s="38"/>
      <c r="P286" s="38"/>
      <c r="Q286" s="38"/>
      <c r="R286" s="38"/>
      <c r="S286" s="38"/>
      <c r="T286" s="38"/>
      <c r="U286" s="38"/>
      <c r="V286" s="38"/>
      <c r="W286" s="38"/>
      <c r="X286" s="38"/>
      <c r="Y286" s="38"/>
      <c r="Z286" s="38"/>
    </row>
    <row r="287" spans="1:26">
      <c r="A287" s="57"/>
      <c r="B287" s="50">
        <v>4</v>
      </c>
      <c r="C287" s="50" t="s">
        <v>79</v>
      </c>
      <c r="D287" s="55">
        <v>0.01</v>
      </c>
      <c r="E287" s="56"/>
      <c r="F287" s="38"/>
      <c r="G287" s="38"/>
      <c r="H287" s="38"/>
      <c r="I287" s="38"/>
      <c r="J287" s="38"/>
      <c r="K287" s="38"/>
      <c r="L287" s="38"/>
      <c r="M287" s="38"/>
      <c r="N287" s="38"/>
      <c r="O287" s="38"/>
      <c r="P287" s="38"/>
      <c r="Q287" s="38"/>
      <c r="R287" s="38"/>
      <c r="S287" s="38"/>
      <c r="T287" s="38"/>
      <c r="U287" s="38"/>
      <c r="V287" s="38"/>
      <c r="W287" s="38"/>
      <c r="X287" s="38"/>
      <c r="Y287" s="38"/>
      <c r="Z287" s="38"/>
    </row>
    <row r="288" spans="1:26">
      <c r="A288" s="57"/>
      <c r="B288" s="57"/>
      <c r="C288" s="58" t="s">
        <v>989</v>
      </c>
      <c r="D288" s="59">
        <v>2.5000000000000001E-3</v>
      </c>
      <c r="E288" s="60"/>
      <c r="F288" s="38"/>
      <c r="G288" s="38"/>
      <c r="H288" s="38"/>
      <c r="I288" s="38"/>
      <c r="J288" s="38"/>
      <c r="K288" s="38"/>
      <c r="L288" s="38"/>
      <c r="M288" s="38"/>
      <c r="N288" s="38"/>
      <c r="O288" s="38"/>
      <c r="P288" s="38"/>
      <c r="Q288" s="38"/>
      <c r="R288" s="38"/>
      <c r="S288" s="38"/>
      <c r="T288" s="38"/>
      <c r="U288" s="38"/>
      <c r="V288" s="38"/>
      <c r="W288" s="38"/>
      <c r="X288" s="38"/>
      <c r="Y288" s="38"/>
      <c r="Z288" s="38"/>
    </row>
    <row r="289" spans="1:26">
      <c r="A289" s="57"/>
      <c r="B289" s="57"/>
      <c r="C289" s="58" t="s">
        <v>991</v>
      </c>
      <c r="D289" s="59">
        <v>0.01</v>
      </c>
      <c r="E289" s="60"/>
      <c r="F289" s="38"/>
      <c r="G289" s="38"/>
      <c r="H289" s="38"/>
      <c r="I289" s="38"/>
      <c r="J289" s="38"/>
      <c r="K289" s="38"/>
      <c r="L289" s="38"/>
      <c r="M289" s="38"/>
      <c r="N289" s="38"/>
      <c r="O289" s="38"/>
      <c r="P289" s="38"/>
      <c r="Q289" s="38"/>
      <c r="R289" s="38"/>
      <c r="S289" s="38"/>
      <c r="T289" s="38"/>
      <c r="U289" s="38"/>
      <c r="V289" s="38"/>
      <c r="W289" s="38"/>
      <c r="X289" s="38"/>
      <c r="Y289" s="38"/>
      <c r="Z289" s="38"/>
    </row>
    <row r="290" spans="1:26">
      <c r="A290" s="57"/>
      <c r="B290" s="57"/>
      <c r="C290" s="58" t="s">
        <v>993</v>
      </c>
      <c r="D290" s="59">
        <v>0.01</v>
      </c>
      <c r="E290" s="60"/>
      <c r="F290" s="38"/>
      <c r="G290" s="38"/>
      <c r="H290" s="38"/>
      <c r="I290" s="38"/>
      <c r="J290" s="38"/>
      <c r="K290" s="38"/>
      <c r="L290" s="38"/>
      <c r="M290" s="38"/>
      <c r="N290" s="38"/>
      <c r="O290" s="38"/>
      <c r="P290" s="38"/>
      <c r="Q290" s="38"/>
      <c r="R290" s="38"/>
      <c r="S290" s="38"/>
      <c r="T290" s="38"/>
      <c r="U290" s="38"/>
      <c r="V290" s="38"/>
      <c r="W290" s="38"/>
      <c r="X290" s="38"/>
      <c r="Y290" s="38"/>
      <c r="Z290" s="38"/>
    </row>
    <row r="291" spans="1:26">
      <c r="A291" s="57"/>
      <c r="B291" s="57"/>
      <c r="C291" s="58" t="s">
        <v>995</v>
      </c>
      <c r="D291" s="59">
        <v>1.4999999999999999E-2</v>
      </c>
      <c r="E291" s="60"/>
      <c r="F291" s="38"/>
      <c r="G291" s="38"/>
      <c r="H291" s="38"/>
      <c r="I291" s="38"/>
      <c r="J291" s="38"/>
      <c r="K291" s="38"/>
      <c r="L291" s="38"/>
      <c r="M291" s="38"/>
      <c r="N291" s="38"/>
      <c r="O291" s="38"/>
      <c r="P291" s="38"/>
      <c r="Q291" s="38"/>
      <c r="R291" s="38"/>
      <c r="S291" s="38"/>
      <c r="T291" s="38"/>
      <c r="U291" s="38"/>
      <c r="V291" s="38"/>
      <c r="W291" s="38"/>
      <c r="X291" s="38"/>
      <c r="Y291" s="38"/>
      <c r="Z291" s="38"/>
    </row>
    <row r="292" spans="1:26">
      <c r="A292" s="57"/>
      <c r="B292" s="57"/>
      <c r="C292" s="58" t="s">
        <v>997</v>
      </c>
      <c r="D292" s="59">
        <v>2.5000000000000001E-2</v>
      </c>
      <c r="E292" s="60"/>
      <c r="F292" s="38"/>
      <c r="G292" s="38"/>
      <c r="H292" s="38"/>
      <c r="I292" s="38"/>
      <c r="J292" s="38"/>
      <c r="K292" s="38"/>
      <c r="L292" s="38"/>
      <c r="M292" s="38"/>
      <c r="N292" s="38"/>
      <c r="O292" s="38"/>
      <c r="P292" s="38"/>
      <c r="Q292" s="38"/>
      <c r="R292" s="38"/>
      <c r="S292" s="38"/>
      <c r="T292" s="38"/>
      <c r="U292" s="38"/>
      <c r="V292" s="38"/>
      <c r="W292" s="38"/>
      <c r="X292" s="38"/>
      <c r="Y292" s="38"/>
      <c r="Z292" s="38"/>
    </row>
    <row r="293" spans="1:26">
      <c r="A293" s="57"/>
      <c r="B293" s="57"/>
      <c r="C293" s="58" t="s">
        <v>999</v>
      </c>
      <c r="D293" s="59">
        <v>2.5000000000000001E-3</v>
      </c>
      <c r="E293" s="60"/>
      <c r="F293" s="38"/>
      <c r="G293" s="38"/>
      <c r="H293" s="38"/>
      <c r="I293" s="38"/>
      <c r="J293" s="38"/>
      <c r="K293" s="38"/>
      <c r="L293" s="38"/>
      <c r="M293" s="38"/>
      <c r="N293" s="38"/>
      <c r="O293" s="38"/>
      <c r="P293" s="38"/>
      <c r="Q293" s="38"/>
      <c r="R293" s="38"/>
      <c r="S293" s="38"/>
      <c r="T293" s="38"/>
      <c r="U293" s="38"/>
      <c r="V293" s="38"/>
      <c r="W293" s="38"/>
      <c r="X293" s="38"/>
      <c r="Y293" s="38"/>
      <c r="Z293" s="38"/>
    </row>
    <row r="294" spans="1:26">
      <c r="A294" s="57"/>
      <c r="B294" s="57"/>
      <c r="C294" s="58" t="s">
        <v>1001</v>
      </c>
      <c r="D294" s="59">
        <v>0.01</v>
      </c>
      <c r="E294" s="60"/>
      <c r="F294" s="38"/>
      <c r="G294" s="38"/>
      <c r="H294" s="38"/>
      <c r="I294" s="38"/>
      <c r="J294" s="38"/>
      <c r="K294" s="38"/>
      <c r="L294" s="38"/>
      <c r="M294" s="38"/>
      <c r="N294" s="38"/>
      <c r="O294" s="38"/>
      <c r="P294" s="38"/>
      <c r="Q294" s="38"/>
      <c r="R294" s="38"/>
      <c r="S294" s="38"/>
      <c r="T294" s="38"/>
      <c r="U294" s="38"/>
      <c r="V294" s="38"/>
      <c r="W294" s="38"/>
      <c r="X294" s="38"/>
      <c r="Y294" s="38"/>
      <c r="Z294" s="38"/>
    </row>
    <row r="295" spans="1:26">
      <c r="A295" s="57"/>
      <c r="B295" s="57"/>
      <c r="C295" s="58" t="s">
        <v>1003</v>
      </c>
      <c r="D295" s="59">
        <v>0.01</v>
      </c>
      <c r="E295" s="60"/>
      <c r="F295" s="38"/>
      <c r="G295" s="38"/>
      <c r="H295" s="38"/>
      <c r="I295" s="38"/>
      <c r="J295" s="38"/>
      <c r="K295" s="38"/>
      <c r="L295" s="38"/>
      <c r="M295" s="38"/>
      <c r="N295" s="38"/>
      <c r="O295" s="38"/>
      <c r="P295" s="38"/>
      <c r="Q295" s="38"/>
      <c r="R295" s="38"/>
      <c r="S295" s="38"/>
      <c r="T295" s="38"/>
      <c r="U295" s="38"/>
      <c r="V295" s="38"/>
      <c r="W295" s="38"/>
      <c r="X295" s="38"/>
      <c r="Y295" s="38"/>
      <c r="Z295" s="38"/>
    </row>
    <row r="296" spans="1:26">
      <c r="A296" s="57"/>
      <c r="B296" s="57"/>
      <c r="C296" s="58" t="s">
        <v>1005</v>
      </c>
      <c r="D296" s="59">
        <v>1.4999999999999999E-2</v>
      </c>
      <c r="E296" s="60"/>
      <c r="F296" s="38"/>
      <c r="G296" s="38"/>
      <c r="H296" s="38"/>
      <c r="I296" s="38"/>
      <c r="J296" s="38"/>
      <c r="K296" s="38"/>
      <c r="L296" s="38"/>
      <c r="M296" s="38"/>
      <c r="N296" s="38"/>
      <c r="O296" s="38"/>
      <c r="P296" s="38"/>
      <c r="Q296" s="38"/>
      <c r="R296" s="38"/>
      <c r="S296" s="38"/>
      <c r="T296" s="38"/>
      <c r="U296" s="38"/>
      <c r="V296" s="38"/>
      <c r="W296" s="38"/>
      <c r="X296" s="38"/>
      <c r="Y296" s="38"/>
      <c r="Z296" s="38"/>
    </row>
    <row r="297" spans="1:26">
      <c r="A297" s="57"/>
      <c r="B297" s="57"/>
      <c r="C297" s="58" t="s">
        <v>1007</v>
      </c>
      <c r="D297" s="59">
        <v>2.5000000000000001E-2</v>
      </c>
      <c r="E297" s="60"/>
      <c r="F297" s="38"/>
      <c r="G297" s="38"/>
      <c r="H297" s="38"/>
      <c r="I297" s="38"/>
      <c r="J297" s="38"/>
      <c r="K297" s="38"/>
      <c r="L297" s="38"/>
      <c r="M297" s="38"/>
      <c r="N297" s="38"/>
      <c r="O297" s="38"/>
      <c r="P297" s="38"/>
      <c r="Q297" s="38"/>
      <c r="R297" s="38"/>
      <c r="S297" s="38"/>
      <c r="T297" s="38"/>
      <c r="U297" s="38"/>
      <c r="V297" s="38"/>
      <c r="W297" s="38"/>
      <c r="X297" s="38"/>
      <c r="Y297" s="38"/>
      <c r="Z297" s="38"/>
    </row>
    <row r="298" spans="1:26">
      <c r="A298" s="57"/>
      <c r="B298" s="57"/>
      <c r="C298" s="58" t="s">
        <v>83</v>
      </c>
      <c r="D298" s="59">
        <v>0.01</v>
      </c>
      <c r="E298" s="60"/>
      <c r="F298" s="38"/>
      <c r="G298" s="38"/>
      <c r="H298" s="38"/>
      <c r="I298" s="38"/>
      <c r="J298" s="38"/>
      <c r="K298" s="38"/>
      <c r="L298" s="38"/>
      <c r="M298" s="38"/>
      <c r="N298" s="38"/>
      <c r="O298" s="38"/>
      <c r="P298" s="38"/>
      <c r="Q298" s="38"/>
      <c r="R298" s="38"/>
      <c r="S298" s="38"/>
      <c r="T298" s="38"/>
      <c r="U298" s="38"/>
      <c r="V298" s="38"/>
      <c r="W298" s="38"/>
      <c r="X298" s="38"/>
      <c r="Y298" s="38"/>
      <c r="Z298" s="38"/>
    </row>
    <row r="299" spans="1:26">
      <c r="A299" s="57"/>
      <c r="B299" s="57"/>
      <c r="C299" s="58" t="s">
        <v>1009</v>
      </c>
      <c r="D299" s="59">
        <v>2.5000000000000001E-3</v>
      </c>
      <c r="E299" s="60"/>
      <c r="F299" s="38"/>
      <c r="G299" s="38"/>
      <c r="H299" s="38"/>
      <c r="I299" s="38"/>
      <c r="J299" s="38"/>
      <c r="K299" s="38"/>
      <c r="L299" s="38"/>
      <c r="M299" s="38"/>
      <c r="N299" s="38"/>
      <c r="O299" s="38"/>
      <c r="P299" s="38"/>
      <c r="Q299" s="38"/>
      <c r="R299" s="38"/>
      <c r="S299" s="38"/>
      <c r="T299" s="38"/>
      <c r="U299" s="38"/>
      <c r="V299" s="38"/>
      <c r="W299" s="38"/>
      <c r="X299" s="38"/>
      <c r="Y299" s="38"/>
      <c r="Z299" s="38"/>
    </row>
    <row r="300" spans="1:26">
      <c r="A300" s="57"/>
      <c r="B300" s="57"/>
      <c r="C300" s="58" t="s">
        <v>86</v>
      </c>
      <c r="D300" s="59">
        <v>1.4999999999999999E-2</v>
      </c>
      <c r="E300" s="60"/>
      <c r="F300" s="38"/>
      <c r="G300" s="38"/>
      <c r="H300" s="38"/>
      <c r="I300" s="38"/>
      <c r="J300" s="38"/>
      <c r="K300" s="38"/>
      <c r="L300" s="38"/>
      <c r="M300" s="38"/>
      <c r="N300" s="38"/>
      <c r="O300" s="38"/>
      <c r="P300" s="38"/>
      <c r="Q300" s="38"/>
      <c r="R300" s="38"/>
      <c r="S300" s="38"/>
      <c r="T300" s="38"/>
      <c r="U300" s="38"/>
      <c r="V300" s="38"/>
      <c r="W300" s="38"/>
      <c r="X300" s="38"/>
      <c r="Y300" s="38"/>
      <c r="Z300" s="38"/>
    </row>
    <row r="301" spans="1:26">
      <c r="A301" s="57"/>
      <c r="B301" s="57"/>
      <c r="C301" s="58" t="s">
        <v>89</v>
      </c>
      <c r="D301" s="59">
        <v>2.5000000000000001E-2</v>
      </c>
      <c r="E301" s="60"/>
      <c r="F301" s="38"/>
      <c r="G301" s="38"/>
      <c r="H301" s="38"/>
      <c r="I301" s="38"/>
      <c r="J301" s="38"/>
      <c r="K301" s="38"/>
      <c r="L301" s="38"/>
      <c r="M301" s="38"/>
      <c r="N301" s="38"/>
      <c r="O301" s="38"/>
      <c r="P301" s="38"/>
      <c r="Q301" s="38"/>
      <c r="R301" s="38"/>
      <c r="S301" s="38"/>
      <c r="T301" s="38"/>
      <c r="U301" s="38"/>
      <c r="V301" s="38"/>
      <c r="W301" s="38"/>
      <c r="X301" s="38"/>
      <c r="Y301" s="38"/>
      <c r="Z301" s="38"/>
    </row>
    <row r="302" spans="1:26">
      <c r="A302" s="57"/>
      <c r="B302" s="57"/>
      <c r="C302" s="58" t="s">
        <v>321</v>
      </c>
      <c r="D302" s="59">
        <v>2.5000000000000001E-3</v>
      </c>
      <c r="E302" s="60"/>
      <c r="F302" s="38"/>
      <c r="G302" s="38"/>
      <c r="H302" s="38"/>
      <c r="I302" s="38"/>
      <c r="J302" s="38"/>
      <c r="K302" s="38"/>
      <c r="L302" s="38"/>
      <c r="M302" s="38"/>
      <c r="N302" s="38"/>
      <c r="O302" s="38"/>
      <c r="P302" s="38"/>
      <c r="Q302" s="38"/>
      <c r="R302" s="38"/>
      <c r="S302" s="38"/>
      <c r="T302" s="38"/>
      <c r="U302" s="38"/>
      <c r="V302" s="38"/>
      <c r="W302" s="38"/>
      <c r="X302" s="38"/>
      <c r="Y302" s="38"/>
      <c r="Z302" s="38"/>
    </row>
    <row r="303" spans="1:26">
      <c r="A303" s="57"/>
      <c r="B303" s="57"/>
      <c r="C303" s="58" t="s">
        <v>324</v>
      </c>
      <c r="D303" s="59">
        <v>0.01</v>
      </c>
      <c r="E303" s="60"/>
      <c r="F303" s="38"/>
      <c r="G303" s="38"/>
      <c r="H303" s="38"/>
      <c r="I303" s="38"/>
      <c r="J303" s="38"/>
      <c r="K303" s="38"/>
      <c r="L303" s="38"/>
      <c r="M303" s="38"/>
      <c r="N303" s="38"/>
      <c r="O303" s="38"/>
      <c r="P303" s="38"/>
      <c r="Q303" s="38"/>
      <c r="R303" s="38"/>
      <c r="S303" s="38"/>
      <c r="T303" s="38"/>
      <c r="U303" s="38"/>
      <c r="V303" s="38"/>
      <c r="W303" s="38"/>
      <c r="X303" s="38"/>
      <c r="Y303" s="38"/>
      <c r="Z303" s="38"/>
    </row>
    <row r="304" spans="1:26">
      <c r="A304" s="57"/>
      <c r="B304" s="57"/>
      <c r="C304" s="58" t="s">
        <v>551</v>
      </c>
      <c r="D304" s="59">
        <v>0.01</v>
      </c>
      <c r="E304" s="60"/>
      <c r="F304" s="38"/>
      <c r="G304" s="38"/>
      <c r="H304" s="38"/>
      <c r="I304" s="38"/>
      <c r="J304" s="38"/>
      <c r="K304" s="38"/>
      <c r="L304" s="38"/>
      <c r="M304" s="38"/>
      <c r="N304" s="38"/>
      <c r="O304" s="38"/>
      <c r="P304" s="38"/>
      <c r="Q304" s="38"/>
      <c r="R304" s="38"/>
      <c r="S304" s="38"/>
      <c r="T304" s="38"/>
      <c r="U304" s="38"/>
      <c r="V304" s="38"/>
      <c r="W304" s="38"/>
      <c r="X304" s="38"/>
      <c r="Y304" s="38"/>
      <c r="Z304" s="38"/>
    </row>
    <row r="305" spans="1:26">
      <c r="A305" s="57"/>
      <c r="B305" s="57"/>
      <c r="C305" s="58" t="s">
        <v>985</v>
      </c>
      <c r="D305" s="59">
        <v>1.4999999999999999E-2</v>
      </c>
      <c r="E305" s="60"/>
      <c r="F305" s="38"/>
      <c r="G305" s="38"/>
      <c r="H305" s="38"/>
      <c r="I305" s="38"/>
      <c r="J305" s="38"/>
      <c r="K305" s="38"/>
      <c r="L305" s="38"/>
      <c r="M305" s="38"/>
      <c r="N305" s="38"/>
      <c r="O305" s="38"/>
      <c r="P305" s="38"/>
      <c r="Q305" s="38"/>
      <c r="R305" s="38"/>
      <c r="S305" s="38"/>
      <c r="T305" s="38"/>
      <c r="U305" s="38"/>
      <c r="V305" s="38"/>
      <c r="W305" s="38"/>
      <c r="X305" s="38"/>
      <c r="Y305" s="38"/>
      <c r="Z305" s="38"/>
    </row>
    <row r="306" spans="1:26">
      <c r="A306" s="57"/>
      <c r="B306" s="57"/>
      <c r="C306" s="58" t="s">
        <v>987</v>
      </c>
      <c r="D306" s="59">
        <v>2.5000000000000001E-2</v>
      </c>
      <c r="E306" s="60"/>
      <c r="F306" s="38"/>
      <c r="G306" s="38"/>
      <c r="H306" s="38"/>
      <c r="I306" s="38"/>
      <c r="J306" s="38"/>
      <c r="K306" s="38"/>
      <c r="L306" s="38"/>
      <c r="M306" s="38"/>
      <c r="N306" s="38"/>
      <c r="O306" s="38"/>
      <c r="P306" s="38"/>
      <c r="Q306" s="38"/>
      <c r="R306" s="38"/>
      <c r="S306" s="38"/>
      <c r="T306" s="38"/>
      <c r="U306" s="38"/>
      <c r="V306" s="38"/>
      <c r="W306" s="38"/>
      <c r="X306" s="38"/>
      <c r="Y306" s="38"/>
      <c r="Z306" s="38"/>
    </row>
    <row r="307" spans="1:26">
      <c r="A307" s="57"/>
      <c r="B307" s="50">
        <v>5</v>
      </c>
      <c r="C307" s="50" t="s">
        <v>469</v>
      </c>
      <c r="D307" s="55">
        <v>3.5000000000000003E-2</v>
      </c>
      <c r="E307" s="56"/>
      <c r="F307" s="38"/>
      <c r="G307" s="38"/>
      <c r="H307" s="38"/>
      <c r="I307" s="38"/>
      <c r="J307" s="38"/>
      <c r="K307" s="38"/>
      <c r="L307" s="38"/>
      <c r="M307" s="38"/>
      <c r="N307" s="38"/>
      <c r="O307" s="38"/>
      <c r="P307" s="38"/>
      <c r="Q307" s="38"/>
      <c r="R307" s="38"/>
      <c r="S307" s="38"/>
      <c r="T307" s="38"/>
      <c r="U307" s="38"/>
      <c r="V307" s="38"/>
      <c r="W307" s="38"/>
      <c r="X307" s="38"/>
      <c r="Y307" s="38"/>
      <c r="Z307" s="38"/>
    </row>
    <row r="308" spans="1:26">
      <c r="A308" s="57"/>
      <c r="B308" s="57"/>
      <c r="C308" s="58" t="s">
        <v>476</v>
      </c>
      <c r="D308" s="59">
        <v>1.4999999999999999E-2</v>
      </c>
      <c r="E308" s="60"/>
      <c r="F308" s="38"/>
      <c r="G308" s="38"/>
      <c r="H308" s="38"/>
      <c r="I308" s="38"/>
      <c r="J308" s="38"/>
      <c r="K308" s="38"/>
      <c r="L308" s="38"/>
      <c r="M308" s="38"/>
      <c r="N308" s="38"/>
      <c r="O308" s="38"/>
      <c r="P308" s="38"/>
      <c r="Q308" s="38"/>
      <c r="R308" s="38"/>
      <c r="S308" s="38"/>
      <c r="T308" s="38"/>
      <c r="U308" s="38"/>
      <c r="V308" s="38"/>
      <c r="W308" s="38"/>
      <c r="X308" s="38"/>
      <c r="Y308" s="38"/>
      <c r="Z308" s="38"/>
    </row>
    <row r="309" spans="1:26">
      <c r="A309" s="57"/>
      <c r="B309" s="57"/>
      <c r="C309" s="58" t="s">
        <v>482</v>
      </c>
      <c r="D309" s="59">
        <v>3.5000000000000003E-2</v>
      </c>
      <c r="E309" s="60"/>
      <c r="F309" s="38"/>
      <c r="G309" s="38"/>
      <c r="H309" s="38"/>
      <c r="I309" s="38"/>
      <c r="J309" s="38"/>
      <c r="K309" s="38"/>
      <c r="L309" s="38"/>
      <c r="M309" s="38"/>
      <c r="N309" s="38"/>
      <c r="O309" s="38"/>
      <c r="P309" s="38"/>
      <c r="Q309" s="38"/>
      <c r="R309" s="38"/>
      <c r="S309" s="38"/>
      <c r="T309" s="38"/>
      <c r="U309" s="38"/>
      <c r="V309" s="38"/>
      <c r="W309" s="38"/>
      <c r="X309" s="38"/>
      <c r="Y309" s="38"/>
      <c r="Z309" s="38"/>
    </row>
    <row r="310" spans="1:26">
      <c r="A310" s="57"/>
      <c r="B310" s="57"/>
      <c r="C310" s="58" t="s">
        <v>888</v>
      </c>
      <c r="D310" s="59">
        <v>1.4999999999999999E-2</v>
      </c>
      <c r="E310" s="60"/>
      <c r="F310" s="38"/>
      <c r="G310" s="38"/>
      <c r="H310" s="38"/>
      <c r="I310" s="38"/>
      <c r="J310" s="38"/>
      <c r="K310" s="38"/>
      <c r="L310" s="38"/>
      <c r="M310" s="38"/>
      <c r="N310" s="38"/>
      <c r="O310" s="38"/>
      <c r="P310" s="38"/>
      <c r="Q310" s="38"/>
      <c r="R310" s="38"/>
      <c r="S310" s="38"/>
      <c r="T310" s="38"/>
      <c r="U310" s="38"/>
      <c r="V310" s="38"/>
      <c r="W310" s="38"/>
      <c r="X310" s="38"/>
      <c r="Y310" s="38"/>
      <c r="Z310" s="38"/>
    </row>
    <row r="311" spans="1:26">
      <c r="A311" s="57"/>
      <c r="B311" s="57"/>
      <c r="C311" s="58" t="s">
        <v>399</v>
      </c>
      <c r="D311" s="59">
        <v>3.5000000000000003E-2</v>
      </c>
      <c r="E311" s="60"/>
      <c r="F311" s="38"/>
      <c r="G311" s="38"/>
      <c r="H311" s="38"/>
      <c r="I311" s="38"/>
      <c r="J311" s="38"/>
      <c r="K311" s="38"/>
      <c r="L311" s="38"/>
      <c r="M311" s="38"/>
      <c r="N311" s="38"/>
      <c r="O311" s="38"/>
      <c r="P311" s="38"/>
      <c r="Q311" s="38"/>
      <c r="R311" s="38"/>
      <c r="S311" s="38"/>
      <c r="T311" s="38"/>
      <c r="U311" s="38"/>
      <c r="V311" s="38"/>
      <c r="W311" s="38"/>
      <c r="X311" s="38"/>
      <c r="Y311" s="38"/>
      <c r="Z311" s="38"/>
    </row>
    <row r="312" spans="1:26">
      <c r="A312" s="57"/>
      <c r="B312" s="57"/>
      <c r="C312" s="58" t="s">
        <v>405</v>
      </c>
      <c r="D312" s="59">
        <v>1.4999999999999999E-2</v>
      </c>
      <c r="E312" s="60"/>
      <c r="F312" s="38"/>
      <c r="G312" s="38"/>
      <c r="H312" s="38"/>
      <c r="I312" s="38"/>
      <c r="J312" s="38"/>
      <c r="K312" s="38"/>
      <c r="L312" s="38"/>
      <c r="M312" s="38"/>
      <c r="N312" s="38"/>
      <c r="O312" s="38"/>
      <c r="P312" s="38"/>
      <c r="Q312" s="38"/>
      <c r="R312" s="38"/>
      <c r="S312" s="38"/>
      <c r="T312" s="38"/>
      <c r="U312" s="38"/>
      <c r="V312" s="38"/>
      <c r="W312" s="38"/>
      <c r="X312" s="38"/>
      <c r="Y312" s="38"/>
      <c r="Z312" s="38"/>
    </row>
    <row r="313" spans="1:26">
      <c r="A313" s="57"/>
      <c r="B313" s="57"/>
      <c r="C313" s="58" t="s">
        <v>410</v>
      </c>
      <c r="D313" s="59">
        <v>3.5000000000000003E-2</v>
      </c>
      <c r="E313" s="60"/>
      <c r="F313" s="38"/>
      <c r="G313" s="38"/>
      <c r="H313" s="38"/>
      <c r="I313" s="38"/>
      <c r="J313" s="38"/>
      <c r="K313" s="38"/>
      <c r="L313" s="38"/>
      <c r="M313" s="38"/>
      <c r="N313" s="38"/>
      <c r="O313" s="38"/>
      <c r="P313" s="38"/>
      <c r="Q313" s="38"/>
      <c r="R313" s="38"/>
      <c r="S313" s="38"/>
      <c r="T313" s="38"/>
      <c r="U313" s="38"/>
      <c r="V313" s="38"/>
      <c r="W313" s="38"/>
      <c r="X313" s="38"/>
      <c r="Y313" s="38"/>
      <c r="Z313" s="38"/>
    </row>
    <row r="314" spans="1:26">
      <c r="A314" s="57"/>
      <c r="B314" s="57"/>
      <c r="C314" s="58" t="s">
        <v>1023</v>
      </c>
      <c r="D314" s="59">
        <v>1.4999999999999999E-2</v>
      </c>
      <c r="E314" s="60"/>
      <c r="F314" s="38"/>
      <c r="G314" s="38"/>
      <c r="H314" s="38"/>
      <c r="I314" s="38"/>
      <c r="J314" s="38"/>
      <c r="K314" s="38"/>
      <c r="L314" s="38"/>
      <c r="M314" s="38"/>
      <c r="N314" s="38"/>
      <c r="O314" s="38"/>
      <c r="P314" s="38"/>
      <c r="Q314" s="38"/>
      <c r="R314" s="38"/>
      <c r="S314" s="38"/>
      <c r="T314" s="38"/>
      <c r="U314" s="38"/>
      <c r="V314" s="38"/>
      <c r="W314" s="38"/>
      <c r="X314" s="38"/>
      <c r="Y314" s="38"/>
      <c r="Z314" s="38"/>
    </row>
    <row r="315" spans="1:26">
      <c r="A315" s="50" t="s">
        <v>1258</v>
      </c>
      <c r="B315" s="51"/>
      <c r="C315" s="51"/>
      <c r="D315" s="55">
        <v>1.0000000000000002</v>
      </c>
      <c r="E315" s="56"/>
      <c r="F315" s="38"/>
      <c r="G315" s="38"/>
      <c r="H315" s="38"/>
      <c r="I315" s="38"/>
      <c r="J315" s="38"/>
      <c r="K315" s="38"/>
      <c r="L315" s="38"/>
      <c r="M315" s="38"/>
      <c r="N315" s="38"/>
      <c r="O315" s="38"/>
      <c r="P315" s="38"/>
      <c r="Q315" s="38"/>
      <c r="R315" s="38"/>
      <c r="S315" s="38"/>
      <c r="T315" s="38"/>
      <c r="U315" s="38"/>
      <c r="V315" s="38"/>
      <c r="W315" s="38"/>
      <c r="X315" s="38"/>
      <c r="Y315" s="38"/>
      <c r="Z315" s="38"/>
    </row>
    <row r="316" spans="1:26">
      <c r="A316" s="50" t="s">
        <v>1062</v>
      </c>
      <c r="B316" s="50">
        <v>1</v>
      </c>
      <c r="C316" s="50" t="s">
        <v>34</v>
      </c>
      <c r="D316" s="55">
        <v>0.06</v>
      </c>
      <c r="E316" s="56"/>
      <c r="F316" s="38"/>
      <c r="G316" s="38"/>
      <c r="H316" s="38"/>
      <c r="I316" s="38"/>
      <c r="J316" s="38"/>
      <c r="K316" s="38"/>
      <c r="L316" s="38"/>
      <c r="M316" s="38"/>
      <c r="N316" s="38"/>
      <c r="O316" s="38"/>
      <c r="P316" s="38"/>
      <c r="Q316" s="38"/>
      <c r="R316" s="38"/>
      <c r="S316" s="38"/>
      <c r="T316" s="38"/>
      <c r="U316" s="38"/>
      <c r="V316" s="38"/>
      <c r="W316" s="38"/>
      <c r="X316" s="38"/>
      <c r="Y316" s="38"/>
      <c r="Z316" s="38"/>
    </row>
    <row r="317" spans="1:26">
      <c r="A317" s="57"/>
      <c r="B317" s="57"/>
      <c r="C317" s="58" t="s">
        <v>47</v>
      </c>
      <c r="D317" s="59">
        <v>0.15</v>
      </c>
      <c r="E317" s="60"/>
      <c r="F317" s="38"/>
      <c r="G317" s="38"/>
      <c r="H317" s="38"/>
      <c r="I317" s="38"/>
      <c r="J317" s="38"/>
      <c r="K317" s="38"/>
      <c r="L317" s="38"/>
      <c r="M317" s="38"/>
      <c r="N317" s="38"/>
      <c r="O317" s="38"/>
      <c r="P317" s="38"/>
      <c r="Q317" s="38"/>
      <c r="R317" s="38"/>
      <c r="S317" s="38"/>
      <c r="T317" s="38"/>
      <c r="U317" s="38"/>
      <c r="V317" s="38"/>
      <c r="W317" s="38"/>
      <c r="X317" s="38"/>
      <c r="Y317" s="38"/>
      <c r="Z317" s="38"/>
    </row>
    <row r="318" spans="1:26">
      <c r="A318" s="57"/>
      <c r="B318" s="57"/>
      <c r="C318" s="58" t="s">
        <v>49</v>
      </c>
      <c r="D318" s="59">
        <v>0.18</v>
      </c>
      <c r="E318" s="60"/>
      <c r="F318" s="38"/>
      <c r="G318" s="38"/>
      <c r="H318" s="38"/>
      <c r="I318" s="38"/>
      <c r="J318" s="38"/>
      <c r="K318" s="38"/>
      <c r="L318" s="38"/>
      <c r="M318" s="38"/>
      <c r="N318" s="38"/>
      <c r="O318" s="38"/>
      <c r="P318" s="38"/>
      <c r="Q318" s="38"/>
      <c r="R318" s="38"/>
      <c r="S318" s="38"/>
      <c r="T318" s="38"/>
      <c r="U318" s="38"/>
      <c r="V318" s="38"/>
      <c r="W318" s="38"/>
      <c r="X318" s="38"/>
      <c r="Y318" s="38"/>
      <c r="Z318" s="38"/>
    </row>
    <row r="319" spans="1:26">
      <c r="A319" s="57"/>
      <c r="B319" s="57"/>
      <c r="C319" s="58" t="s">
        <v>52</v>
      </c>
      <c r="D319" s="59">
        <v>0.21</v>
      </c>
      <c r="E319" s="60"/>
      <c r="F319" s="38"/>
      <c r="G319" s="38"/>
      <c r="H319" s="38"/>
      <c r="I319" s="38"/>
      <c r="J319" s="38"/>
      <c r="K319" s="38"/>
      <c r="L319" s="38"/>
      <c r="M319" s="38"/>
      <c r="N319" s="38"/>
      <c r="O319" s="38"/>
      <c r="P319" s="38"/>
      <c r="Q319" s="38"/>
      <c r="R319" s="38"/>
      <c r="S319" s="38"/>
      <c r="T319" s="38"/>
      <c r="U319" s="38"/>
      <c r="V319" s="38"/>
      <c r="W319" s="38"/>
      <c r="X319" s="38"/>
      <c r="Y319" s="38"/>
      <c r="Z319" s="38"/>
    </row>
    <row r="320" spans="1:26">
      <c r="A320" s="57"/>
      <c r="B320" s="50">
        <v>2</v>
      </c>
      <c r="C320" s="50" t="s">
        <v>56</v>
      </c>
      <c r="D320" s="55">
        <v>1.2500000000000001E-2</v>
      </c>
      <c r="E320" s="56"/>
      <c r="F320" s="38"/>
      <c r="G320" s="38"/>
      <c r="H320" s="38"/>
      <c r="I320" s="38"/>
      <c r="J320" s="38"/>
      <c r="K320" s="38"/>
      <c r="L320" s="38"/>
      <c r="M320" s="38"/>
      <c r="N320" s="38"/>
      <c r="O320" s="38"/>
      <c r="P320" s="38"/>
      <c r="Q320" s="38"/>
      <c r="R320" s="38"/>
      <c r="S320" s="38"/>
      <c r="T320" s="38"/>
      <c r="U320" s="38"/>
      <c r="V320" s="38"/>
      <c r="W320" s="38"/>
      <c r="X320" s="38"/>
      <c r="Y320" s="38"/>
      <c r="Z320" s="38"/>
    </row>
    <row r="321" spans="1:26">
      <c r="A321" s="57"/>
      <c r="B321" s="57"/>
      <c r="C321" s="58" t="s">
        <v>60</v>
      </c>
      <c r="D321" s="59">
        <v>1.2500000000000001E-2</v>
      </c>
      <c r="E321" s="60"/>
      <c r="F321" s="38"/>
      <c r="G321" s="38"/>
      <c r="H321" s="38"/>
      <c r="I321" s="38"/>
      <c r="J321" s="38"/>
      <c r="K321" s="38"/>
      <c r="L321" s="38"/>
      <c r="M321" s="38"/>
      <c r="N321" s="38"/>
      <c r="O321" s="38"/>
      <c r="P321" s="38"/>
      <c r="Q321" s="38"/>
      <c r="R321" s="38"/>
      <c r="S321" s="38"/>
      <c r="T321" s="38"/>
      <c r="U321" s="38"/>
      <c r="V321" s="38"/>
      <c r="W321" s="38"/>
      <c r="X321" s="38"/>
      <c r="Y321" s="38"/>
      <c r="Z321" s="38"/>
    </row>
    <row r="322" spans="1:26">
      <c r="A322" s="57"/>
      <c r="B322" s="57"/>
      <c r="C322" s="58" t="s">
        <v>63</v>
      </c>
      <c r="D322" s="59">
        <v>1.2500000000000001E-2</v>
      </c>
      <c r="E322" s="60"/>
      <c r="F322" s="38"/>
      <c r="G322" s="38"/>
      <c r="H322" s="38"/>
      <c r="I322" s="38"/>
      <c r="J322" s="38"/>
      <c r="K322" s="38"/>
      <c r="L322" s="38"/>
      <c r="M322" s="38"/>
      <c r="N322" s="38"/>
      <c r="O322" s="38"/>
      <c r="P322" s="38"/>
      <c r="Q322" s="38"/>
      <c r="R322" s="38"/>
      <c r="S322" s="38"/>
      <c r="T322" s="38"/>
      <c r="U322" s="38"/>
      <c r="V322" s="38"/>
      <c r="W322" s="38"/>
      <c r="X322" s="38"/>
      <c r="Y322" s="38"/>
      <c r="Z322" s="38"/>
    </row>
    <row r="323" spans="1:26">
      <c r="A323" s="57"/>
      <c r="B323" s="57"/>
      <c r="C323" s="58" t="s">
        <v>110</v>
      </c>
      <c r="D323" s="59">
        <v>1.2500000000000001E-2</v>
      </c>
      <c r="E323" s="60"/>
      <c r="F323" s="38"/>
      <c r="G323" s="38"/>
      <c r="H323" s="38"/>
      <c r="I323" s="38"/>
      <c r="J323" s="38"/>
      <c r="K323" s="38"/>
      <c r="L323" s="38"/>
      <c r="M323" s="38"/>
      <c r="N323" s="38"/>
      <c r="O323" s="38"/>
      <c r="P323" s="38"/>
      <c r="Q323" s="38"/>
      <c r="R323" s="38"/>
      <c r="S323" s="38"/>
      <c r="T323" s="38"/>
      <c r="U323" s="38"/>
      <c r="V323" s="38"/>
      <c r="W323" s="38"/>
      <c r="X323" s="38"/>
      <c r="Y323" s="38"/>
      <c r="Z323" s="38"/>
    </row>
    <row r="324" spans="1:26">
      <c r="A324" s="57"/>
      <c r="B324" s="57"/>
      <c r="C324" s="58" t="s">
        <v>112</v>
      </c>
      <c r="D324" s="59">
        <v>1.2500000000000001E-2</v>
      </c>
      <c r="E324" s="60"/>
      <c r="F324" s="38"/>
      <c r="G324" s="38"/>
      <c r="H324" s="38"/>
      <c r="I324" s="38"/>
      <c r="J324" s="38"/>
      <c r="K324" s="38"/>
      <c r="L324" s="38"/>
      <c r="M324" s="38"/>
      <c r="N324" s="38"/>
      <c r="O324" s="38"/>
      <c r="P324" s="38"/>
      <c r="Q324" s="38"/>
      <c r="R324" s="38"/>
      <c r="S324" s="38"/>
      <c r="T324" s="38"/>
      <c r="U324" s="38"/>
      <c r="V324" s="38"/>
      <c r="W324" s="38"/>
      <c r="X324" s="38"/>
      <c r="Y324" s="38"/>
      <c r="Z324" s="38"/>
    </row>
    <row r="325" spans="1:26">
      <c r="A325" s="57"/>
      <c r="B325" s="57"/>
      <c r="C325" s="58" t="s">
        <v>114</v>
      </c>
      <c r="D325" s="59">
        <v>1.2500000000000001E-2</v>
      </c>
      <c r="E325" s="60"/>
      <c r="F325" s="38"/>
      <c r="G325" s="38"/>
      <c r="H325" s="38"/>
      <c r="I325" s="38"/>
      <c r="J325" s="38"/>
      <c r="K325" s="38"/>
      <c r="L325" s="38"/>
      <c r="M325" s="38"/>
      <c r="N325" s="38"/>
      <c r="O325" s="38"/>
      <c r="P325" s="38"/>
      <c r="Q325" s="38"/>
      <c r="R325" s="38"/>
      <c r="S325" s="38"/>
      <c r="T325" s="38"/>
      <c r="U325" s="38"/>
      <c r="V325" s="38"/>
      <c r="W325" s="38"/>
      <c r="X325" s="38"/>
      <c r="Y325" s="38"/>
      <c r="Z325" s="38"/>
    </row>
    <row r="326" spans="1:26">
      <c r="A326" s="57"/>
      <c r="B326" s="57"/>
      <c r="C326" s="58" t="s">
        <v>116</v>
      </c>
      <c r="D326" s="59">
        <v>1.2500000000000001E-2</v>
      </c>
      <c r="E326" s="60"/>
      <c r="F326" s="38"/>
      <c r="G326" s="38"/>
      <c r="H326" s="38"/>
      <c r="I326" s="38"/>
      <c r="J326" s="38"/>
      <c r="K326" s="38"/>
      <c r="L326" s="38"/>
      <c r="M326" s="38"/>
      <c r="N326" s="38"/>
      <c r="O326" s="38"/>
      <c r="P326" s="38"/>
      <c r="Q326" s="38"/>
      <c r="R326" s="38"/>
      <c r="S326" s="38"/>
      <c r="T326" s="38"/>
      <c r="U326" s="38"/>
      <c r="V326" s="38"/>
      <c r="W326" s="38"/>
      <c r="X326" s="38"/>
      <c r="Y326" s="38"/>
      <c r="Z326" s="38"/>
    </row>
    <row r="327" spans="1:26">
      <c r="A327" s="57"/>
      <c r="B327" s="57"/>
      <c r="C327" s="58" t="s">
        <v>118</v>
      </c>
      <c r="D327" s="59">
        <v>1.2500000000000001E-2</v>
      </c>
      <c r="E327" s="60"/>
      <c r="F327" s="38"/>
      <c r="G327" s="38"/>
      <c r="H327" s="38"/>
      <c r="I327" s="38"/>
      <c r="J327" s="38"/>
      <c r="K327" s="38"/>
      <c r="L327" s="38"/>
      <c r="M327" s="38"/>
      <c r="N327" s="38"/>
      <c r="O327" s="38"/>
      <c r="P327" s="38"/>
      <c r="Q327" s="38"/>
      <c r="R327" s="38"/>
      <c r="S327" s="38"/>
      <c r="T327" s="38"/>
      <c r="U327" s="38"/>
      <c r="V327" s="38"/>
      <c r="W327" s="38"/>
      <c r="X327" s="38"/>
      <c r="Y327" s="38"/>
      <c r="Z327" s="38"/>
    </row>
    <row r="328" spans="1:26">
      <c r="A328" s="57"/>
      <c r="B328" s="50">
        <v>3</v>
      </c>
      <c r="C328" s="50" t="s">
        <v>68</v>
      </c>
      <c r="D328" s="55">
        <v>1.2500000000000001E-2</v>
      </c>
      <c r="E328" s="56"/>
      <c r="F328" s="38"/>
      <c r="G328" s="38"/>
      <c r="H328" s="38"/>
      <c r="I328" s="38"/>
      <c r="J328" s="38"/>
      <c r="K328" s="38"/>
      <c r="L328" s="38"/>
      <c r="M328" s="38"/>
      <c r="N328" s="38"/>
      <c r="O328" s="38"/>
      <c r="P328" s="38"/>
      <c r="Q328" s="38"/>
      <c r="R328" s="38"/>
      <c r="S328" s="38"/>
      <c r="T328" s="38"/>
      <c r="U328" s="38"/>
      <c r="V328" s="38"/>
      <c r="W328" s="38"/>
      <c r="X328" s="38"/>
      <c r="Y328" s="38"/>
      <c r="Z328" s="38"/>
    </row>
    <row r="329" spans="1:26">
      <c r="A329" s="57"/>
      <c r="B329" s="57"/>
      <c r="C329" s="58" t="s">
        <v>73</v>
      </c>
      <c r="D329" s="59">
        <v>1.2500000000000001E-2</v>
      </c>
      <c r="E329" s="60"/>
      <c r="F329" s="38"/>
      <c r="G329" s="38"/>
      <c r="H329" s="38"/>
      <c r="I329" s="38"/>
      <c r="J329" s="38"/>
      <c r="K329" s="38"/>
      <c r="L329" s="38"/>
      <c r="M329" s="38"/>
      <c r="N329" s="38"/>
      <c r="O329" s="38"/>
      <c r="P329" s="38"/>
      <c r="Q329" s="38"/>
      <c r="R329" s="38"/>
      <c r="S329" s="38"/>
      <c r="T329" s="38"/>
      <c r="U329" s="38"/>
      <c r="V329" s="38"/>
      <c r="W329" s="38"/>
      <c r="X329" s="38"/>
      <c r="Y329" s="38"/>
      <c r="Z329" s="38"/>
    </row>
    <row r="330" spans="1:26">
      <c r="A330" s="57"/>
      <c r="B330" s="57"/>
      <c r="C330" s="58" t="s">
        <v>75</v>
      </c>
      <c r="D330" s="59">
        <v>1.2500000000000001E-2</v>
      </c>
      <c r="E330" s="60"/>
      <c r="F330" s="38"/>
      <c r="G330" s="38"/>
      <c r="H330" s="38"/>
      <c r="I330" s="38"/>
      <c r="J330" s="38"/>
      <c r="K330" s="38"/>
      <c r="L330" s="38"/>
      <c r="M330" s="38"/>
      <c r="N330" s="38"/>
      <c r="O330" s="38"/>
      <c r="P330" s="38"/>
      <c r="Q330" s="38"/>
      <c r="R330" s="38"/>
      <c r="S330" s="38"/>
      <c r="T330" s="38"/>
      <c r="U330" s="38"/>
      <c r="V330" s="38"/>
      <c r="W330" s="38"/>
      <c r="X330" s="38"/>
      <c r="Y330" s="38"/>
      <c r="Z330" s="38"/>
    </row>
    <row r="331" spans="1:26">
      <c r="A331" s="57"/>
      <c r="B331" s="57"/>
      <c r="C331" s="58" t="s">
        <v>287</v>
      </c>
      <c r="D331" s="59">
        <v>1.2500000000000001E-2</v>
      </c>
      <c r="E331" s="60"/>
      <c r="F331" s="38"/>
      <c r="G331" s="38"/>
      <c r="H331" s="38"/>
      <c r="I331" s="38"/>
      <c r="J331" s="38"/>
      <c r="K331" s="38"/>
      <c r="L331" s="38"/>
      <c r="M331" s="38"/>
      <c r="N331" s="38"/>
      <c r="O331" s="38"/>
      <c r="P331" s="38"/>
      <c r="Q331" s="38"/>
      <c r="R331" s="38"/>
      <c r="S331" s="38"/>
      <c r="T331" s="38"/>
      <c r="U331" s="38"/>
      <c r="V331" s="38"/>
      <c r="W331" s="38"/>
      <c r="X331" s="38"/>
      <c r="Y331" s="38"/>
      <c r="Z331" s="38"/>
    </row>
    <row r="332" spans="1:26">
      <c r="A332" s="57"/>
      <c r="B332" s="57"/>
      <c r="C332" s="58" t="s">
        <v>290</v>
      </c>
      <c r="D332" s="59">
        <v>1.2500000000000001E-2</v>
      </c>
      <c r="E332" s="60"/>
      <c r="F332" s="38"/>
      <c r="G332" s="38"/>
      <c r="H332" s="38"/>
      <c r="I332" s="38"/>
      <c r="J332" s="38"/>
      <c r="K332" s="38"/>
      <c r="L332" s="38"/>
      <c r="M332" s="38"/>
      <c r="N332" s="38"/>
      <c r="O332" s="38"/>
      <c r="P332" s="38"/>
      <c r="Q332" s="38"/>
      <c r="R332" s="38"/>
      <c r="S332" s="38"/>
      <c r="T332" s="38"/>
      <c r="U332" s="38"/>
      <c r="V332" s="38"/>
      <c r="W332" s="38"/>
      <c r="X332" s="38"/>
      <c r="Y332" s="38"/>
      <c r="Z332" s="38"/>
    </row>
    <row r="333" spans="1:26">
      <c r="A333" s="57"/>
      <c r="B333" s="57"/>
      <c r="C333" s="58" t="s">
        <v>293</v>
      </c>
      <c r="D333" s="59">
        <v>1.2500000000000001E-2</v>
      </c>
      <c r="E333" s="60"/>
      <c r="F333" s="38"/>
      <c r="G333" s="38"/>
      <c r="H333" s="38"/>
      <c r="I333" s="38"/>
      <c r="J333" s="38"/>
      <c r="K333" s="38"/>
      <c r="L333" s="38"/>
      <c r="M333" s="38"/>
      <c r="N333" s="38"/>
      <c r="O333" s="38"/>
      <c r="P333" s="38"/>
      <c r="Q333" s="38"/>
      <c r="R333" s="38"/>
      <c r="S333" s="38"/>
      <c r="T333" s="38"/>
      <c r="U333" s="38"/>
      <c r="V333" s="38"/>
      <c r="W333" s="38"/>
      <c r="X333" s="38"/>
      <c r="Y333" s="38"/>
      <c r="Z333" s="38"/>
    </row>
    <row r="334" spans="1:26">
      <c r="A334" s="57"/>
      <c r="B334" s="57"/>
      <c r="C334" s="58" t="s">
        <v>296</v>
      </c>
      <c r="D334" s="59">
        <v>1.2500000000000001E-2</v>
      </c>
      <c r="E334" s="60"/>
      <c r="F334" s="38"/>
      <c r="G334" s="38"/>
      <c r="H334" s="38"/>
      <c r="I334" s="38"/>
      <c r="J334" s="38"/>
      <c r="K334" s="38"/>
      <c r="L334" s="38"/>
      <c r="M334" s="38"/>
      <c r="N334" s="38"/>
      <c r="O334" s="38"/>
      <c r="P334" s="38"/>
      <c r="Q334" s="38"/>
      <c r="R334" s="38"/>
      <c r="S334" s="38"/>
      <c r="T334" s="38"/>
      <c r="U334" s="38"/>
      <c r="V334" s="38"/>
      <c r="W334" s="38"/>
      <c r="X334" s="38"/>
      <c r="Y334" s="38"/>
      <c r="Z334" s="38"/>
    </row>
    <row r="335" spans="1:26">
      <c r="A335" s="57"/>
      <c r="B335" s="57"/>
      <c r="C335" s="58" t="s">
        <v>299</v>
      </c>
      <c r="D335" s="59">
        <v>1.2500000000000001E-2</v>
      </c>
      <c r="E335" s="60"/>
      <c r="F335" s="38"/>
      <c r="G335" s="38"/>
      <c r="H335" s="38"/>
      <c r="I335" s="38"/>
      <c r="J335" s="38"/>
      <c r="K335" s="38"/>
      <c r="L335" s="38"/>
      <c r="M335" s="38"/>
      <c r="N335" s="38"/>
      <c r="O335" s="38"/>
      <c r="P335" s="38"/>
      <c r="Q335" s="38"/>
      <c r="R335" s="38"/>
      <c r="S335" s="38"/>
      <c r="T335" s="38"/>
      <c r="U335" s="38"/>
      <c r="V335" s="38"/>
      <c r="W335" s="38"/>
      <c r="X335" s="38"/>
      <c r="Y335" s="38"/>
      <c r="Z335" s="38"/>
    </row>
    <row r="336" spans="1:26">
      <c r="A336" s="57"/>
      <c r="B336" s="50">
        <v>4</v>
      </c>
      <c r="C336" s="50" t="s">
        <v>79</v>
      </c>
      <c r="D336" s="55">
        <v>0.05</v>
      </c>
      <c r="E336" s="56"/>
      <c r="F336" s="38"/>
      <c r="G336" s="38"/>
      <c r="H336" s="38"/>
      <c r="I336" s="38"/>
      <c r="J336" s="38"/>
      <c r="K336" s="38"/>
      <c r="L336" s="38"/>
      <c r="M336" s="38"/>
      <c r="N336" s="38"/>
      <c r="O336" s="38"/>
      <c r="P336" s="38"/>
      <c r="Q336" s="38"/>
      <c r="R336" s="38"/>
      <c r="S336" s="38"/>
      <c r="T336" s="38"/>
      <c r="U336" s="38"/>
      <c r="V336" s="38"/>
      <c r="W336" s="38"/>
      <c r="X336" s="38"/>
      <c r="Y336" s="38"/>
      <c r="Z336" s="38"/>
    </row>
    <row r="337" spans="1:26">
      <c r="A337" s="57"/>
      <c r="B337" s="50">
        <v>5</v>
      </c>
      <c r="C337" s="50" t="s">
        <v>469</v>
      </c>
      <c r="D337" s="55">
        <v>1.4999999999999999E-2</v>
      </c>
      <c r="E337" s="56"/>
      <c r="F337" s="38"/>
      <c r="G337" s="38"/>
      <c r="H337" s="38"/>
      <c r="I337" s="38"/>
      <c r="J337" s="38"/>
      <c r="K337" s="38"/>
      <c r="L337" s="38"/>
      <c r="M337" s="38"/>
      <c r="N337" s="38"/>
      <c r="O337" s="38"/>
      <c r="P337" s="38"/>
      <c r="Q337" s="38"/>
      <c r="R337" s="38"/>
      <c r="S337" s="38"/>
      <c r="T337" s="38"/>
      <c r="U337" s="38"/>
      <c r="V337" s="38"/>
      <c r="W337" s="38"/>
      <c r="X337" s="38"/>
      <c r="Y337" s="38"/>
      <c r="Z337" s="38"/>
    </row>
    <row r="338" spans="1:26">
      <c r="A338" s="57"/>
      <c r="B338" s="57"/>
      <c r="C338" s="58" t="s">
        <v>476</v>
      </c>
      <c r="D338" s="59">
        <v>5.5E-2</v>
      </c>
      <c r="E338" s="60"/>
      <c r="F338" s="38"/>
      <c r="G338" s="38"/>
      <c r="H338" s="38"/>
      <c r="I338" s="38"/>
      <c r="J338" s="38"/>
      <c r="K338" s="38"/>
      <c r="L338" s="38"/>
      <c r="M338" s="38"/>
      <c r="N338" s="38"/>
      <c r="O338" s="38"/>
      <c r="P338" s="38"/>
      <c r="Q338" s="38"/>
      <c r="R338" s="38"/>
      <c r="S338" s="38"/>
      <c r="T338" s="38"/>
      <c r="U338" s="38"/>
      <c r="V338" s="38"/>
      <c r="W338" s="38"/>
      <c r="X338" s="38"/>
      <c r="Y338" s="38"/>
      <c r="Z338" s="38"/>
    </row>
    <row r="339" spans="1:26">
      <c r="A339" s="57"/>
      <c r="B339" s="57"/>
      <c r="C339" s="58" t="s">
        <v>482</v>
      </c>
      <c r="D339" s="59">
        <v>0.03</v>
      </c>
      <c r="E339" s="60"/>
      <c r="F339" s="38"/>
      <c r="G339" s="38"/>
      <c r="H339" s="38"/>
      <c r="I339" s="38"/>
      <c r="J339" s="38"/>
      <c r="K339" s="38"/>
      <c r="L339" s="38"/>
      <c r="M339" s="38"/>
      <c r="N339" s="38"/>
      <c r="O339" s="38"/>
      <c r="P339" s="38"/>
      <c r="Q339" s="38"/>
      <c r="R339" s="38"/>
      <c r="S339" s="38"/>
      <c r="T339" s="38"/>
      <c r="U339" s="38"/>
      <c r="V339" s="38"/>
      <c r="W339" s="38"/>
      <c r="X339" s="38"/>
      <c r="Y339" s="38"/>
      <c r="Z339" s="38"/>
    </row>
    <row r="340" spans="1:26">
      <c r="A340" s="57"/>
      <c r="B340" s="50">
        <v>6</v>
      </c>
      <c r="C340" s="50" t="s">
        <v>648</v>
      </c>
      <c r="D340" s="55">
        <v>1.2500000000000001E-2</v>
      </c>
      <c r="E340" s="56"/>
      <c r="F340" s="38"/>
      <c r="G340" s="38"/>
      <c r="H340" s="38"/>
      <c r="I340" s="38"/>
      <c r="J340" s="38"/>
      <c r="K340" s="38"/>
      <c r="L340" s="38"/>
      <c r="M340" s="38"/>
      <c r="N340" s="38"/>
      <c r="O340" s="38"/>
      <c r="P340" s="38"/>
      <c r="Q340" s="38"/>
      <c r="R340" s="38"/>
      <c r="S340" s="38"/>
      <c r="T340" s="38"/>
      <c r="U340" s="38"/>
      <c r="V340" s="38"/>
      <c r="W340" s="38"/>
      <c r="X340" s="38"/>
      <c r="Y340" s="38"/>
      <c r="Z340" s="38"/>
    </row>
    <row r="341" spans="1:26">
      <c r="A341" s="57"/>
      <c r="B341" s="57"/>
      <c r="C341" s="58" t="s">
        <v>651</v>
      </c>
      <c r="D341" s="59">
        <v>1.2500000000000001E-2</v>
      </c>
      <c r="E341" s="60"/>
      <c r="F341" s="38"/>
      <c r="G341" s="38"/>
      <c r="H341" s="38"/>
      <c r="I341" s="38"/>
      <c r="J341" s="38"/>
      <c r="K341" s="38"/>
      <c r="L341" s="38"/>
      <c r="M341" s="38"/>
      <c r="N341" s="38"/>
      <c r="O341" s="38"/>
      <c r="P341" s="38"/>
      <c r="Q341" s="38"/>
      <c r="R341" s="38"/>
      <c r="S341" s="38"/>
      <c r="T341" s="38"/>
      <c r="U341" s="38"/>
      <c r="V341" s="38"/>
      <c r="W341" s="38"/>
      <c r="X341" s="38"/>
      <c r="Y341" s="38"/>
      <c r="Z341" s="38"/>
    </row>
    <row r="342" spans="1:26">
      <c r="A342" s="57"/>
      <c r="B342" s="57"/>
      <c r="C342" s="58" t="s">
        <v>723</v>
      </c>
      <c r="D342" s="59">
        <v>1.2500000000000001E-2</v>
      </c>
      <c r="E342" s="60"/>
      <c r="F342" s="38"/>
      <c r="G342" s="38"/>
      <c r="H342" s="38"/>
      <c r="I342" s="38"/>
      <c r="J342" s="38"/>
      <c r="K342" s="38"/>
      <c r="L342" s="38"/>
      <c r="M342" s="38"/>
      <c r="N342" s="38"/>
      <c r="O342" s="38"/>
      <c r="P342" s="38"/>
      <c r="Q342" s="38"/>
      <c r="R342" s="38"/>
      <c r="S342" s="38"/>
      <c r="T342" s="38"/>
      <c r="U342" s="38"/>
      <c r="V342" s="38"/>
      <c r="W342" s="38"/>
      <c r="X342" s="38"/>
      <c r="Y342" s="38"/>
      <c r="Z342" s="38"/>
    </row>
    <row r="343" spans="1:26">
      <c r="A343" s="57"/>
      <c r="B343" s="57"/>
      <c r="C343" s="58" t="s">
        <v>895</v>
      </c>
      <c r="D343" s="59">
        <v>1.2500000000000001E-2</v>
      </c>
      <c r="E343" s="60"/>
      <c r="F343" s="38"/>
      <c r="G343" s="38"/>
      <c r="H343" s="38"/>
      <c r="I343" s="38"/>
      <c r="J343" s="38"/>
      <c r="K343" s="38"/>
      <c r="L343" s="38"/>
      <c r="M343" s="38"/>
      <c r="N343" s="38"/>
      <c r="O343" s="38"/>
      <c r="P343" s="38"/>
      <c r="Q343" s="38"/>
      <c r="R343" s="38"/>
      <c r="S343" s="38"/>
      <c r="T343" s="38"/>
      <c r="U343" s="38"/>
      <c r="V343" s="38"/>
      <c r="W343" s="38"/>
      <c r="X343" s="38"/>
      <c r="Y343" s="38"/>
      <c r="Z343" s="38"/>
    </row>
    <row r="344" spans="1:26">
      <c r="A344" s="50" t="s">
        <v>1259</v>
      </c>
      <c r="B344" s="51"/>
      <c r="C344" s="51"/>
      <c r="D344" s="55">
        <v>0.99999999999999922</v>
      </c>
      <c r="E344" s="56"/>
      <c r="F344" s="38"/>
      <c r="G344" s="38"/>
      <c r="H344" s="38"/>
      <c r="I344" s="38"/>
      <c r="J344" s="38"/>
      <c r="K344" s="38"/>
      <c r="L344" s="38"/>
      <c r="M344" s="38"/>
      <c r="N344" s="38"/>
      <c r="O344" s="38"/>
      <c r="P344" s="38"/>
      <c r="Q344" s="38"/>
      <c r="R344" s="38"/>
      <c r="S344" s="38"/>
      <c r="T344" s="38"/>
      <c r="U344" s="38"/>
      <c r="V344" s="38"/>
      <c r="W344" s="38"/>
      <c r="X344" s="38"/>
      <c r="Y344" s="38"/>
      <c r="Z344" s="38"/>
    </row>
    <row r="345" spans="1:26">
      <c r="A345" s="50" t="s">
        <v>1025</v>
      </c>
      <c r="B345" s="50">
        <v>1</v>
      </c>
      <c r="C345" s="50" t="s">
        <v>34</v>
      </c>
      <c r="D345" s="55">
        <v>0.02</v>
      </c>
      <c r="E345" s="56"/>
      <c r="F345" s="38"/>
      <c r="G345" s="38"/>
      <c r="H345" s="38"/>
      <c r="I345" s="38"/>
      <c r="J345" s="38"/>
      <c r="K345" s="38"/>
      <c r="L345" s="38"/>
      <c r="M345" s="38"/>
      <c r="N345" s="38"/>
      <c r="O345" s="38"/>
      <c r="P345" s="38"/>
      <c r="Q345" s="38"/>
      <c r="R345" s="38"/>
      <c r="S345" s="38"/>
      <c r="T345" s="38"/>
      <c r="U345" s="38"/>
      <c r="V345" s="38"/>
      <c r="W345" s="38"/>
      <c r="X345" s="38"/>
      <c r="Y345" s="38"/>
      <c r="Z345" s="38"/>
    </row>
    <row r="346" spans="1:26">
      <c r="A346" s="57"/>
      <c r="B346" s="57"/>
      <c r="C346" s="58" t="s">
        <v>47</v>
      </c>
      <c r="D346" s="59">
        <v>0.05</v>
      </c>
      <c r="E346" s="60"/>
      <c r="F346" s="38"/>
      <c r="G346" s="38"/>
      <c r="H346" s="38"/>
      <c r="I346" s="38"/>
      <c r="J346" s="38"/>
      <c r="K346" s="38"/>
      <c r="L346" s="38"/>
      <c r="M346" s="38"/>
      <c r="N346" s="38"/>
      <c r="O346" s="38"/>
      <c r="P346" s="38"/>
      <c r="Q346" s="38"/>
      <c r="R346" s="38"/>
      <c r="S346" s="38"/>
      <c r="T346" s="38"/>
      <c r="U346" s="38"/>
      <c r="V346" s="38"/>
      <c r="W346" s="38"/>
      <c r="X346" s="38"/>
      <c r="Y346" s="38"/>
      <c r="Z346" s="38"/>
    </row>
    <row r="347" spans="1:26">
      <c r="A347" s="57"/>
      <c r="B347" s="57"/>
      <c r="C347" s="58" t="s">
        <v>49</v>
      </c>
      <c r="D347" s="59">
        <v>0.06</v>
      </c>
      <c r="E347" s="60"/>
      <c r="F347" s="38"/>
      <c r="G347" s="38"/>
      <c r="H347" s="38"/>
      <c r="I347" s="38"/>
      <c r="J347" s="38"/>
      <c r="K347" s="38"/>
      <c r="L347" s="38"/>
      <c r="M347" s="38"/>
      <c r="N347" s="38"/>
      <c r="O347" s="38"/>
      <c r="P347" s="38"/>
      <c r="Q347" s="38"/>
      <c r="R347" s="38"/>
      <c r="S347" s="38"/>
      <c r="T347" s="38"/>
      <c r="U347" s="38"/>
      <c r="V347" s="38"/>
      <c r="W347" s="38"/>
      <c r="X347" s="38"/>
      <c r="Y347" s="38"/>
      <c r="Z347" s="38"/>
    </row>
    <row r="348" spans="1:26">
      <c r="A348" s="57"/>
      <c r="B348" s="57"/>
      <c r="C348" s="58" t="s">
        <v>52</v>
      </c>
      <c r="D348" s="59">
        <v>7.0000000000000001E-3</v>
      </c>
      <c r="E348" s="60"/>
      <c r="F348" s="38"/>
      <c r="G348" s="38"/>
      <c r="H348" s="38"/>
      <c r="I348" s="38"/>
      <c r="J348" s="38"/>
      <c r="K348" s="38"/>
      <c r="L348" s="38"/>
      <c r="M348" s="38"/>
      <c r="N348" s="38"/>
      <c r="O348" s="38"/>
      <c r="P348" s="38"/>
      <c r="Q348" s="38"/>
      <c r="R348" s="38"/>
      <c r="S348" s="38"/>
      <c r="T348" s="38"/>
      <c r="U348" s="38"/>
      <c r="V348" s="38"/>
      <c r="W348" s="38"/>
      <c r="X348" s="38"/>
      <c r="Y348" s="38"/>
      <c r="Z348" s="38"/>
    </row>
    <row r="349" spans="1:26">
      <c r="A349" s="57"/>
      <c r="B349" s="57"/>
      <c r="C349" s="58" t="s">
        <v>184</v>
      </c>
      <c r="D349" s="59">
        <v>5.6000000000000001E-2</v>
      </c>
      <c r="E349" s="60"/>
      <c r="F349" s="38"/>
      <c r="G349" s="38"/>
      <c r="H349" s="38"/>
      <c r="I349" s="38"/>
      <c r="J349" s="38"/>
      <c r="K349" s="38"/>
      <c r="L349" s="38"/>
      <c r="M349" s="38"/>
      <c r="N349" s="38"/>
      <c r="O349" s="38"/>
      <c r="P349" s="38"/>
      <c r="Q349" s="38"/>
      <c r="R349" s="38"/>
      <c r="S349" s="38"/>
      <c r="T349" s="38"/>
      <c r="U349" s="38"/>
      <c r="V349" s="38"/>
      <c r="W349" s="38"/>
      <c r="X349" s="38"/>
      <c r="Y349" s="38"/>
      <c r="Z349" s="38"/>
    </row>
    <row r="350" spans="1:26">
      <c r="A350" s="57"/>
      <c r="B350" s="57"/>
      <c r="C350" s="58" t="s">
        <v>189</v>
      </c>
      <c r="D350" s="59">
        <v>7.0000000000000001E-3</v>
      </c>
      <c r="E350" s="60"/>
      <c r="F350" s="38"/>
      <c r="G350" s="38"/>
      <c r="H350" s="38"/>
      <c r="I350" s="38"/>
      <c r="J350" s="38"/>
      <c r="K350" s="38"/>
      <c r="L350" s="38"/>
      <c r="M350" s="38"/>
      <c r="N350" s="38"/>
      <c r="O350" s="38"/>
      <c r="P350" s="38"/>
      <c r="Q350" s="38"/>
      <c r="R350" s="38"/>
      <c r="S350" s="38"/>
      <c r="T350" s="38"/>
      <c r="U350" s="38"/>
      <c r="V350" s="38"/>
      <c r="W350" s="38"/>
      <c r="X350" s="38"/>
      <c r="Y350" s="38"/>
      <c r="Z350" s="38"/>
    </row>
    <row r="351" spans="1:26">
      <c r="A351" s="57"/>
      <c r="B351" s="50">
        <v>2</v>
      </c>
      <c r="C351" s="50" t="s">
        <v>56</v>
      </c>
      <c r="D351" s="55">
        <v>1.2500000000000001E-2</v>
      </c>
      <c r="E351" s="56"/>
      <c r="F351" s="38"/>
      <c r="G351" s="38"/>
      <c r="H351" s="38"/>
      <c r="I351" s="38"/>
      <c r="J351" s="38"/>
      <c r="K351" s="38"/>
      <c r="L351" s="38"/>
      <c r="M351" s="38"/>
      <c r="N351" s="38"/>
      <c r="O351" s="38"/>
      <c r="P351" s="38"/>
      <c r="Q351" s="38"/>
      <c r="R351" s="38"/>
      <c r="S351" s="38"/>
      <c r="T351" s="38"/>
      <c r="U351" s="38"/>
      <c r="V351" s="38"/>
      <c r="W351" s="38"/>
      <c r="X351" s="38"/>
      <c r="Y351" s="38"/>
      <c r="Z351" s="38"/>
    </row>
    <row r="352" spans="1:26">
      <c r="A352" s="57"/>
      <c r="B352" s="57"/>
      <c r="C352" s="58" t="s">
        <v>123</v>
      </c>
      <c r="D352" s="59">
        <v>1.2500000000000001E-2</v>
      </c>
      <c r="E352" s="60"/>
      <c r="F352" s="38"/>
      <c r="G352" s="38"/>
      <c r="H352" s="38"/>
      <c r="I352" s="38"/>
      <c r="J352" s="38"/>
      <c r="K352" s="38"/>
      <c r="L352" s="38"/>
      <c r="M352" s="38"/>
      <c r="N352" s="38"/>
      <c r="O352" s="38"/>
      <c r="P352" s="38"/>
      <c r="Q352" s="38"/>
      <c r="R352" s="38"/>
      <c r="S352" s="38"/>
      <c r="T352" s="38"/>
      <c r="U352" s="38"/>
      <c r="V352" s="38"/>
      <c r="W352" s="38"/>
      <c r="X352" s="38"/>
      <c r="Y352" s="38"/>
      <c r="Z352" s="38"/>
    </row>
    <row r="353" spans="1:26">
      <c r="A353" s="57"/>
      <c r="B353" s="57"/>
      <c r="C353" s="58" t="s">
        <v>125</v>
      </c>
      <c r="D353" s="59">
        <v>1.2500000000000001E-2</v>
      </c>
      <c r="E353" s="60"/>
      <c r="F353" s="38"/>
      <c r="G353" s="38"/>
      <c r="H353" s="38"/>
      <c r="I353" s="38"/>
      <c r="J353" s="38"/>
      <c r="K353" s="38"/>
      <c r="L353" s="38"/>
      <c r="M353" s="38"/>
      <c r="N353" s="38"/>
      <c r="O353" s="38"/>
      <c r="P353" s="38"/>
      <c r="Q353" s="38"/>
      <c r="R353" s="38"/>
      <c r="S353" s="38"/>
      <c r="T353" s="38"/>
      <c r="U353" s="38"/>
      <c r="V353" s="38"/>
      <c r="W353" s="38"/>
      <c r="X353" s="38"/>
      <c r="Y353" s="38"/>
      <c r="Z353" s="38"/>
    </row>
    <row r="354" spans="1:26">
      <c r="A354" s="57"/>
      <c r="B354" s="57"/>
      <c r="C354" s="58" t="s">
        <v>127</v>
      </c>
      <c r="D354" s="59">
        <v>1.2500000000000001E-2</v>
      </c>
      <c r="E354" s="60"/>
      <c r="F354" s="38"/>
      <c r="G354" s="38"/>
      <c r="H354" s="38"/>
      <c r="I354" s="38"/>
      <c r="J354" s="38"/>
      <c r="K354" s="38"/>
      <c r="L354" s="38"/>
      <c r="M354" s="38"/>
      <c r="N354" s="38"/>
      <c r="O354" s="38"/>
      <c r="P354" s="38"/>
      <c r="Q354" s="38"/>
      <c r="R354" s="38"/>
      <c r="S354" s="38"/>
      <c r="T354" s="38"/>
      <c r="U354" s="38"/>
      <c r="V354" s="38"/>
      <c r="W354" s="38"/>
      <c r="X354" s="38"/>
      <c r="Y354" s="38"/>
      <c r="Z354" s="38"/>
    </row>
    <row r="355" spans="1:26">
      <c r="A355" s="57"/>
      <c r="B355" s="57"/>
      <c r="C355" s="58" t="s">
        <v>129</v>
      </c>
      <c r="D355" s="59">
        <v>1.2500000000000001E-2</v>
      </c>
      <c r="E355" s="60"/>
      <c r="F355" s="38"/>
      <c r="G355" s="38"/>
      <c r="H355" s="38"/>
      <c r="I355" s="38"/>
      <c r="J355" s="38"/>
      <c r="K355" s="38"/>
      <c r="L355" s="38"/>
      <c r="M355" s="38"/>
      <c r="N355" s="38"/>
      <c r="O355" s="38"/>
      <c r="P355" s="38"/>
      <c r="Q355" s="38"/>
      <c r="R355" s="38"/>
      <c r="S355" s="38"/>
      <c r="T355" s="38"/>
      <c r="U355" s="38"/>
      <c r="V355" s="38"/>
      <c r="W355" s="38"/>
      <c r="X355" s="38"/>
      <c r="Y355" s="38"/>
      <c r="Z355" s="38"/>
    </row>
    <row r="356" spans="1:26">
      <c r="A356" s="57"/>
      <c r="B356" s="57"/>
      <c r="C356" s="58" t="s">
        <v>130</v>
      </c>
      <c r="D356" s="59">
        <v>1.2500000000000001E-2</v>
      </c>
      <c r="E356" s="60"/>
      <c r="F356" s="38"/>
      <c r="G356" s="38"/>
      <c r="H356" s="38"/>
      <c r="I356" s="38"/>
      <c r="J356" s="38"/>
      <c r="K356" s="38"/>
      <c r="L356" s="38"/>
      <c r="M356" s="38"/>
      <c r="N356" s="38"/>
      <c r="O356" s="38"/>
      <c r="P356" s="38"/>
      <c r="Q356" s="38"/>
      <c r="R356" s="38"/>
      <c r="S356" s="38"/>
      <c r="T356" s="38"/>
      <c r="U356" s="38"/>
      <c r="V356" s="38"/>
      <c r="W356" s="38"/>
      <c r="X356" s="38"/>
      <c r="Y356" s="38"/>
      <c r="Z356" s="38"/>
    </row>
    <row r="357" spans="1:26">
      <c r="A357" s="57"/>
      <c r="B357" s="57"/>
      <c r="C357" s="58" t="s">
        <v>132</v>
      </c>
      <c r="D357" s="59">
        <v>1.2500000000000001E-2</v>
      </c>
      <c r="E357" s="60"/>
      <c r="F357" s="38"/>
      <c r="G357" s="38"/>
      <c r="H357" s="38"/>
      <c r="I357" s="38"/>
      <c r="J357" s="38"/>
      <c r="K357" s="38"/>
      <c r="L357" s="38"/>
      <c r="M357" s="38"/>
      <c r="N357" s="38"/>
      <c r="O357" s="38"/>
      <c r="P357" s="38"/>
      <c r="Q357" s="38"/>
      <c r="R357" s="38"/>
      <c r="S357" s="38"/>
      <c r="T357" s="38"/>
      <c r="U357" s="38"/>
      <c r="V357" s="38"/>
      <c r="W357" s="38"/>
      <c r="X357" s="38"/>
      <c r="Y357" s="38"/>
      <c r="Z357" s="38"/>
    </row>
    <row r="358" spans="1:26">
      <c r="A358" s="57"/>
      <c r="B358" s="57"/>
      <c r="C358" s="58" t="s">
        <v>134</v>
      </c>
      <c r="D358" s="59">
        <v>1.2500000000000001E-2</v>
      </c>
      <c r="E358" s="60"/>
      <c r="F358" s="38"/>
      <c r="G358" s="38"/>
      <c r="H358" s="38"/>
      <c r="I358" s="38"/>
      <c r="J358" s="38"/>
      <c r="K358" s="38"/>
      <c r="L358" s="38"/>
      <c r="M358" s="38"/>
      <c r="N358" s="38"/>
      <c r="O358" s="38"/>
      <c r="P358" s="38"/>
      <c r="Q358" s="38"/>
      <c r="R358" s="38"/>
      <c r="S358" s="38"/>
      <c r="T358" s="38"/>
      <c r="U358" s="38"/>
      <c r="V358" s="38"/>
      <c r="W358" s="38"/>
      <c r="X358" s="38"/>
      <c r="Y358" s="38"/>
      <c r="Z358" s="38"/>
    </row>
    <row r="359" spans="1:26">
      <c r="A359" s="57"/>
      <c r="B359" s="57"/>
      <c r="C359" s="58" t="s">
        <v>60</v>
      </c>
      <c r="D359" s="59">
        <v>1.2500000000000001E-2</v>
      </c>
      <c r="E359" s="60"/>
      <c r="F359" s="38"/>
      <c r="G359" s="38"/>
      <c r="H359" s="38"/>
      <c r="I359" s="38"/>
      <c r="J359" s="38"/>
      <c r="K359" s="38"/>
      <c r="L359" s="38"/>
      <c r="M359" s="38"/>
      <c r="N359" s="38"/>
      <c r="O359" s="38"/>
      <c r="P359" s="38"/>
      <c r="Q359" s="38"/>
      <c r="R359" s="38"/>
      <c r="S359" s="38"/>
      <c r="T359" s="38"/>
      <c r="U359" s="38"/>
      <c r="V359" s="38"/>
      <c r="W359" s="38"/>
      <c r="X359" s="38"/>
      <c r="Y359" s="38"/>
      <c r="Z359" s="38"/>
    </row>
    <row r="360" spans="1:26">
      <c r="A360" s="57"/>
      <c r="B360" s="57"/>
      <c r="C360" s="58" t="s">
        <v>63</v>
      </c>
      <c r="D360" s="59">
        <v>1.2500000000000001E-2</v>
      </c>
      <c r="E360" s="60"/>
      <c r="F360" s="38"/>
      <c r="G360" s="38"/>
      <c r="H360" s="38"/>
      <c r="I360" s="38"/>
      <c r="J360" s="38"/>
      <c r="K360" s="38"/>
      <c r="L360" s="38"/>
      <c r="M360" s="38"/>
      <c r="N360" s="38"/>
      <c r="O360" s="38"/>
      <c r="P360" s="38"/>
      <c r="Q360" s="38"/>
      <c r="R360" s="38"/>
      <c r="S360" s="38"/>
      <c r="T360" s="38"/>
      <c r="U360" s="38"/>
      <c r="V360" s="38"/>
      <c r="W360" s="38"/>
      <c r="X360" s="38"/>
      <c r="Y360" s="38"/>
      <c r="Z360" s="38"/>
    </row>
    <row r="361" spans="1:26">
      <c r="A361" s="57"/>
      <c r="B361" s="57"/>
      <c r="C361" s="58" t="s">
        <v>110</v>
      </c>
      <c r="D361" s="59">
        <v>1.2500000000000001E-2</v>
      </c>
      <c r="E361" s="60"/>
      <c r="F361" s="38"/>
      <c r="G361" s="38"/>
      <c r="H361" s="38"/>
      <c r="I361" s="38"/>
      <c r="J361" s="38"/>
      <c r="K361" s="38"/>
      <c r="L361" s="38"/>
      <c r="M361" s="38"/>
      <c r="N361" s="38"/>
      <c r="O361" s="38"/>
      <c r="P361" s="38"/>
      <c r="Q361" s="38"/>
      <c r="R361" s="38"/>
      <c r="S361" s="38"/>
      <c r="T361" s="38"/>
      <c r="U361" s="38"/>
      <c r="V361" s="38"/>
      <c r="W361" s="38"/>
      <c r="X361" s="38"/>
      <c r="Y361" s="38"/>
      <c r="Z361" s="38"/>
    </row>
    <row r="362" spans="1:26">
      <c r="A362" s="57"/>
      <c r="B362" s="57"/>
      <c r="C362" s="58" t="s">
        <v>112</v>
      </c>
      <c r="D362" s="59">
        <v>1.2500000000000001E-2</v>
      </c>
      <c r="E362" s="60"/>
      <c r="F362" s="38"/>
      <c r="G362" s="38"/>
      <c r="H362" s="38"/>
      <c r="I362" s="38"/>
      <c r="J362" s="38"/>
      <c r="K362" s="38"/>
      <c r="L362" s="38"/>
      <c r="M362" s="38"/>
      <c r="N362" s="38"/>
      <c r="O362" s="38"/>
      <c r="P362" s="38"/>
      <c r="Q362" s="38"/>
      <c r="R362" s="38"/>
      <c r="S362" s="38"/>
      <c r="T362" s="38"/>
      <c r="U362" s="38"/>
      <c r="V362" s="38"/>
      <c r="W362" s="38"/>
      <c r="X362" s="38"/>
      <c r="Y362" s="38"/>
      <c r="Z362" s="38"/>
    </row>
    <row r="363" spans="1:26">
      <c r="A363" s="57"/>
      <c r="B363" s="57"/>
      <c r="C363" s="58" t="s">
        <v>114</v>
      </c>
      <c r="D363" s="59">
        <v>1.2500000000000001E-2</v>
      </c>
      <c r="E363" s="60"/>
      <c r="F363" s="38"/>
      <c r="G363" s="38"/>
      <c r="H363" s="38"/>
      <c r="I363" s="38"/>
      <c r="J363" s="38"/>
      <c r="K363" s="38"/>
      <c r="L363" s="38"/>
      <c r="M363" s="38"/>
      <c r="N363" s="38"/>
      <c r="O363" s="38"/>
      <c r="P363" s="38"/>
      <c r="Q363" s="38"/>
      <c r="R363" s="38"/>
      <c r="S363" s="38"/>
      <c r="T363" s="38"/>
      <c r="U363" s="38"/>
      <c r="V363" s="38"/>
      <c r="W363" s="38"/>
      <c r="X363" s="38"/>
      <c r="Y363" s="38"/>
      <c r="Z363" s="38"/>
    </row>
    <row r="364" spans="1:26">
      <c r="A364" s="57"/>
      <c r="B364" s="57"/>
      <c r="C364" s="58" t="s">
        <v>116</v>
      </c>
      <c r="D364" s="59">
        <v>1.2500000000000001E-2</v>
      </c>
      <c r="E364" s="60"/>
      <c r="F364" s="38"/>
      <c r="G364" s="38"/>
      <c r="H364" s="38"/>
      <c r="I364" s="38"/>
      <c r="J364" s="38"/>
      <c r="K364" s="38"/>
      <c r="L364" s="38"/>
      <c r="M364" s="38"/>
      <c r="N364" s="38"/>
      <c r="O364" s="38"/>
      <c r="P364" s="38"/>
      <c r="Q364" s="38"/>
      <c r="R364" s="38"/>
      <c r="S364" s="38"/>
      <c r="T364" s="38"/>
      <c r="U364" s="38"/>
      <c r="V364" s="38"/>
      <c r="W364" s="38"/>
      <c r="X364" s="38"/>
      <c r="Y364" s="38"/>
      <c r="Z364" s="38"/>
    </row>
    <row r="365" spans="1:26">
      <c r="A365" s="57"/>
      <c r="B365" s="57"/>
      <c r="C365" s="58" t="s">
        <v>118</v>
      </c>
      <c r="D365" s="59">
        <v>1.2500000000000001E-2</v>
      </c>
      <c r="E365" s="60"/>
      <c r="F365" s="38"/>
      <c r="G365" s="38"/>
      <c r="H365" s="38"/>
      <c r="I365" s="38"/>
      <c r="J365" s="38"/>
      <c r="K365" s="38"/>
      <c r="L365" s="38"/>
      <c r="M365" s="38"/>
      <c r="N365" s="38"/>
      <c r="O365" s="38"/>
      <c r="P365" s="38"/>
      <c r="Q365" s="38"/>
      <c r="R365" s="38"/>
      <c r="S365" s="38"/>
      <c r="T365" s="38"/>
      <c r="U365" s="38"/>
      <c r="V365" s="38"/>
      <c r="W365" s="38"/>
      <c r="X365" s="38"/>
      <c r="Y365" s="38"/>
      <c r="Z365" s="38"/>
    </row>
    <row r="366" spans="1:26">
      <c r="A366" s="57"/>
      <c r="B366" s="57"/>
      <c r="C366" s="58" t="s">
        <v>121</v>
      </c>
      <c r="D366" s="59">
        <v>1.2500000000000001E-2</v>
      </c>
      <c r="E366" s="60"/>
      <c r="F366" s="38"/>
      <c r="G366" s="38"/>
      <c r="H366" s="38"/>
      <c r="I366" s="38"/>
      <c r="J366" s="38"/>
      <c r="K366" s="38"/>
      <c r="L366" s="38"/>
      <c r="M366" s="38"/>
      <c r="N366" s="38"/>
      <c r="O366" s="38"/>
      <c r="P366" s="38"/>
      <c r="Q366" s="38"/>
      <c r="R366" s="38"/>
      <c r="S366" s="38"/>
      <c r="T366" s="38"/>
      <c r="U366" s="38"/>
      <c r="V366" s="38"/>
      <c r="W366" s="38"/>
      <c r="X366" s="38"/>
      <c r="Y366" s="38"/>
      <c r="Z366" s="38"/>
    </row>
    <row r="367" spans="1:26">
      <c r="A367" s="57"/>
      <c r="B367" s="50">
        <v>3</v>
      </c>
      <c r="C367" s="50" t="s">
        <v>68</v>
      </c>
      <c r="D367" s="55">
        <v>0.05</v>
      </c>
      <c r="E367" s="56"/>
      <c r="F367" s="38"/>
      <c r="G367" s="38"/>
      <c r="H367" s="38"/>
      <c r="I367" s="38"/>
      <c r="J367" s="38"/>
      <c r="K367" s="38"/>
      <c r="L367" s="38"/>
      <c r="M367" s="38"/>
      <c r="N367" s="38"/>
      <c r="O367" s="38"/>
      <c r="P367" s="38"/>
      <c r="Q367" s="38"/>
      <c r="R367" s="38"/>
      <c r="S367" s="38"/>
      <c r="T367" s="38"/>
      <c r="U367" s="38"/>
      <c r="V367" s="38"/>
      <c r="W367" s="38"/>
      <c r="X367" s="38"/>
      <c r="Y367" s="38"/>
      <c r="Z367" s="38"/>
    </row>
    <row r="368" spans="1:26">
      <c r="A368" s="57"/>
      <c r="B368" s="57"/>
      <c r="C368" s="58" t="s">
        <v>73</v>
      </c>
      <c r="D368" s="59">
        <v>0.05</v>
      </c>
      <c r="E368" s="60"/>
      <c r="F368" s="38"/>
      <c r="G368" s="38"/>
      <c r="H368" s="38"/>
      <c r="I368" s="38"/>
      <c r="J368" s="38"/>
      <c r="K368" s="38"/>
      <c r="L368" s="38"/>
      <c r="M368" s="38"/>
      <c r="N368" s="38"/>
      <c r="O368" s="38"/>
      <c r="P368" s="38"/>
      <c r="Q368" s="38"/>
      <c r="R368" s="38"/>
      <c r="S368" s="38"/>
      <c r="T368" s="38"/>
      <c r="U368" s="38"/>
      <c r="V368" s="38"/>
      <c r="W368" s="38"/>
      <c r="X368" s="38"/>
      <c r="Y368" s="38"/>
      <c r="Z368" s="38"/>
    </row>
    <row r="369" spans="1:26">
      <c r="A369" s="57"/>
      <c r="B369" s="57"/>
      <c r="C369" s="58" t="s">
        <v>75</v>
      </c>
      <c r="D369" s="59">
        <v>0.05</v>
      </c>
      <c r="E369" s="60"/>
      <c r="F369" s="38"/>
      <c r="G369" s="38"/>
      <c r="H369" s="38"/>
      <c r="I369" s="38"/>
      <c r="J369" s="38"/>
      <c r="K369" s="38"/>
      <c r="L369" s="38"/>
      <c r="M369" s="38"/>
      <c r="N369" s="38"/>
      <c r="O369" s="38"/>
      <c r="P369" s="38"/>
      <c r="Q369" s="38"/>
      <c r="R369" s="38"/>
      <c r="S369" s="38"/>
      <c r="T369" s="38"/>
      <c r="U369" s="38"/>
      <c r="V369" s="38"/>
      <c r="W369" s="38"/>
      <c r="X369" s="38"/>
      <c r="Y369" s="38"/>
      <c r="Z369" s="38"/>
    </row>
    <row r="370" spans="1:26">
      <c r="A370" s="57"/>
      <c r="B370" s="57"/>
      <c r="C370" s="58" t="s">
        <v>287</v>
      </c>
      <c r="D370" s="59">
        <v>0.05</v>
      </c>
      <c r="E370" s="60"/>
      <c r="F370" s="38"/>
      <c r="G370" s="38"/>
      <c r="H370" s="38"/>
      <c r="I370" s="38"/>
      <c r="J370" s="38"/>
      <c r="K370" s="38"/>
      <c r="L370" s="38"/>
      <c r="M370" s="38"/>
      <c r="N370" s="38"/>
      <c r="O370" s="38"/>
      <c r="P370" s="38"/>
      <c r="Q370" s="38"/>
      <c r="R370" s="38"/>
      <c r="S370" s="38"/>
      <c r="T370" s="38"/>
      <c r="U370" s="38"/>
      <c r="V370" s="38"/>
      <c r="W370" s="38"/>
      <c r="X370" s="38"/>
      <c r="Y370" s="38"/>
      <c r="Z370" s="38"/>
    </row>
    <row r="371" spans="1:26">
      <c r="A371" s="57"/>
      <c r="B371" s="50">
        <v>4</v>
      </c>
      <c r="C371" s="50" t="s">
        <v>79</v>
      </c>
      <c r="D371" s="55">
        <v>0.1</v>
      </c>
      <c r="E371" s="56"/>
      <c r="F371" s="38"/>
      <c r="G371" s="38"/>
      <c r="H371" s="38"/>
      <c r="I371" s="38"/>
      <c r="J371" s="38"/>
      <c r="K371" s="38"/>
      <c r="L371" s="38"/>
      <c r="M371" s="38"/>
      <c r="N371" s="38"/>
      <c r="O371" s="38"/>
      <c r="P371" s="38"/>
      <c r="Q371" s="38"/>
      <c r="R371" s="38"/>
      <c r="S371" s="38"/>
      <c r="T371" s="38"/>
      <c r="U371" s="38"/>
      <c r="V371" s="38"/>
      <c r="W371" s="38"/>
      <c r="X371" s="38"/>
      <c r="Y371" s="38"/>
      <c r="Z371" s="38"/>
    </row>
    <row r="372" spans="1:26">
      <c r="A372" s="57"/>
      <c r="B372" s="57"/>
      <c r="C372" s="58" t="s">
        <v>83</v>
      </c>
      <c r="D372" s="59">
        <v>0.1</v>
      </c>
      <c r="E372" s="60"/>
      <c r="F372" s="38"/>
      <c r="G372" s="38"/>
      <c r="H372" s="38"/>
      <c r="I372" s="38"/>
      <c r="J372" s="38"/>
      <c r="K372" s="38"/>
      <c r="L372" s="38"/>
      <c r="M372" s="38"/>
      <c r="N372" s="38"/>
      <c r="O372" s="38"/>
      <c r="P372" s="38"/>
      <c r="Q372" s="38"/>
      <c r="R372" s="38"/>
      <c r="S372" s="38"/>
      <c r="T372" s="38"/>
      <c r="U372" s="38"/>
      <c r="V372" s="38"/>
      <c r="W372" s="38"/>
      <c r="X372" s="38"/>
      <c r="Y372" s="38"/>
      <c r="Z372" s="38"/>
    </row>
    <row r="373" spans="1:26">
      <c r="A373" s="57"/>
      <c r="B373" s="50">
        <v>5</v>
      </c>
      <c r="C373" s="50" t="s">
        <v>469</v>
      </c>
      <c r="D373" s="55">
        <v>0.1</v>
      </c>
      <c r="E373" s="56"/>
      <c r="F373" s="38"/>
      <c r="G373" s="38"/>
      <c r="H373" s="38"/>
      <c r="I373" s="38"/>
      <c r="J373" s="38"/>
      <c r="K373" s="38"/>
      <c r="L373" s="38"/>
      <c r="M373" s="38"/>
      <c r="N373" s="38"/>
      <c r="O373" s="38"/>
      <c r="P373" s="38"/>
      <c r="Q373" s="38"/>
      <c r="R373" s="38"/>
      <c r="S373" s="38"/>
      <c r="T373" s="38"/>
      <c r="U373" s="38"/>
      <c r="V373" s="38"/>
      <c r="W373" s="38"/>
      <c r="X373" s="38"/>
      <c r="Y373" s="38"/>
      <c r="Z373" s="38"/>
    </row>
    <row r="374" spans="1:26">
      <c r="A374" s="57"/>
      <c r="B374" s="57"/>
      <c r="C374" s="58" t="s">
        <v>476</v>
      </c>
      <c r="D374" s="59">
        <v>0.1</v>
      </c>
      <c r="E374" s="60"/>
      <c r="F374" s="38"/>
      <c r="G374" s="38"/>
      <c r="H374" s="38"/>
      <c r="I374" s="38"/>
      <c r="J374" s="38"/>
      <c r="K374" s="38"/>
      <c r="L374" s="38"/>
      <c r="M374" s="38"/>
      <c r="N374" s="38"/>
      <c r="O374" s="38"/>
      <c r="P374" s="38"/>
      <c r="Q374" s="38"/>
      <c r="R374" s="38"/>
      <c r="S374" s="38"/>
      <c r="T374" s="38"/>
      <c r="U374" s="38"/>
      <c r="V374" s="38"/>
      <c r="W374" s="38"/>
      <c r="X374" s="38"/>
      <c r="Y374" s="38"/>
      <c r="Z374" s="38"/>
    </row>
    <row r="375" spans="1:26">
      <c r="A375" s="50" t="s">
        <v>1260</v>
      </c>
      <c r="B375" s="51"/>
      <c r="C375" s="51"/>
      <c r="D375" s="55">
        <v>1.0000000000000002</v>
      </c>
      <c r="E375" s="56"/>
      <c r="F375" s="38"/>
      <c r="G375" s="38"/>
      <c r="H375" s="38"/>
      <c r="I375" s="38"/>
      <c r="J375" s="38"/>
      <c r="K375" s="38"/>
      <c r="L375" s="38"/>
      <c r="M375" s="38"/>
      <c r="N375" s="38"/>
      <c r="O375" s="38"/>
      <c r="P375" s="38"/>
      <c r="Q375" s="38"/>
      <c r="R375" s="38"/>
      <c r="S375" s="38"/>
      <c r="T375" s="38"/>
      <c r="U375" s="38"/>
      <c r="V375" s="38"/>
      <c r="W375" s="38"/>
      <c r="X375" s="38"/>
      <c r="Y375" s="38"/>
      <c r="Z375" s="38"/>
    </row>
    <row r="376" spans="1:26">
      <c r="A376" s="50" t="s">
        <v>839</v>
      </c>
      <c r="B376" s="50">
        <v>1</v>
      </c>
      <c r="C376" s="50" t="s">
        <v>34</v>
      </c>
      <c r="D376" s="55">
        <v>2.5000000000000001E-2</v>
      </c>
      <c r="E376" s="56"/>
      <c r="F376" s="38"/>
      <c r="G376" s="38"/>
      <c r="H376" s="38"/>
      <c r="I376" s="38"/>
      <c r="J376" s="38"/>
      <c r="K376" s="38"/>
      <c r="L376" s="38"/>
      <c r="M376" s="38"/>
      <c r="N376" s="38"/>
      <c r="O376" s="38"/>
      <c r="P376" s="38"/>
      <c r="Q376" s="38"/>
      <c r="R376" s="38"/>
      <c r="S376" s="38"/>
      <c r="T376" s="38"/>
      <c r="U376" s="38"/>
      <c r="V376" s="38"/>
      <c r="W376" s="38"/>
      <c r="X376" s="38"/>
      <c r="Y376" s="38"/>
      <c r="Z376" s="38"/>
    </row>
    <row r="377" spans="1:26">
      <c r="A377" s="57"/>
      <c r="B377" s="57"/>
      <c r="C377" s="58" t="s">
        <v>47</v>
      </c>
      <c r="D377" s="59">
        <v>2.5000000000000001E-2</v>
      </c>
      <c r="E377" s="60"/>
      <c r="F377" s="38"/>
      <c r="G377" s="38"/>
      <c r="H377" s="38"/>
      <c r="I377" s="38"/>
      <c r="J377" s="38"/>
      <c r="K377" s="38"/>
      <c r="L377" s="38"/>
      <c r="M377" s="38"/>
      <c r="N377" s="38"/>
      <c r="O377" s="38"/>
      <c r="P377" s="38"/>
      <c r="Q377" s="38"/>
      <c r="R377" s="38"/>
      <c r="S377" s="38"/>
      <c r="T377" s="38"/>
      <c r="U377" s="38"/>
      <c r="V377" s="38"/>
      <c r="W377" s="38"/>
      <c r="X377" s="38"/>
      <c r="Y377" s="38"/>
      <c r="Z377" s="38"/>
    </row>
    <row r="378" spans="1:26">
      <c r="A378" s="57"/>
      <c r="B378" s="57"/>
      <c r="C378" s="58" t="s">
        <v>49</v>
      </c>
      <c r="D378" s="59">
        <v>2.5000000000000001E-2</v>
      </c>
      <c r="E378" s="60"/>
      <c r="F378" s="38"/>
      <c r="G378" s="38"/>
      <c r="H378" s="38"/>
      <c r="I378" s="38"/>
      <c r="J378" s="38"/>
      <c r="K378" s="38"/>
      <c r="L378" s="38"/>
      <c r="M378" s="38"/>
      <c r="N378" s="38"/>
      <c r="O378" s="38"/>
      <c r="P378" s="38"/>
      <c r="Q378" s="38"/>
      <c r="R378" s="38"/>
      <c r="S378" s="38"/>
      <c r="T378" s="38"/>
      <c r="U378" s="38"/>
      <c r="V378" s="38"/>
      <c r="W378" s="38"/>
      <c r="X378" s="38"/>
      <c r="Y378" s="38"/>
      <c r="Z378" s="38"/>
    </row>
    <row r="379" spans="1:26">
      <c r="A379" s="57"/>
      <c r="B379" s="57"/>
      <c r="C379" s="58" t="s">
        <v>52</v>
      </c>
      <c r="D379" s="59">
        <v>2.5000000000000001E-2</v>
      </c>
      <c r="E379" s="60"/>
      <c r="F379" s="38"/>
      <c r="G379" s="38"/>
      <c r="H379" s="38"/>
      <c r="I379" s="38"/>
      <c r="J379" s="38"/>
      <c r="K379" s="38"/>
      <c r="L379" s="38"/>
      <c r="M379" s="38"/>
      <c r="N379" s="38"/>
      <c r="O379" s="38"/>
      <c r="P379" s="38"/>
      <c r="Q379" s="38"/>
      <c r="R379" s="38"/>
      <c r="S379" s="38"/>
      <c r="T379" s="38"/>
      <c r="U379" s="38"/>
      <c r="V379" s="38"/>
      <c r="W379" s="38"/>
      <c r="X379" s="38"/>
      <c r="Y379" s="38"/>
      <c r="Z379" s="38"/>
    </row>
    <row r="380" spans="1:26">
      <c r="A380" s="57"/>
      <c r="B380" s="50">
        <v>2</v>
      </c>
      <c r="C380" s="50" t="s">
        <v>56</v>
      </c>
      <c r="D380" s="55">
        <v>3.3000000000000002E-2</v>
      </c>
      <c r="E380" s="56"/>
      <c r="F380" s="38"/>
      <c r="G380" s="38"/>
      <c r="H380" s="38"/>
      <c r="I380" s="38"/>
      <c r="J380" s="38"/>
      <c r="K380" s="38"/>
      <c r="L380" s="38"/>
      <c r="M380" s="38"/>
      <c r="N380" s="38"/>
      <c r="O380" s="38"/>
      <c r="P380" s="38"/>
      <c r="Q380" s="38"/>
      <c r="R380" s="38"/>
      <c r="S380" s="38"/>
      <c r="T380" s="38"/>
      <c r="U380" s="38"/>
      <c r="V380" s="38"/>
      <c r="W380" s="38"/>
      <c r="X380" s="38"/>
      <c r="Y380" s="38"/>
      <c r="Z380" s="38"/>
    </row>
    <row r="381" spans="1:26">
      <c r="A381" s="57"/>
      <c r="B381" s="57"/>
      <c r="C381" s="58" t="s">
        <v>60</v>
      </c>
      <c r="D381" s="59">
        <v>3.3000000000000002E-2</v>
      </c>
      <c r="E381" s="60"/>
      <c r="F381" s="38"/>
      <c r="G381" s="38"/>
      <c r="H381" s="38"/>
      <c r="I381" s="38"/>
      <c r="J381" s="38"/>
      <c r="K381" s="38"/>
      <c r="L381" s="38"/>
      <c r="M381" s="38"/>
      <c r="N381" s="38"/>
      <c r="O381" s="38"/>
      <c r="P381" s="38"/>
      <c r="Q381" s="38"/>
      <c r="R381" s="38"/>
      <c r="S381" s="38"/>
      <c r="T381" s="38"/>
      <c r="U381" s="38"/>
      <c r="V381" s="38"/>
      <c r="W381" s="38"/>
      <c r="X381" s="38"/>
      <c r="Y381" s="38"/>
      <c r="Z381" s="38"/>
    </row>
    <row r="382" spans="1:26">
      <c r="A382" s="57"/>
      <c r="B382" s="57"/>
      <c r="C382" s="58" t="s">
        <v>63</v>
      </c>
      <c r="D382" s="59">
        <v>3.3000000000000002E-2</v>
      </c>
      <c r="E382" s="60"/>
      <c r="F382" s="38"/>
      <c r="G382" s="38"/>
      <c r="H382" s="38"/>
      <c r="I382" s="38"/>
      <c r="J382" s="38"/>
      <c r="K382" s="38"/>
      <c r="L382" s="38"/>
      <c r="M382" s="38"/>
      <c r="N382" s="38"/>
      <c r="O382" s="38"/>
      <c r="P382" s="38"/>
      <c r="Q382" s="38"/>
      <c r="R382" s="38"/>
      <c r="S382" s="38"/>
      <c r="T382" s="38"/>
      <c r="U382" s="38"/>
      <c r="V382" s="38"/>
      <c r="W382" s="38"/>
      <c r="X382" s="38"/>
      <c r="Y382" s="38"/>
      <c r="Z382" s="38"/>
    </row>
    <row r="383" spans="1:26">
      <c r="A383" s="57"/>
      <c r="B383" s="57"/>
      <c r="C383" s="58" t="s">
        <v>110</v>
      </c>
      <c r="D383" s="59">
        <v>3.3000000000000002E-2</v>
      </c>
      <c r="E383" s="60"/>
      <c r="F383" s="38"/>
      <c r="G383" s="38"/>
      <c r="H383" s="38"/>
      <c r="I383" s="38"/>
      <c r="J383" s="38"/>
      <c r="K383" s="38"/>
      <c r="L383" s="38"/>
      <c r="M383" s="38"/>
      <c r="N383" s="38"/>
      <c r="O383" s="38"/>
      <c r="P383" s="38"/>
      <c r="Q383" s="38"/>
      <c r="R383" s="38"/>
      <c r="S383" s="38"/>
      <c r="T383" s="38"/>
      <c r="U383" s="38"/>
      <c r="V383" s="38"/>
      <c r="W383" s="38"/>
      <c r="X383" s="38"/>
      <c r="Y383" s="38"/>
      <c r="Z383" s="38"/>
    </row>
    <row r="384" spans="1:26">
      <c r="A384" s="57"/>
      <c r="B384" s="57"/>
      <c r="C384" s="58" t="s">
        <v>112</v>
      </c>
      <c r="D384" s="59">
        <v>3.3000000000000002E-2</v>
      </c>
      <c r="E384" s="60"/>
      <c r="F384" s="38"/>
      <c r="G384" s="38"/>
      <c r="H384" s="38"/>
      <c r="I384" s="38"/>
      <c r="J384" s="38"/>
      <c r="K384" s="38"/>
      <c r="L384" s="38"/>
      <c r="M384" s="38"/>
      <c r="N384" s="38"/>
      <c r="O384" s="38"/>
      <c r="P384" s="38"/>
      <c r="Q384" s="38"/>
      <c r="R384" s="38"/>
      <c r="S384" s="38"/>
      <c r="T384" s="38"/>
      <c r="U384" s="38"/>
      <c r="V384" s="38"/>
      <c r="W384" s="38"/>
      <c r="X384" s="38"/>
      <c r="Y384" s="38"/>
      <c r="Z384" s="38"/>
    </row>
    <row r="385" spans="1:26">
      <c r="A385" s="57"/>
      <c r="B385" s="57"/>
      <c r="C385" s="58" t="s">
        <v>114</v>
      </c>
      <c r="D385" s="59">
        <v>3.3000000000000002E-2</v>
      </c>
      <c r="E385" s="60"/>
      <c r="F385" s="38"/>
      <c r="G385" s="38"/>
      <c r="H385" s="38"/>
      <c r="I385" s="38"/>
      <c r="J385" s="38"/>
      <c r="K385" s="38"/>
      <c r="L385" s="38"/>
      <c r="M385" s="38"/>
      <c r="N385" s="38"/>
      <c r="O385" s="38"/>
      <c r="P385" s="38"/>
      <c r="Q385" s="38"/>
      <c r="R385" s="38"/>
      <c r="S385" s="38"/>
      <c r="T385" s="38"/>
      <c r="U385" s="38"/>
      <c r="V385" s="38"/>
      <c r="W385" s="38"/>
      <c r="X385" s="38"/>
      <c r="Y385" s="38"/>
      <c r="Z385" s="38"/>
    </row>
    <row r="386" spans="1:26">
      <c r="A386" s="57"/>
      <c r="B386" s="50">
        <v>3</v>
      </c>
      <c r="C386" s="50" t="s">
        <v>68</v>
      </c>
      <c r="D386" s="55">
        <v>3.7999999999999999E-2</v>
      </c>
      <c r="E386" s="56"/>
      <c r="F386" s="38"/>
      <c r="G386" s="38"/>
      <c r="H386" s="38"/>
      <c r="I386" s="38"/>
      <c r="J386" s="38"/>
      <c r="K386" s="38"/>
      <c r="L386" s="38"/>
      <c r="M386" s="38"/>
      <c r="N386" s="38"/>
      <c r="O386" s="38"/>
      <c r="P386" s="38"/>
      <c r="Q386" s="38"/>
      <c r="R386" s="38"/>
      <c r="S386" s="38"/>
      <c r="T386" s="38"/>
      <c r="U386" s="38"/>
      <c r="V386" s="38"/>
      <c r="W386" s="38"/>
      <c r="X386" s="38"/>
      <c r="Y386" s="38"/>
      <c r="Z386" s="38"/>
    </row>
    <row r="387" spans="1:26">
      <c r="A387" s="57"/>
      <c r="B387" s="57"/>
      <c r="C387" s="58" t="s">
        <v>73</v>
      </c>
      <c r="D387" s="59">
        <v>3.7999999999999999E-2</v>
      </c>
      <c r="E387" s="60"/>
      <c r="F387" s="38"/>
      <c r="G387" s="38"/>
      <c r="H387" s="38"/>
      <c r="I387" s="38"/>
      <c r="J387" s="38"/>
      <c r="K387" s="38"/>
      <c r="L387" s="38"/>
      <c r="M387" s="38"/>
      <c r="N387" s="38"/>
      <c r="O387" s="38"/>
      <c r="P387" s="38"/>
      <c r="Q387" s="38"/>
      <c r="R387" s="38"/>
      <c r="S387" s="38"/>
      <c r="T387" s="38"/>
      <c r="U387" s="38"/>
      <c r="V387" s="38"/>
      <c r="W387" s="38"/>
      <c r="X387" s="38"/>
      <c r="Y387" s="38"/>
      <c r="Z387" s="38"/>
    </row>
    <row r="388" spans="1:26">
      <c r="A388" s="57"/>
      <c r="B388" s="57"/>
      <c r="C388" s="58" t="s">
        <v>75</v>
      </c>
      <c r="D388" s="59">
        <v>3.7999999999999999E-2</v>
      </c>
      <c r="E388" s="60"/>
      <c r="F388" s="38"/>
      <c r="G388" s="38"/>
      <c r="H388" s="38"/>
      <c r="I388" s="38"/>
      <c r="J388" s="38"/>
      <c r="K388" s="38"/>
      <c r="L388" s="38"/>
      <c r="M388" s="38"/>
      <c r="N388" s="38"/>
      <c r="O388" s="38"/>
      <c r="P388" s="38"/>
      <c r="Q388" s="38"/>
      <c r="R388" s="38"/>
      <c r="S388" s="38"/>
      <c r="T388" s="38"/>
      <c r="U388" s="38"/>
      <c r="V388" s="38"/>
      <c r="W388" s="38"/>
      <c r="X388" s="38"/>
      <c r="Y388" s="38"/>
      <c r="Z388" s="38"/>
    </row>
    <row r="389" spans="1:26">
      <c r="A389" s="57"/>
      <c r="B389" s="57"/>
      <c r="C389" s="58" t="s">
        <v>287</v>
      </c>
      <c r="D389" s="59">
        <v>3.7999999999999999E-2</v>
      </c>
      <c r="E389" s="60"/>
      <c r="F389" s="38"/>
      <c r="G389" s="38"/>
      <c r="H389" s="38"/>
      <c r="I389" s="38"/>
      <c r="J389" s="38"/>
      <c r="K389" s="38"/>
      <c r="L389" s="38"/>
      <c r="M389" s="38"/>
      <c r="N389" s="38"/>
      <c r="O389" s="38"/>
      <c r="P389" s="38"/>
      <c r="Q389" s="38"/>
      <c r="R389" s="38"/>
      <c r="S389" s="38"/>
      <c r="T389" s="38"/>
      <c r="U389" s="38"/>
      <c r="V389" s="38"/>
      <c r="W389" s="38"/>
      <c r="X389" s="38"/>
      <c r="Y389" s="38"/>
      <c r="Z389" s="38"/>
    </row>
    <row r="390" spans="1:26">
      <c r="A390" s="57"/>
      <c r="B390" s="50">
        <v>4</v>
      </c>
      <c r="C390" s="50" t="s">
        <v>79</v>
      </c>
      <c r="D390" s="55">
        <v>3.7999999999999999E-2</v>
      </c>
      <c r="E390" s="56">
        <v>3.5000000000000003E-2</v>
      </c>
      <c r="F390" s="38"/>
      <c r="G390" s="38"/>
      <c r="H390" s="38"/>
      <c r="I390" s="38"/>
      <c r="J390" s="38"/>
      <c r="K390" s="38"/>
      <c r="L390" s="38"/>
      <c r="M390" s="38"/>
      <c r="N390" s="38"/>
      <c r="O390" s="38"/>
      <c r="P390" s="38"/>
      <c r="Q390" s="38"/>
      <c r="R390" s="38"/>
      <c r="S390" s="38"/>
      <c r="T390" s="38"/>
      <c r="U390" s="38"/>
      <c r="V390" s="38"/>
      <c r="W390" s="38"/>
      <c r="X390" s="38"/>
      <c r="Y390" s="38"/>
      <c r="Z390" s="38"/>
    </row>
    <row r="391" spans="1:26">
      <c r="A391" s="57"/>
      <c r="B391" s="57"/>
      <c r="C391" s="58" t="s">
        <v>83</v>
      </c>
      <c r="D391" s="59">
        <v>3.7999999999999999E-2</v>
      </c>
      <c r="E391" s="60">
        <v>3.5000000000000003E-2</v>
      </c>
      <c r="F391" s="38"/>
      <c r="G391" s="38"/>
      <c r="H391" s="38"/>
      <c r="I391" s="38"/>
      <c r="J391" s="38"/>
      <c r="K391" s="38"/>
      <c r="L391" s="38"/>
      <c r="M391" s="38"/>
      <c r="N391" s="38"/>
      <c r="O391" s="38"/>
      <c r="P391" s="38"/>
      <c r="Q391" s="38"/>
      <c r="R391" s="38"/>
      <c r="S391" s="38"/>
      <c r="T391" s="38"/>
      <c r="U391" s="38"/>
      <c r="V391" s="38"/>
      <c r="W391" s="38"/>
      <c r="X391" s="38"/>
      <c r="Y391" s="38"/>
      <c r="Z391" s="38"/>
    </row>
    <row r="392" spans="1:26">
      <c r="A392" s="57"/>
      <c r="B392" s="57"/>
      <c r="C392" s="58" t="s">
        <v>86</v>
      </c>
      <c r="D392" s="59">
        <v>3.7999999999999999E-2</v>
      </c>
      <c r="E392" s="60">
        <v>3.2000000000000001E-2</v>
      </c>
      <c r="F392" s="38"/>
      <c r="G392" s="38"/>
      <c r="H392" s="38"/>
      <c r="I392" s="38"/>
      <c r="J392" s="38"/>
      <c r="K392" s="38"/>
      <c r="L392" s="38"/>
      <c r="M392" s="38"/>
      <c r="N392" s="38"/>
      <c r="O392" s="38"/>
      <c r="P392" s="38"/>
      <c r="Q392" s="38"/>
      <c r="R392" s="38"/>
      <c r="S392" s="38"/>
      <c r="T392" s="38"/>
      <c r="U392" s="38"/>
      <c r="V392" s="38"/>
      <c r="W392" s="38"/>
      <c r="X392" s="38"/>
      <c r="Y392" s="38"/>
      <c r="Z392" s="38"/>
    </row>
    <row r="393" spans="1:26">
      <c r="A393" s="57"/>
      <c r="B393" s="57"/>
      <c r="C393" s="58" t="s">
        <v>89</v>
      </c>
      <c r="D393" s="59">
        <v>3.7999999999999999E-2</v>
      </c>
      <c r="E393" s="60">
        <v>0</v>
      </c>
      <c r="F393" s="38"/>
      <c r="G393" s="38"/>
      <c r="H393" s="38"/>
      <c r="I393" s="38"/>
      <c r="J393" s="38"/>
      <c r="K393" s="38"/>
      <c r="L393" s="38"/>
      <c r="M393" s="38"/>
      <c r="N393" s="38"/>
      <c r="O393" s="38"/>
      <c r="P393" s="38"/>
      <c r="Q393" s="38"/>
      <c r="R393" s="38"/>
      <c r="S393" s="38"/>
      <c r="T393" s="38"/>
      <c r="U393" s="38"/>
      <c r="V393" s="38"/>
      <c r="W393" s="38"/>
      <c r="X393" s="38"/>
      <c r="Y393" s="38"/>
      <c r="Z393" s="38"/>
    </row>
    <row r="394" spans="1:26">
      <c r="A394" s="57"/>
      <c r="B394" s="50">
        <v>5</v>
      </c>
      <c r="C394" s="50" t="s">
        <v>469</v>
      </c>
      <c r="D394" s="55">
        <v>3.7999999999999999E-2</v>
      </c>
      <c r="E394" s="56"/>
      <c r="F394" s="38"/>
      <c r="G394" s="38"/>
      <c r="H394" s="38"/>
      <c r="I394" s="38"/>
      <c r="J394" s="38"/>
      <c r="K394" s="38"/>
      <c r="L394" s="38"/>
      <c r="M394" s="38"/>
      <c r="N394" s="38"/>
      <c r="O394" s="38"/>
      <c r="P394" s="38"/>
      <c r="Q394" s="38"/>
      <c r="R394" s="38"/>
      <c r="S394" s="38"/>
      <c r="T394" s="38"/>
      <c r="U394" s="38"/>
      <c r="V394" s="38"/>
      <c r="W394" s="38"/>
      <c r="X394" s="38"/>
      <c r="Y394" s="38"/>
      <c r="Z394" s="38"/>
    </row>
    <row r="395" spans="1:26">
      <c r="A395" s="57"/>
      <c r="B395" s="57"/>
      <c r="C395" s="58" t="s">
        <v>476</v>
      </c>
      <c r="D395" s="59">
        <v>3.7999999999999999E-2</v>
      </c>
      <c r="E395" s="60"/>
      <c r="F395" s="38"/>
      <c r="G395" s="38"/>
      <c r="H395" s="38"/>
      <c r="I395" s="38"/>
      <c r="J395" s="38"/>
      <c r="K395" s="38"/>
      <c r="L395" s="38"/>
      <c r="M395" s="38"/>
      <c r="N395" s="38"/>
      <c r="O395" s="38"/>
      <c r="P395" s="38"/>
      <c r="Q395" s="38"/>
      <c r="R395" s="38"/>
      <c r="S395" s="38"/>
      <c r="T395" s="38"/>
      <c r="U395" s="38"/>
      <c r="V395" s="38"/>
      <c r="W395" s="38"/>
      <c r="X395" s="38"/>
      <c r="Y395" s="38"/>
      <c r="Z395" s="38"/>
    </row>
    <row r="396" spans="1:26">
      <c r="A396" s="57"/>
      <c r="B396" s="57"/>
      <c r="C396" s="58" t="s">
        <v>482</v>
      </c>
      <c r="D396" s="59">
        <v>3.7999999999999999E-2</v>
      </c>
      <c r="E396" s="60"/>
      <c r="F396" s="38"/>
      <c r="G396" s="38"/>
      <c r="H396" s="38"/>
      <c r="I396" s="38"/>
      <c r="J396" s="38"/>
      <c r="K396" s="38"/>
      <c r="L396" s="38"/>
      <c r="M396" s="38"/>
      <c r="N396" s="38"/>
      <c r="O396" s="38"/>
      <c r="P396" s="38"/>
      <c r="Q396" s="38"/>
      <c r="R396" s="38"/>
      <c r="S396" s="38"/>
      <c r="T396" s="38"/>
      <c r="U396" s="38"/>
      <c r="V396" s="38"/>
      <c r="W396" s="38"/>
      <c r="X396" s="38"/>
      <c r="Y396" s="38"/>
      <c r="Z396" s="38"/>
    </row>
    <row r="397" spans="1:26">
      <c r="A397" s="57"/>
      <c r="B397" s="57"/>
      <c r="C397" s="58" t="s">
        <v>888</v>
      </c>
      <c r="D397" s="59">
        <v>3.7999999999999999E-2</v>
      </c>
      <c r="E397" s="60"/>
      <c r="F397" s="38"/>
      <c r="G397" s="38"/>
      <c r="H397" s="38"/>
      <c r="I397" s="38"/>
      <c r="J397" s="38"/>
      <c r="K397" s="38"/>
      <c r="L397" s="38"/>
      <c r="M397" s="38"/>
      <c r="N397" s="38"/>
      <c r="O397" s="38"/>
      <c r="P397" s="38"/>
      <c r="Q397" s="38"/>
      <c r="R397" s="38"/>
      <c r="S397" s="38"/>
      <c r="T397" s="38"/>
      <c r="U397" s="38"/>
      <c r="V397" s="38"/>
      <c r="W397" s="38"/>
      <c r="X397" s="38"/>
      <c r="Y397" s="38"/>
      <c r="Z397" s="38"/>
    </row>
    <row r="398" spans="1:26">
      <c r="A398" s="57"/>
      <c r="B398" s="50">
        <v>6</v>
      </c>
      <c r="C398" s="50" t="s">
        <v>648</v>
      </c>
      <c r="D398" s="55">
        <v>1.2500000000000001E-2</v>
      </c>
      <c r="E398" s="56">
        <v>1.2999999999999999E-2</v>
      </c>
      <c r="F398" s="38"/>
      <c r="G398" s="38"/>
      <c r="H398" s="38"/>
      <c r="I398" s="38"/>
      <c r="J398" s="38"/>
      <c r="K398" s="38"/>
      <c r="L398" s="38"/>
      <c r="M398" s="38"/>
      <c r="N398" s="38"/>
      <c r="O398" s="38"/>
      <c r="P398" s="38"/>
      <c r="Q398" s="38"/>
      <c r="R398" s="38"/>
      <c r="S398" s="38"/>
      <c r="T398" s="38"/>
      <c r="U398" s="38"/>
      <c r="V398" s="38"/>
      <c r="W398" s="38"/>
      <c r="X398" s="38"/>
      <c r="Y398" s="38"/>
      <c r="Z398" s="38"/>
    </row>
    <row r="399" spans="1:26">
      <c r="A399" s="57"/>
      <c r="B399" s="57"/>
      <c r="C399" s="58" t="s">
        <v>651</v>
      </c>
      <c r="D399" s="59">
        <v>1.2500000000000001E-2</v>
      </c>
      <c r="E399" s="60"/>
      <c r="F399" s="38"/>
      <c r="G399" s="38"/>
      <c r="H399" s="38"/>
      <c r="I399" s="38"/>
      <c r="J399" s="38"/>
      <c r="K399" s="38"/>
      <c r="L399" s="38"/>
      <c r="M399" s="38"/>
      <c r="N399" s="38"/>
      <c r="O399" s="38"/>
      <c r="P399" s="38"/>
      <c r="Q399" s="38"/>
      <c r="R399" s="38"/>
      <c r="S399" s="38"/>
      <c r="T399" s="38"/>
      <c r="U399" s="38"/>
      <c r="V399" s="38"/>
      <c r="W399" s="38"/>
      <c r="X399" s="38"/>
      <c r="Y399" s="38"/>
      <c r="Z399" s="38"/>
    </row>
    <row r="400" spans="1:26">
      <c r="A400" s="57"/>
      <c r="B400" s="57"/>
      <c r="C400" s="58" t="s">
        <v>723</v>
      </c>
      <c r="D400" s="59">
        <v>1.2500000000000001E-2</v>
      </c>
      <c r="E400" s="60"/>
      <c r="F400" s="38"/>
      <c r="G400" s="38"/>
      <c r="H400" s="38"/>
      <c r="I400" s="38"/>
      <c r="J400" s="38"/>
      <c r="K400" s="38"/>
      <c r="L400" s="38"/>
      <c r="M400" s="38"/>
      <c r="N400" s="38"/>
      <c r="O400" s="38"/>
      <c r="P400" s="38"/>
      <c r="Q400" s="38"/>
      <c r="R400" s="38"/>
      <c r="S400" s="38"/>
      <c r="T400" s="38"/>
      <c r="U400" s="38"/>
      <c r="V400" s="38"/>
      <c r="W400" s="38"/>
      <c r="X400" s="38"/>
      <c r="Y400" s="38"/>
      <c r="Z400" s="38"/>
    </row>
    <row r="401" spans="1:26">
      <c r="A401" s="57"/>
      <c r="B401" s="57"/>
      <c r="C401" s="58" t="s">
        <v>895</v>
      </c>
      <c r="D401" s="59">
        <v>1.2500000000000001E-2</v>
      </c>
      <c r="E401" s="60"/>
      <c r="F401" s="38"/>
      <c r="G401" s="38"/>
      <c r="H401" s="38"/>
      <c r="I401" s="38"/>
      <c r="J401" s="38"/>
      <c r="K401" s="38"/>
      <c r="L401" s="38"/>
      <c r="M401" s="38"/>
      <c r="N401" s="38"/>
      <c r="O401" s="38"/>
      <c r="P401" s="38"/>
      <c r="Q401" s="38"/>
      <c r="R401" s="38"/>
      <c r="S401" s="38"/>
      <c r="T401" s="38"/>
      <c r="U401" s="38"/>
      <c r="V401" s="38"/>
      <c r="W401" s="38"/>
      <c r="X401" s="38"/>
      <c r="Y401" s="38"/>
      <c r="Z401" s="38"/>
    </row>
    <row r="402" spans="1:26">
      <c r="A402" s="57"/>
      <c r="B402" s="50">
        <v>7</v>
      </c>
      <c r="C402" s="50" t="s">
        <v>653</v>
      </c>
      <c r="D402" s="55">
        <v>0.05</v>
      </c>
      <c r="E402" s="56">
        <v>0.05</v>
      </c>
      <c r="F402" s="38"/>
      <c r="G402" s="38"/>
      <c r="H402" s="38"/>
      <c r="I402" s="38"/>
      <c r="J402" s="38"/>
      <c r="K402" s="38"/>
      <c r="L402" s="38"/>
      <c r="M402" s="38"/>
      <c r="N402" s="38"/>
      <c r="O402" s="38"/>
      <c r="P402" s="38"/>
      <c r="Q402" s="38"/>
      <c r="R402" s="38"/>
      <c r="S402" s="38"/>
      <c r="T402" s="38"/>
      <c r="U402" s="38"/>
      <c r="V402" s="38"/>
      <c r="W402" s="38"/>
      <c r="X402" s="38"/>
      <c r="Y402" s="38"/>
      <c r="Z402" s="38"/>
    </row>
    <row r="403" spans="1:26">
      <c r="A403" s="57"/>
      <c r="B403" s="57"/>
      <c r="C403" s="58" t="s">
        <v>657</v>
      </c>
      <c r="D403" s="59">
        <v>1.25E-3</v>
      </c>
      <c r="E403" s="60">
        <v>1E-3</v>
      </c>
      <c r="F403" s="38"/>
      <c r="G403" s="38"/>
      <c r="H403" s="38"/>
      <c r="I403" s="38"/>
      <c r="J403" s="38"/>
      <c r="K403" s="38"/>
      <c r="L403" s="38"/>
      <c r="M403" s="38"/>
      <c r="N403" s="38"/>
      <c r="O403" s="38"/>
      <c r="P403" s="38"/>
      <c r="Q403" s="38"/>
      <c r="R403" s="38"/>
      <c r="S403" s="38"/>
      <c r="T403" s="38"/>
      <c r="U403" s="38"/>
      <c r="V403" s="38"/>
      <c r="W403" s="38"/>
      <c r="X403" s="38"/>
      <c r="Y403" s="38"/>
      <c r="Z403" s="38"/>
    </row>
    <row r="404" spans="1:26">
      <c r="A404" s="57"/>
      <c r="B404" s="57"/>
      <c r="C404" s="58" t="s">
        <v>734</v>
      </c>
      <c r="D404" s="59">
        <v>1.25E-3</v>
      </c>
      <c r="E404" s="60"/>
      <c r="F404" s="38"/>
      <c r="G404" s="38"/>
      <c r="H404" s="38"/>
      <c r="I404" s="38"/>
      <c r="J404" s="38"/>
      <c r="K404" s="38"/>
      <c r="L404" s="38"/>
      <c r="M404" s="38"/>
      <c r="N404" s="38"/>
      <c r="O404" s="38"/>
      <c r="P404" s="38"/>
      <c r="Q404" s="38"/>
      <c r="R404" s="38"/>
      <c r="S404" s="38"/>
      <c r="T404" s="38"/>
      <c r="U404" s="38"/>
      <c r="V404" s="38"/>
      <c r="W404" s="38"/>
      <c r="X404" s="38"/>
      <c r="Y404" s="38"/>
      <c r="Z404" s="38"/>
    </row>
    <row r="405" spans="1:26">
      <c r="A405" s="57"/>
      <c r="B405" s="57"/>
      <c r="C405" s="58" t="s">
        <v>904</v>
      </c>
      <c r="D405" s="59">
        <v>1.25E-3</v>
      </c>
      <c r="E405" s="60"/>
      <c r="F405" s="38"/>
      <c r="G405" s="38"/>
      <c r="H405" s="38"/>
      <c r="I405" s="38"/>
      <c r="J405" s="38"/>
      <c r="K405" s="38"/>
      <c r="L405" s="38"/>
      <c r="M405" s="38"/>
      <c r="N405" s="38"/>
      <c r="O405" s="38"/>
      <c r="P405" s="38"/>
      <c r="Q405" s="38"/>
      <c r="R405" s="38"/>
      <c r="S405" s="38"/>
      <c r="T405" s="38"/>
      <c r="U405" s="38"/>
      <c r="V405" s="38"/>
      <c r="W405" s="38"/>
      <c r="X405" s="38"/>
      <c r="Y405" s="38"/>
      <c r="Z405" s="38"/>
    </row>
    <row r="406" spans="1:26">
      <c r="A406" s="57"/>
      <c r="B406" s="57"/>
      <c r="C406" s="58" t="s">
        <v>906</v>
      </c>
      <c r="D406" s="59">
        <v>1.25E-3</v>
      </c>
      <c r="E406" s="60"/>
      <c r="F406" s="38"/>
      <c r="G406" s="38"/>
      <c r="H406" s="38"/>
      <c r="I406" s="38"/>
      <c r="J406" s="38"/>
      <c r="K406" s="38"/>
      <c r="L406" s="38"/>
      <c r="M406" s="38"/>
      <c r="N406" s="38"/>
      <c r="O406" s="38"/>
      <c r="P406" s="38"/>
      <c r="Q406" s="38"/>
      <c r="R406" s="38"/>
      <c r="S406" s="38"/>
      <c r="T406" s="38"/>
      <c r="U406" s="38"/>
      <c r="V406" s="38"/>
      <c r="W406" s="38"/>
      <c r="X406" s="38"/>
      <c r="Y406" s="38"/>
      <c r="Z406" s="38"/>
    </row>
    <row r="407" spans="1:26">
      <c r="A407" s="57"/>
      <c r="B407" s="57"/>
      <c r="C407" s="58" t="s">
        <v>908</v>
      </c>
      <c r="D407" s="59">
        <v>3.5000000000000003E-2</v>
      </c>
      <c r="E407" s="60"/>
      <c r="F407" s="38"/>
      <c r="G407" s="38"/>
      <c r="H407" s="38"/>
      <c r="I407" s="38"/>
      <c r="J407" s="38"/>
      <c r="K407" s="38"/>
      <c r="L407" s="38"/>
      <c r="M407" s="38"/>
      <c r="N407" s="38"/>
      <c r="O407" s="38"/>
      <c r="P407" s="38"/>
      <c r="Q407" s="38"/>
      <c r="R407" s="38"/>
      <c r="S407" s="38"/>
      <c r="T407" s="38"/>
      <c r="U407" s="38"/>
      <c r="V407" s="38"/>
      <c r="W407" s="38"/>
      <c r="X407" s="38"/>
      <c r="Y407" s="38"/>
      <c r="Z407" s="38"/>
    </row>
    <row r="408" spans="1:26">
      <c r="A408" s="57"/>
      <c r="B408" s="57"/>
      <c r="C408" s="58" t="s">
        <v>912</v>
      </c>
      <c r="D408" s="59">
        <v>5.0000000000000001E-3</v>
      </c>
      <c r="E408" s="60"/>
      <c r="F408" s="38"/>
      <c r="G408" s="38"/>
      <c r="H408" s="38"/>
      <c r="I408" s="38"/>
      <c r="J408" s="38"/>
      <c r="K408" s="38"/>
      <c r="L408" s="38"/>
      <c r="M408" s="38"/>
      <c r="N408" s="38"/>
      <c r="O408" s="38"/>
      <c r="P408" s="38"/>
      <c r="Q408" s="38"/>
      <c r="R408" s="38"/>
      <c r="S408" s="38"/>
      <c r="T408" s="38"/>
      <c r="U408" s="38"/>
      <c r="V408" s="38"/>
      <c r="W408" s="38"/>
      <c r="X408" s="38"/>
      <c r="Y408" s="38"/>
      <c r="Z408" s="38"/>
    </row>
    <row r="409" spans="1:26">
      <c r="A409" s="57"/>
      <c r="B409" s="57"/>
      <c r="C409" s="58" t="s">
        <v>915</v>
      </c>
      <c r="D409" s="59">
        <v>5.0000000000000001E-3</v>
      </c>
      <c r="E409" s="60"/>
      <c r="F409" s="38"/>
      <c r="G409" s="38"/>
      <c r="H409" s="38"/>
      <c r="I409" s="38"/>
      <c r="J409" s="38"/>
      <c r="K409" s="38"/>
      <c r="L409" s="38"/>
      <c r="M409" s="38"/>
      <c r="N409" s="38"/>
      <c r="O409" s="38"/>
      <c r="P409" s="38"/>
      <c r="Q409" s="38"/>
      <c r="R409" s="38"/>
      <c r="S409" s="38"/>
      <c r="T409" s="38"/>
      <c r="U409" s="38"/>
      <c r="V409" s="38"/>
      <c r="W409" s="38"/>
      <c r="X409" s="38"/>
      <c r="Y409" s="38"/>
      <c r="Z409" s="38"/>
    </row>
    <row r="410" spans="1:26">
      <c r="A410" s="57"/>
      <c r="B410" s="57"/>
      <c r="C410" s="58" t="s">
        <v>918</v>
      </c>
      <c r="D410" s="59">
        <v>0.05</v>
      </c>
      <c r="E410" s="60">
        <v>3.2000000000000001E-2</v>
      </c>
      <c r="F410" s="38"/>
      <c r="G410" s="38"/>
      <c r="H410" s="38"/>
      <c r="I410" s="38"/>
      <c r="J410" s="38"/>
      <c r="K410" s="38"/>
      <c r="L410" s="38"/>
      <c r="M410" s="38"/>
      <c r="N410" s="38"/>
      <c r="O410" s="38"/>
      <c r="P410" s="38"/>
      <c r="Q410" s="38"/>
      <c r="R410" s="38"/>
      <c r="S410" s="38"/>
      <c r="T410" s="38"/>
      <c r="U410" s="38"/>
      <c r="V410" s="38"/>
      <c r="W410" s="38"/>
      <c r="X410" s="38"/>
      <c r="Y410" s="38"/>
      <c r="Z410" s="38"/>
    </row>
    <row r="411" spans="1:26">
      <c r="A411" s="57"/>
      <c r="B411" s="50">
        <v>8</v>
      </c>
      <c r="C411" s="50" t="s">
        <v>660</v>
      </c>
      <c r="D411" s="55">
        <v>2.5000000000000001E-2</v>
      </c>
      <c r="E411" s="56"/>
      <c r="F411" s="38"/>
      <c r="G411" s="38"/>
      <c r="H411" s="38"/>
      <c r="I411" s="38"/>
      <c r="J411" s="38"/>
      <c r="K411" s="38"/>
      <c r="L411" s="38"/>
      <c r="M411" s="38"/>
      <c r="N411" s="38"/>
      <c r="O411" s="38"/>
      <c r="P411" s="38"/>
      <c r="Q411" s="38"/>
      <c r="R411" s="38"/>
      <c r="S411" s="38"/>
      <c r="T411" s="38"/>
      <c r="U411" s="38"/>
      <c r="V411" s="38"/>
      <c r="W411" s="38"/>
      <c r="X411" s="38"/>
      <c r="Y411" s="38"/>
      <c r="Z411" s="38"/>
    </row>
    <row r="412" spans="1:26">
      <c r="A412" s="57"/>
      <c r="B412" s="57"/>
      <c r="C412" s="58" t="s">
        <v>665</v>
      </c>
      <c r="D412" s="59">
        <v>2.5000000000000001E-2</v>
      </c>
      <c r="E412" s="60"/>
      <c r="F412" s="38"/>
      <c r="G412" s="38"/>
      <c r="H412" s="38"/>
      <c r="I412" s="38"/>
      <c r="J412" s="38"/>
      <c r="K412" s="38"/>
      <c r="L412" s="38"/>
      <c r="M412" s="38"/>
      <c r="N412" s="38"/>
      <c r="O412" s="38"/>
      <c r="P412" s="38"/>
      <c r="Q412" s="38"/>
      <c r="R412" s="38"/>
      <c r="S412" s="38"/>
      <c r="T412" s="38"/>
      <c r="U412" s="38"/>
      <c r="V412" s="38"/>
      <c r="W412" s="38"/>
      <c r="X412" s="38"/>
      <c r="Y412" s="38"/>
      <c r="Z412" s="38"/>
    </row>
    <row r="413" spans="1:26">
      <c r="A413" s="50" t="s">
        <v>1261</v>
      </c>
      <c r="B413" s="51"/>
      <c r="C413" s="51"/>
      <c r="D413" s="55">
        <v>1.004</v>
      </c>
      <c r="E413" s="56">
        <v>0.19800000000000001</v>
      </c>
      <c r="F413" s="38"/>
      <c r="G413" s="38"/>
      <c r="H413" s="38"/>
      <c r="I413" s="38"/>
      <c r="J413" s="38"/>
      <c r="K413" s="38"/>
      <c r="L413" s="38"/>
      <c r="M413" s="38"/>
      <c r="N413" s="38"/>
      <c r="O413" s="38"/>
      <c r="P413" s="38"/>
      <c r="Q413" s="38"/>
      <c r="R413" s="38"/>
      <c r="S413" s="38"/>
      <c r="T413" s="38"/>
      <c r="U413" s="38"/>
      <c r="V413" s="38"/>
      <c r="W413" s="38"/>
      <c r="X413" s="38"/>
      <c r="Y413" s="38"/>
      <c r="Z413" s="38"/>
    </row>
    <row r="414" spans="1:26">
      <c r="A414" s="50" t="s">
        <v>487</v>
      </c>
      <c r="B414" s="50">
        <v>1</v>
      </c>
      <c r="C414" s="50" t="s">
        <v>34</v>
      </c>
      <c r="D414" s="55">
        <v>0.09</v>
      </c>
      <c r="E414" s="56">
        <v>0.09</v>
      </c>
      <c r="F414" s="38"/>
      <c r="G414" s="38"/>
      <c r="H414" s="38"/>
      <c r="I414" s="38"/>
      <c r="J414" s="38"/>
      <c r="K414" s="38"/>
      <c r="L414" s="38"/>
      <c r="M414" s="38"/>
      <c r="N414" s="38"/>
      <c r="O414" s="38"/>
      <c r="P414" s="38"/>
      <c r="Q414" s="38"/>
      <c r="R414" s="38"/>
      <c r="S414" s="38"/>
      <c r="T414" s="38"/>
      <c r="U414" s="38"/>
      <c r="V414" s="38"/>
      <c r="W414" s="38"/>
      <c r="X414" s="38"/>
      <c r="Y414" s="38"/>
      <c r="Z414" s="38"/>
    </row>
    <row r="415" spans="1:26">
      <c r="A415" s="57"/>
      <c r="B415" s="57"/>
      <c r="C415" s="58" t="s">
        <v>47</v>
      </c>
      <c r="D415" s="59">
        <v>0.27</v>
      </c>
      <c r="E415" s="60"/>
      <c r="F415" s="38"/>
      <c r="G415" s="38"/>
      <c r="H415" s="38"/>
      <c r="I415" s="38"/>
      <c r="J415" s="38"/>
      <c r="K415" s="38"/>
      <c r="L415" s="38"/>
      <c r="M415" s="38"/>
      <c r="N415" s="38"/>
      <c r="O415" s="38"/>
      <c r="P415" s="38"/>
      <c r="Q415" s="38"/>
      <c r="R415" s="38"/>
      <c r="S415" s="38"/>
      <c r="T415" s="38"/>
      <c r="U415" s="38"/>
      <c r="V415" s="38"/>
      <c r="W415" s="38"/>
      <c r="X415" s="38"/>
      <c r="Y415" s="38"/>
      <c r="Z415" s="38"/>
    </row>
    <row r="416" spans="1:26">
      <c r="A416" s="57"/>
      <c r="B416" s="57"/>
      <c r="C416" s="58" t="s">
        <v>49</v>
      </c>
      <c r="D416" s="59">
        <v>0.12</v>
      </c>
      <c r="E416" s="60"/>
      <c r="F416" s="38"/>
      <c r="G416" s="38"/>
      <c r="H416" s="38"/>
      <c r="I416" s="38"/>
      <c r="J416" s="38"/>
      <c r="K416" s="38"/>
      <c r="L416" s="38"/>
      <c r="M416" s="38"/>
      <c r="N416" s="38"/>
      <c r="O416" s="38"/>
      <c r="P416" s="38"/>
      <c r="Q416" s="38"/>
      <c r="R416" s="38"/>
      <c r="S416" s="38"/>
      <c r="T416" s="38"/>
      <c r="U416" s="38"/>
      <c r="V416" s="38"/>
      <c r="W416" s="38"/>
      <c r="X416" s="38"/>
      <c r="Y416" s="38"/>
      <c r="Z416" s="38"/>
    </row>
    <row r="417" spans="1:26">
      <c r="A417" s="57"/>
      <c r="B417" s="57"/>
      <c r="C417" s="58" t="s">
        <v>52</v>
      </c>
      <c r="D417" s="59">
        <v>0.12</v>
      </c>
      <c r="E417" s="60"/>
      <c r="F417" s="38"/>
      <c r="G417" s="38"/>
      <c r="H417" s="38"/>
      <c r="I417" s="38"/>
      <c r="J417" s="38"/>
      <c r="K417" s="38"/>
      <c r="L417" s="38"/>
      <c r="M417" s="38"/>
      <c r="N417" s="38"/>
      <c r="O417" s="38"/>
      <c r="P417" s="38"/>
      <c r="Q417" s="38"/>
      <c r="R417" s="38"/>
      <c r="S417" s="38"/>
      <c r="T417" s="38"/>
      <c r="U417" s="38"/>
      <c r="V417" s="38"/>
      <c r="W417" s="38"/>
      <c r="X417" s="38"/>
      <c r="Y417" s="38"/>
      <c r="Z417" s="38"/>
    </row>
    <row r="418" spans="1:26">
      <c r="A418" s="57"/>
      <c r="B418" s="50">
        <v>2</v>
      </c>
      <c r="C418" s="50" t="s">
        <v>56</v>
      </c>
      <c r="D418" s="55">
        <v>2.5000000000000001E-2</v>
      </c>
      <c r="E418" s="56">
        <v>2.5000000000000001E-2</v>
      </c>
      <c r="F418" s="38"/>
      <c r="G418" s="38"/>
      <c r="H418" s="38"/>
      <c r="I418" s="38"/>
      <c r="J418" s="38"/>
      <c r="K418" s="38"/>
      <c r="L418" s="38"/>
      <c r="M418" s="38"/>
      <c r="N418" s="38"/>
      <c r="O418" s="38"/>
      <c r="P418" s="38"/>
      <c r="Q418" s="38"/>
      <c r="R418" s="38"/>
      <c r="S418" s="38"/>
      <c r="T418" s="38"/>
      <c r="U418" s="38"/>
      <c r="V418" s="38"/>
      <c r="W418" s="38"/>
      <c r="X418" s="38"/>
      <c r="Y418" s="38"/>
      <c r="Z418" s="38"/>
    </row>
    <row r="419" spans="1:26">
      <c r="A419" s="57"/>
      <c r="B419" s="57"/>
      <c r="C419" s="58" t="s">
        <v>60</v>
      </c>
      <c r="D419" s="59">
        <v>2.5000000000000001E-2</v>
      </c>
      <c r="E419" s="60"/>
      <c r="F419" s="38"/>
      <c r="G419" s="38"/>
      <c r="H419" s="38"/>
      <c r="I419" s="38"/>
      <c r="J419" s="38"/>
      <c r="K419" s="38"/>
      <c r="L419" s="38"/>
      <c r="M419" s="38"/>
      <c r="N419" s="38"/>
      <c r="O419" s="38"/>
      <c r="P419" s="38"/>
      <c r="Q419" s="38"/>
      <c r="R419" s="38"/>
      <c r="S419" s="38"/>
      <c r="T419" s="38"/>
      <c r="U419" s="38"/>
      <c r="V419" s="38"/>
      <c r="W419" s="38"/>
      <c r="X419" s="38"/>
      <c r="Y419" s="38"/>
      <c r="Z419" s="38"/>
    </row>
    <row r="420" spans="1:26">
      <c r="A420" s="57"/>
      <c r="B420" s="57"/>
      <c r="C420" s="58" t="s">
        <v>63</v>
      </c>
      <c r="D420" s="59">
        <v>2.5000000000000001E-2</v>
      </c>
      <c r="E420" s="60"/>
      <c r="F420" s="38"/>
      <c r="G420" s="38"/>
      <c r="H420" s="38"/>
      <c r="I420" s="38"/>
      <c r="J420" s="38"/>
      <c r="K420" s="38"/>
      <c r="L420" s="38"/>
      <c r="M420" s="38"/>
      <c r="N420" s="38"/>
      <c r="O420" s="38"/>
      <c r="P420" s="38"/>
      <c r="Q420" s="38"/>
      <c r="R420" s="38"/>
      <c r="S420" s="38"/>
      <c r="T420" s="38"/>
      <c r="U420" s="38"/>
      <c r="V420" s="38"/>
      <c r="W420" s="38"/>
      <c r="X420" s="38"/>
      <c r="Y420" s="38"/>
      <c r="Z420" s="38"/>
    </row>
    <row r="421" spans="1:26">
      <c r="A421" s="57"/>
      <c r="B421" s="57"/>
      <c r="C421" s="58" t="s">
        <v>110</v>
      </c>
      <c r="D421" s="59">
        <v>2.5000000000000001E-2</v>
      </c>
      <c r="E421" s="60"/>
      <c r="F421" s="38"/>
      <c r="G421" s="38"/>
      <c r="H421" s="38"/>
      <c r="I421" s="38"/>
      <c r="J421" s="38"/>
      <c r="K421" s="38"/>
      <c r="L421" s="38"/>
      <c r="M421" s="38"/>
      <c r="N421" s="38"/>
      <c r="O421" s="38"/>
      <c r="P421" s="38"/>
      <c r="Q421" s="38"/>
      <c r="R421" s="38"/>
      <c r="S421" s="38"/>
      <c r="T421" s="38"/>
      <c r="U421" s="38"/>
      <c r="V421" s="38"/>
      <c r="W421" s="38"/>
      <c r="X421" s="38"/>
      <c r="Y421" s="38"/>
      <c r="Z421" s="38"/>
    </row>
    <row r="422" spans="1:26">
      <c r="A422" s="57"/>
      <c r="B422" s="50">
        <v>3</v>
      </c>
      <c r="C422" s="50" t="s">
        <v>68</v>
      </c>
      <c r="D422" s="55">
        <v>0.03</v>
      </c>
      <c r="E422" s="56"/>
      <c r="F422" s="38"/>
      <c r="G422" s="38"/>
      <c r="H422" s="38"/>
      <c r="I422" s="38"/>
      <c r="J422" s="38"/>
      <c r="K422" s="38"/>
      <c r="L422" s="38"/>
      <c r="M422" s="38"/>
      <c r="N422" s="38"/>
      <c r="O422" s="38"/>
      <c r="P422" s="38"/>
      <c r="Q422" s="38"/>
      <c r="R422" s="38"/>
      <c r="S422" s="38"/>
      <c r="T422" s="38"/>
      <c r="U422" s="38"/>
      <c r="V422" s="38"/>
      <c r="W422" s="38"/>
      <c r="X422" s="38"/>
      <c r="Y422" s="38"/>
      <c r="Z422" s="38"/>
    </row>
    <row r="423" spans="1:26">
      <c r="A423" s="57"/>
      <c r="B423" s="57"/>
      <c r="C423" s="58" t="s">
        <v>73</v>
      </c>
      <c r="D423" s="59">
        <v>0.02</v>
      </c>
      <c r="E423" s="60"/>
      <c r="F423" s="38"/>
      <c r="G423" s="38"/>
      <c r="H423" s="38"/>
      <c r="I423" s="38"/>
      <c r="J423" s="38"/>
      <c r="K423" s="38"/>
      <c r="L423" s="38"/>
      <c r="M423" s="38"/>
      <c r="N423" s="38"/>
      <c r="O423" s="38"/>
      <c r="P423" s="38"/>
      <c r="Q423" s="38"/>
      <c r="R423" s="38"/>
      <c r="S423" s="38"/>
      <c r="T423" s="38"/>
      <c r="U423" s="38"/>
      <c r="V423" s="38"/>
      <c r="W423" s="38"/>
      <c r="X423" s="38"/>
      <c r="Y423" s="38"/>
      <c r="Z423" s="38"/>
    </row>
    <row r="424" spans="1:26">
      <c r="A424" s="57"/>
      <c r="B424" s="57"/>
      <c r="C424" s="58" t="s">
        <v>75</v>
      </c>
      <c r="D424" s="59">
        <v>0.03</v>
      </c>
      <c r="E424" s="60"/>
      <c r="F424" s="38"/>
      <c r="G424" s="38"/>
      <c r="H424" s="38"/>
      <c r="I424" s="38"/>
      <c r="J424" s="38"/>
      <c r="K424" s="38"/>
      <c r="L424" s="38"/>
      <c r="M424" s="38"/>
      <c r="N424" s="38"/>
      <c r="O424" s="38"/>
      <c r="P424" s="38"/>
      <c r="Q424" s="38"/>
      <c r="R424" s="38"/>
      <c r="S424" s="38"/>
      <c r="T424" s="38"/>
      <c r="U424" s="38"/>
      <c r="V424" s="38"/>
      <c r="W424" s="38"/>
      <c r="X424" s="38"/>
      <c r="Y424" s="38"/>
      <c r="Z424" s="38"/>
    </row>
    <row r="425" spans="1:26">
      <c r="A425" s="57"/>
      <c r="B425" s="57"/>
      <c r="C425" s="58" t="s">
        <v>287</v>
      </c>
      <c r="D425" s="59">
        <v>0.05</v>
      </c>
      <c r="E425" s="60"/>
      <c r="F425" s="38"/>
      <c r="G425" s="38"/>
      <c r="H425" s="38"/>
      <c r="I425" s="38"/>
      <c r="J425" s="38"/>
      <c r="K425" s="38"/>
      <c r="L425" s="38"/>
      <c r="M425" s="38"/>
      <c r="N425" s="38"/>
      <c r="O425" s="38"/>
      <c r="P425" s="38"/>
      <c r="Q425" s="38"/>
      <c r="R425" s="38"/>
      <c r="S425" s="38"/>
      <c r="T425" s="38"/>
      <c r="U425" s="38"/>
      <c r="V425" s="38"/>
      <c r="W425" s="38"/>
      <c r="X425" s="38"/>
      <c r="Y425" s="38"/>
      <c r="Z425" s="38"/>
    </row>
    <row r="426" spans="1:26">
      <c r="A426" s="57"/>
      <c r="B426" s="57"/>
      <c r="C426" s="58" t="s">
        <v>290</v>
      </c>
      <c r="D426" s="59">
        <v>0.03</v>
      </c>
      <c r="E426" s="60"/>
      <c r="F426" s="38"/>
      <c r="G426" s="38"/>
      <c r="H426" s="38"/>
      <c r="I426" s="38"/>
      <c r="J426" s="38"/>
      <c r="K426" s="38"/>
      <c r="L426" s="38"/>
      <c r="M426" s="38"/>
      <c r="N426" s="38"/>
      <c r="O426" s="38"/>
      <c r="P426" s="38"/>
      <c r="Q426" s="38"/>
      <c r="R426" s="38"/>
      <c r="S426" s="38"/>
      <c r="T426" s="38"/>
      <c r="U426" s="38"/>
      <c r="V426" s="38"/>
      <c r="W426" s="38"/>
      <c r="X426" s="38"/>
      <c r="Y426" s="38"/>
      <c r="Z426" s="38"/>
    </row>
    <row r="427" spans="1:26">
      <c r="A427" s="57"/>
      <c r="B427" s="57"/>
      <c r="C427" s="58" t="s">
        <v>293</v>
      </c>
      <c r="D427" s="59">
        <v>0.02</v>
      </c>
      <c r="E427" s="60"/>
      <c r="F427" s="38"/>
      <c r="G427" s="38"/>
      <c r="H427" s="38"/>
      <c r="I427" s="38"/>
      <c r="J427" s="38"/>
      <c r="K427" s="38"/>
      <c r="L427" s="38"/>
      <c r="M427" s="38"/>
      <c r="N427" s="38"/>
      <c r="O427" s="38"/>
      <c r="P427" s="38"/>
      <c r="Q427" s="38"/>
      <c r="R427" s="38"/>
      <c r="S427" s="38"/>
      <c r="T427" s="38"/>
      <c r="U427" s="38"/>
      <c r="V427" s="38"/>
      <c r="W427" s="38"/>
      <c r="X427" s="38"/>
      <c r="Y427" s="38"/>
      <c r="Z427" s="38"/>
    </row>
    <row r="428" spans="1:26">
      <c r="A428" s="57"/>
      <c r="B428" s="57"/>
      <c r="C428" s="58" t="s">
        <v>296</v>
      </c>
      <c r="D428" s="59">
        <v>0.02</v>
      </c>
      <c r="E428" s="60"/>
      <c r="F428" s="38"/>
      <c r="G428" s="38"/>
      <c r="H428" s="38"/>
      <c r="I428" s="38"/>
      <c r="J428" s="38"/>
      <c r="K428" s="38"/>
      <c r="L428" s="38"/>
      <c r="M428" s="38"/>
      <c r="N428" s="38"/>
      <c r="O428" s="38"/>
      <c r="P428" s="38"/>
      <c r="Q428" s="38"/>
      <c r="R428" s="38"/>
      <c r="S428" s="38"/>
      <c r="T428" s="38"/>
      <c r="U428" s="38"/>
      <c r="V428" s="38"/>
      <c r="W428" s="38"/>
      <c r="X428" s="38"/>
      <c r="Y428" s="38"/>
      <c r="Z428" s="38"/>
    </row>
    <row r="429" spans="1:26">
      <c r="A429" s="57"/>
      <c r="B429" s="50">
        <v>4</v>
      </c>
      <c r="C429" s="50" t="s">
        <v>79</v>
      </c>
      <c r="D429" s="55">
        <v>0.01</v>
      </c>
      <c r="E429" s="56">
        <v>0.01</v>
      </c>
      <c r="F429" s="38"/>
      <c r="G429" s="38"/>
      <c r="H429" s="38"/>
      <c r="I429" s="38"/>
      <c r="J429" s="38"/>
      <c r="K429" s="38"/>
      <c r="L429" s="38"/>
      <c r="M429" s="38"/>
      <c r="N429" s="38"/>
      <c r="O429" s="38"/>
      <c r="P429" s="38"/>
      <c r="Q429" s="38"/>
      <c r="R429" s="38"/>
      <c r="S429" s="38"/>
      <c r="T429" s="38"/>
      <c r="U429" s="38"/>
      <c r="V429" s="38"/>
      <c r="W429" s="38"/>
      <c r="X429" s="38"/>
      <c r="Y429" s="38"/>
      <c r="Z429" s="38"/>
    </row>
    <row r="430" spans="1:26">
      <c r="A430" s="57"/>
      <c r="B430" s="57"/>
      <c r="C430" s="58" t="s">
        <v>83</v>
      </c>
      <c r="D430" s="59">
        <v>0.01</v>
      </c>
      <c r="E430" s="60"/>
      <c r="F430" s="38"/>
      <c r="G430" s="38"/>
      <c r="H430" s="38"/>
      <c r="I430" s="38"/>
      <c r="J430" s="38"/>
      <c r="K430" s="38"/>
      <c r="L430" s="38"/>
      <c r="M430" s="38"/>
      <c r="N430" s="38"/>
      <c r="O430" s="38"/>
      <c r="P430" s="38"/>
      <c r="Q430" s="38"/>
      <c r="R430" s="38"/>
      <c r="S430" s="38"/>
      <c r="T430" s="38"/>
      <c r="U430" s="38"/>
      <c r="V430" s="38"/>
      <c r="W430" s="38"/>
      <c r="X430" s="38"/>
      <c r="Y430" s="38"/>
      <c r="Z430" s="38"/>
    </row>
    <row r="431" spans="1:26">
      <c r="A431" s="57"/>
      <c r="B431" s="57"/>
      <c r="C431" s="58" t="s">
        <v>86</v>
      </c>
      <c r="D431" s="59">
        <v>0.01</v>
      </c>
      <c r="E431" s="60">
        <v>0.01</v>
      </c>
      <c r="F431" s="38"/>
      <c r="G431" s="38"/>
      <c r="H431" s="38"/>
      <c r="I431" s="38"/>
      <c r="J431" s="38"/>
      <c r="K431" s="38"/>
      <c r="L431" s="38"/>
      <c r="M431" s="38"/>
      <c r="N431" s="38"/>
      <c r="O431" s="38"/>
      <c r="P431" s="38"/>
      <c r="Q431" s="38"/>
      <c r="R431" s="38"/>
      <c r="S431" s="38"/>
      <c r="T431" s="38"/>
      <c r="U431" s="38"/>
      <c r="V431" s="38"/>
      <c r="W431" s="38"/>
      <c r="X431" s="38"/>
      <c r="Y431" s="38"/>
      <c r="Z431" s="38"/>
    </row>
    <row r="432" spans="1:26">
      <c r="A432" s="57"/>
      <c r="B432" s="57"/>
      <c r="C432" s="58" t="s">
        <v>89</v>
      </c>
      <c r="D432" s="59">
        <v>0.01</v>
      </c>
      <c r="E432" s="60"/>
      <c r="F432" s="38"/>
      <c r="G432" s="38"/>
      <c r="H432" s="38"/>
      <c r="I432" s="38"/>
      <c r="J432" s="38"/>
      <c r="K432" s="38"/>
      <c r="L432" s="38"/>
      <c r="M432" s="38"/>
      <c r="N432" s="38"/>
      <c r="O432" s="38"/>
      <c r="P432" s="38"/>
      <c r="Q432" s="38"/>
      <c r="R432" s="38"/>
      <c r="S432" s="38"/>
      <c r="T432" s="38"/>
      <c r="U432" s="38"/>
      <c r="V432" s="38"/>
      <c r="W432" s="38"/>
      <c r="X432" s="38"/>
      <c r="Y432" s="38"/>
      <c r="Z432" s="38"/>
    </row>
    <row r="433" spans="1:26">
      <c r="A433" s="57"/>
      <c r="B433" s="57"/>
      <c r="C433" s="58" t="s">
        <v>321</v>
      </c>
      <c r="D433" s="59">
        <v>0.02</v>
      </c>
      <c r="E433" s="60"/>
      <c r="F433" s="38"/>
      <c r="G433" s="38"/>
      <c r="H433" s="38"/>
      <c r="I433" s="38"/>
      <c r="J433" s="38"/>
      <c r="K433" s="38"/>
      <c r="L433" s="38"/>
      <c r="M433" s="38"/>
      <c r="N433" s="38"/>
      <c r="O433" s="38"/>
      <c r="P433" s="38"/>
      <c r="Q433" s="38"/>
      <c r="R433" s="38"/>
      <c r="S433" s="38"/>
      <c r="T433" s="38"/>
      <c r="U433" s="38"/>
      <c r="V433" s="38"/>
      <c r="W433" s="38"/>
      <c r="X433" s="38"/>
      <c r="Y433" s="38"/>
      <c r="Z433" s="38"/>
    </row>
    <row r="434" spans="1:26">
      <c r="A434" s="57"/>
      <c r="B434" s="57"/>
      <c r="C434" s="58" t="s">
        <v>324</v>
      </c>
      <c r="D434" s="59">
        <v>0.02</v>
      </c>
      <c r="E434" s="60"/>
      <c r="F434" s="38"/>
      <c r="G434" s="38"/>
      <c r="H434" s="38"/>
      <c r="I434" s="38"/>
      <c r="J434" s="38"/>
      <c r="K434" s="38"/>
      <c r="L434" s="38"/>
      <c r="M434" s="38"/>
      <c r="N434" s="38"/>
      <c r="O434" s="38"/>
      <c r="P434" s="38"/>
      <c r="Q434" s="38"/>
      <c r="R434" s="38"/>
      <c r="S434" s="38"/>
      <c r="T434" s="38"/>
      <c r="U434" s="38"/>
      <c r="V434" s="38"/>
      <c r="W434" s="38"/>
      <c r="X434" s="38"/>
      <c r="Y434" s="38"/>
      <c r="Z434" s="38"/>
    </row>
    <row r="435" spans="1:26">
      <c r="A435" s="57"/>
      <c r="B435" s="57"/>
      <c r="C435" s="58" t="s">
        <v>551</v>
      </c>
      <c r="D435" s="59">
        <v>0.02</v>
      </c>
      <c r="E435" s="60"/>
      <c r="F435" s="38"/>
      <c r="G435" s="38"/>
      <c r="H435" s="38"/>
      <c r="I435" s="38"/>
      <c r="J435" s="38"/>
      <c r="K435" s="38"/>
      <c r="L435" s="38"/>
      <c r="M435" s="38"/>
      <c r="N435" s="38"/>
      <c r="O435" s="38"/>
      <c r="P435" s="38"/>
      <c r="Q435" s="38"/>
      <c r="R435" s="38"/>
      <c r="S435" s="38"/>
      <c r="T435" s="38"/>
      <c r="U435" s="38"/>
      <c r="V435" s="38"/>
      <c r="W435" s="38"/>
      <c r="X435" s="38"/>
      <c r="Y435" s="38"/>
      <c r="Z435" s="38"/>
    </row>
    <row r="436" spans="1:26">
      <c r="A436" s="50" t="s">
        <v>1262</v>
      </c>
      <c r="B436" s="51"/>
      <c r="C436" s="51"/>
      <c r="D436" s="55">
        <v>1.0000000000000002</v>
      </c>
      <c r="E436" s="56">
        <v>0.13499999999999998</v>
      </c>
      <c r="F436" s="38"/>
      <c r="G436" s="38"/>
      <c r="H436" s="38"/>
      <c r="I436" s="38"/>
      <c r="J436" s="38"/>
      <c r="K436" s="38"/>
      <c r="L436" s="38"/>
      <c r="M436" s="38"/>
      <c r="N436" s="38"/>
      <c r="O436" s="38"/>
      <c r="P436" s="38"/>
      <c r="Q436" s="38"/>
      <c r="R436" s="38"/>
      <c r="S436" s="38"/>
      <c r="T436" s="38"/>
      <c r="U436" s="38"/>
      <c r="V436" s="38"/>
      <c r="W436" s="38"/>
      <c r="X436" s="38"/>
      <c r="Y436" s="38"/>
      <c r="Z436" s="38"/>
    </row>
    <row r="437" spans="1:26">
      <c r="A437" s="63" t="s">
        <v>1286</v>
      </c>
      <c r="B437" s="64"/>
      <c r="C437" s="64"/>
      <c r="D437" s="65">
        <v>15.553999999999968</v>
      </c>
      <c r="E437" s="66">
        <v>9.4145666666666585</v>
      </c>
      <c r="F437" s="38"/>
      <c r="G437" s="38"/>
      <c r="H437" s="38"/>
      <c r="I437" s="38"/>
      <c r="J437" s="38"/>
      <c r="K437" s="38"/>
      <c r="L437" s="38"/>
      <c r="M437" s="38"/>
      <c r="N437" s="38"/>
      <c r="O437" s="38"/>
      <c r="P437" s="38"/>
      <c r="Q437" s="38"/>
      <c r="R437" s="38"/>
      <c r="S437" s="38"/>
      <c r="T437" s="38"/>
      <c r="U437" s="38"/>
      <c r="V437" s="38"/>
      <c r="W437" s="38"/>
      <c r="X437" s="38"/>
      <c r="Y437" s="38"/>
      <c r="Z437" s="38"/>
    </row>
    <row r="438" spans="1:26">
      <c r="A438" s="40"/>
      <c r="B438" s="41"/>
      <c r="C438" s="41"/>
      <c r="D438" s="42"/>
      <c r="E438" s="42"/>
      <c r="F438" s="38"/>
      <c r="G438" s="38"/>
      <c r="H438" s="38"/>
      <c r="I438" s="38"/>
      <c r="J438" s="38"/>
      <c r="K438" s="38"/>
      <c r="L438" s="38"/>
      <c r="M438" s="38"/>
      <c r="N438" s="38"/>
      <c r="O438" s="38"/>
      <c r="P438" s="38"/>
      <c r="Q438" s="38"/>
      <c r="R438" s="38"/>
      <c r="S438" s="38"/>
      <c r="T438" s="38"/>
      <c r="U438" s="38"/>
      <c r="V438" s="38"/>
      <c r="W438" s="38"/>
      <c r="X438" s="38"/>
      <c r="Y438" s="38"/>
      <c r="Z438" s="38"/>
    </row>
    <row r="439" spans="1:26">
      <c r="A439" s="40"/>
      <c r="B439" s="41"/>
      <c r="C439" s="41"/>
      <c r="D439" s="42"/>
      <c r="E439" s="42"/>
      <c r="F439" s="38"/>
      <c r="G439" s="38"/>
      <c r="H439" s="38"/>
      <c r="I439" s="38"/>
      <c r="J439" s="38"/>
      <c r="K439" s="38"/>
      <c r="L439" s="38"/>
      <c r="M439" s="38"/>
      <c r="N439" s="38"/>
      <c r="O439" s="38"/>
      <c r="P439" s="38"/>
      <c r="Q439" s="38"/>
      <c r="R439" s="38"/>
      <c r="S439" s="38"/>
      <c r="T439" s="38"/>
      <c r="U439" s="38"/>
      <c r="V439" s="38"/>
      <c r="W439" s="38"/>
      <c r="X439" s="38"/>
      <c r="Y439" s="38"/>
      <c r="Z439" s="38"/>
    </row>
    <row r="440" spans="1:26">
      <c r="A440" s="40"/>
      <c r="B440" s="41"/>
      <c r="C440" s="41"/>
      <c r="D440" s="42"/>
      <c r="E440" s="42"/>
      <c r="F440" s="38"/>
      <c r="G440" s="38"/>
      <c r="H440" s="38"/>
      <c r="I440" s="38"/>
      <c r="J440" s="38"/>
      <c r="K440" s="38"/>
      <c r="L440" s="38"/>
      <c r="M440" s="38"/>
      <c r="N440" s="38"/>
      <c r="O440" s="38"/>
      <c r="P440" s="38"/>
      <c r="Q440" s="38"/>
      <c r="R440" s="38"/>
      <c r="S440" s="38"/>
      <c r="T440" s="38"/>
      <c r="U440" s="38"/>
      <c r="V440" s="38"/>
      <c r="W440" s="38"/>
      <c r="X440" s="38"/>
      <c r="Y440" s="38"/>
      <c r="Z440" s="38"/>
    </row>
    <row r="441" spans="1:26">
      <c r="A441" s="40"/>
      <c r="B441" s="41"/>
      <c r="C441" s="41"/>
      <c r="D441" s="42"/>
      <c r="E441" s="42"/>
      <c r="F441" s="38"/>
      <c r="G441" s="38"/>
      <c r="H441" s="38"/>
      <c r="I441" s="38"/>
      <c r="J441" s="38"/>
      <c r="K441" s="38"/>
      <c r="L441" s="38"/>
      <c r="M441" s="38"/>
      <c r="N441" s="38"/>
      <c r="O441" s="38"/>
      <c r="P441" s="38"/>
      <c r="Q441" s="38"/>
      <c r="R441" s="38"/>
      <c r="S441" s="38"/>
      <c r="T441" s="38"/>
      <c r="U441" s="38"/>
      <c r="V441" s="38"/>
      <c r="W441" s="38"/>
      <c r="X441" s="38"/>
      <c r="Y441" s="38"/>
      <c r="Z441" s="38"/>
    </row>
    <row r="442" spans="1:26">
      <c r="A442" s="40"/>
      <c r="B442" s="41"/>
      <c r="C442" s="41"/>
      <c r="D442" s="42"/>
      <c r="E442" s="42"/>
      <c r="F442" s="38"/>
      <c r="G442" s="38"/>
      <c r="H442" s="38"/>
      <c r="I442" s="38"/>
      <c r="J442" s="38"/>
      <c r="K442" s="38"/>
      <c r="L442" s="38"/>
      <c r="M442" s="38"/>
      <c r="N442" s="38"/>
      <c r="O442" s="38"/>
      <c r="P442" s="38"/>
      <c r="Q442" s="38"/>
      <c r="R442" s="38"/>
      <c r="S442" s="38"/>
      <c r="T442" s="38"/>
      <c r="U442" s="38"/>
      <c r="V442" s="38"/>
      <c r="W442" s="38"/>
      <c r="X442" s="38"/>
      <c r="Y442" s="38"/>
      <c r="Z442" s="38"/>
    </row>
    <row r="443" spans="1:26">
      <c r="A443" s="40"/>
      <c r="B443" s="41"/>
      <c r="C443" s="41"/>
      <c r="D443" s="42"/>
      <c r="E443" s="42"/>
      <c r="F443" s="38"/>
      <c r="G443" s="38"/>
      <c r="H443" s="38"/>
      <c r="I443" s="38"/>
      <c r="J443" s="38"/>
      <c r="K443" s="38"/>
      <c r="L443" s="38"/>
      <c r="M443" s="38"/>
      <c r="N443" s="38"/>
      <c r="O443" s="38"/>
      <c r="P443" s="38"/>
      <c r="Q443" s="38"/>
      <c r="R443" s="38"/>
      <c r="S443" s="38"/>
      <c r="T443" s="38"/>
      <c r="U443" s="38"/>
      <c r="V443" s="38"/>
      <c r="W443" s="38"/>
      <c r="X443" s="38"/>
      <c r="Y443" s="38"/>
      <c r="Z443" s="38"/>
    </row>
    <row r="444" spans="1:26">
      <c r="A444" s="40"/>
      <c r="B444" s="41"/>
      <c r="C444" s="41"/>
      <c r="D444" s="42"/>
      <c r="E444" s="42"/>
      <c r="F444" s="38"/>
      <c r="G444" s="38"/>
      <c r="H444" s="38"/>
      <c r="I444" s="38"/>
      <c r="J444" s="38"/>
      <c r="K444" s="38"/>
      <c r="L444" s="38"/>
      <c r="M444" s="38"/>
      <c r="N444" s="38"/>
      <c r="O444" s="38"/>
      <c r="P444" s="38"/>
      <c r="Q444" s="38"/>
      <c r="R444" s="38"/>
      <c r="S444" s="38"/>
      <c r="T444" s="38"/>
      <c r="U444" s="38"/>
      <c r="V444" s="38"/>
      <c r="W444" s="38"/>
      <c r="X444" s="38"/>
      <c r="Y444" s="38"/>
      <c r="Z444" s="38"/>
    </row>
    <row r="445" spans="1:26">
      <c r="A445" s="40"/>
      <c r="B445" s="41"/>
      <c r="C445" s="41"/>
      <c r="D445" s="42"/>
      <c r="E445" s="42"/>
      <c r="F445" s="38"/>
      <c r="G445" s="38"/>
      <c r="H445" s="38"/>
      <c r="I445" s="38"/>
      <c r="J445" s="38"/>
      <c r="K445" s="38"/>
      <c r="L445" s="38"/>
      <c r="M445" s="38"/>
      <c r="N445" s="38"/>
      <c r="O445" s="38"/>
      <c r="P445" s="38"/>
      <c r="Q445" s="38"/>
      <c r="R445" s="38"/>
      <c r="S445" s="38"/>
      <c r="T445" s="38"/>
      <c r="U445" s="38"/>
      <c r="V445" s="38"/>
      <c r="W445" s="38"/>
      <c r="X445" s="38"/>
      <c r="Y445" s="38"/>
      <c r="Z445" s="38"/>
    </row>
    <row r="446" spans="1:26">
      <c r="A446" s="40"/>
      <c r="B446" s="41"/>
      <c r="C446" s="41"/>
      <c r="D446" s="42"/>
      <c r="E446" s="42"/>
      <c r="F446" s="38"/>
      <c r="G446" s="38"/>
      <c r="H446" s="38"/>
      <c r="I446" s="38"/>
      <c r="J446" s="38"/>
      <c r="K446" s="38"/>
      <c r="L446" s="38"/>
      <c r="M446" s="38"/>
      <c r="N446" s="38"/>
      <c r="O446" s="38"/>
      <c r="P446" s="38"/>
      <c r="Q446" s="38"/>
      <c r="R446" s="38"/>
      <c r="S446" s="38"/>
      <c r="T446" s="38"/>
      <c r="U446" s="38"/>
      <c r="V446" s="38"/>
      <c r="W446" s="38"/>
      <c r="X446" s="38"/>
      <c r="Y446" s="38"/>
      <c r="Z446" s="38"/>
    </row>
    <row r="447" spans="1:26">
      <c r="A447" s="40"/>
      <c r="B447" s="41"/>
      <c r="C447" s="41"/>
      <c r="D447" s="42"/>
      <c r="E447" s="42"/>
      <c r="F447" s="38"/>
      <c r="G447" s="38"/>
      <c r="H447" s="38"/>
      <c r="I447" s="38"/>
      <c r="J447" s="38"/>
      <c r="K447" s="38"/>
      <c r="L447" s="38"/>
      <c r="M447" s="38"/>
      <c r="N447" s="38"/>
      <c r="O447" s="38"/>
      <c r="P447" s="38"/>
      <c r="Q447" s="38"/>
      <c r="R447" s="38"/>
      <c r="S447" s="38"/>
      <c r="T447" s="38"/>
      <c r="U447" s="38"/>
      <c r="V447" s="38"/>
      <c r="W447" s="38"/>
      <c r="X447" s="38"/>
      <c r="Y447" s="38"/>
      <c r="Z447" s="38"/>
    </row>
    <row r="448" spans="1:26">
      <c r="A448" s="40"/>
      <c r="B448" s="41"/>
      <c r="C448" s="41"/>
      <c r="D448" s="42"/>
      <c r="E448" s="42"/>
      <c r="F448" s="38"/>
      <c r="G448" s="38"/>
      <c r="H448" s="38"/>
      <c r="I448" s="38"/>
      <c r="J448" s="38"/>
      <c r="K448" s="38"/>
      <c r="L448" s="38"/>
      <c r="M448" s="38"/>
      <c r="N448" s="38"/>
      <c r="O448" s="38"/>
      <c r="P448" s="38"/>
      <c r="Q448" s="38"/>
      <c r="R448" s="38"/>
      <c r="S448" s="38"/>
      <c r="T448" s="38"/>
      <c r="U448" s="38"/>
      <c r="V448" s="38"/>
      <c r="W448" s="38"/>
      <c r="X448" s="38"/>
      <c r="Y448" s="38"/>
      <c r="Z448" s="38"/>
    </row>
    <row r="449" spans="1:26">
      <c r="A449" s="40"/>
      <c r="B449" s="41"/>
      <c r="C449" s="41"/>
      <c r="D449" s="42"/>
      <c r="E449" s="42"/>
      <c r="F449" s="38"/>
      <c r="G449" s="38"/>
      <c r="H449" s="38"/>
      <c r="I449" s="38"/>
      <c r="J449" s="38"/>
      <c r="K449" s="38"/>
      <c r="L449" s="38"/>
      <c r="M449" s="38"/>
      <c r="N449" s="38"/>
      <c r="O449" s="38"/>
      <c r="P449" s="38"/>
      <c r="Q449" s="38"/>
      <c r="R449" s="38"/>
      <c r="S449" s="38"/>
      <c r="T449" s="38"/>
      <c r="U449" s="38"/>
      <c r="V449" s="38"/>
      <c r="W449" s="38"/>
      <c r="X449" s="38"/>
      <c r="Y449" s="38"/>
      <c r="Z449" s="38"/>
    </row>
    <row r="450" spans="1:26">
      <c r="A450" s="40"/>
      <c r="B450" s="41"/>
      <c r="C450" s="41"/>
      <c r="D450" s="42"/>
      <c r="E450" s="42"/>
      <c r="F450" s="38"/>
      <c r="G450" s="38"/>
      <c r="H450" s="38"/>
      <c r="I450" s="38"/>
      <c r="J450" s="38"/>
      <c r="K450" s="38"/>
      <c r="L450" s="38"/>
      <c r="M450" s="38"/>
      <c r="N450" s="38"/>
      <c r="O450" s="38"/>
      <c r="P450" s="38"/>
      <c r="Q450" s="38"/>
      <c r="R450" s="38"/>
      <c r="S450" s="38"/>
      <c r="T450" s="38"/>
      <c r="U450" s="38"/>
      <c r="V450" s="38"/>
      <c r="W450" s="38"/>
      <c r="X450" s="38"/>
      <c r="Y450" s="38"/>
      <c r="Z450" s="38"/>
    </row>
    <row r="451" spans="1:26">
      <c r="A451" s="40"/>
      <c r="B451" s="41"/>
      <c r="C451" s="41"/>
      <c r="D451" s="42"/>
      <c r="E451" s="42"/>
      <c r="F451" s="38"/>
      <c r="G451" s="38"/>
      <c r="H451" s="38"/>
      <c r="I451" s="38"/>
      <c r="J451" s="38"/>
      <c r="K451" s="38"/>
      <c r="L451" s="38"/>
      <c r="M451" s="38"/>
      <c r="N451" s="38"/>
      <c r="O451" s="38"/>
      <c r="P451" s="38"/>
      <c r="Q451" s="38"/>
      <c r="R451" s="38"/>
      <c r="S451" s="38"/>
      <c r="T451" s="38"/>
      <c r="U451" s="38"/>
      <c r="V451" s="38"/>
      <c r="W451" s="38"/>
      <c r="X451" s="38"/>
      <c r="Y451" s="38"/>
      <c r="Z451" s="38"/>
    </row>
    <row r="452" spans="1:26">
      <c r="A452" s="40"/>
      <c r="B452" s="41"/>
      <c r="C452" s="41"/>
      <c r="D452" s="42"/>
      <c r="E452" s="42"/>
      <c r="F452" s="38"/>
      <c r="G452" s="38"/>
      <c r="H452" s="38"/>
      <c r="I452" s="38"/>
      <c r="J452" s="38"/>
      <c r="K452" s="38"/>
      <c r="L452" s="38"/>
      <c r="M452" s="38"/>
      <c r="N452" s="38"/>
      <c r="O452" s="38"/>
      <c r="P452" s="38"/>
      <c r="Q452" s="38"/>
      <c r="R452" s="38"/>
      <c r="S452" s="38"/>
      <c r="T452" s="38"/>
      <c r="U452" s="38"/>
      <c r="V452" s="38"/>
      <c r="W452" s="38"/>
      <c r="X452" s="38"/>
      <c r="Y452" s="38"/>
      <c r="Z452" s="38"/>
    </row>
    <row r="453" spans="1:26">
      <c r="A453" s="35"/>
      <c r="B453" s="38"/>
      <c r="C453" s="38"/>
      <c r="D453" s="39"/>
      <c r="E453" s="39"/>
      <c r="F453" s="38"/>
      <c r="G453" s="38"/>
      <c r="H453" s="38"/>
      <c r="I453" s="38"/>
      <c r="J453" s="38"/>
      <c r="K453" s="38"/>
      <c r="L453" s="38"/>
      <c r="M453" s="38"/>
      <c r="N453" s="38"/>
      <c r="O453" s="38"/>
      <c r="P453" s="38"/>
      <c r="Q453" s="38"/>
      <c r="R453" s="38"/>
      <c r="S453" s="38"/>
      <c r="T453" s="38"/>
      <c r="U453" s="38"/>
      <c r="V453" s="38"/>
      <c r="W453" s="38"/>
      <c r="X453" s="38"/>
      <c r="Y453" s="38"/>
      <c r="Z453" s="38"/>
    </row>
    <row r="454" spans="1:26">
      <c r="A454" s="35"/>
      <c r="B454" s="38"/>
      <c r="C454" s="38"/>
      <c r="D454" s="39"/>
      <c r="E454" s="39"/>
      <c r="F454" s="38"/>
      <c r="G454" s="38"/>
      <c r="H454" s="38"/>
      <c r="I454" s="38"/>
      <c r="J454" s="38"/>
      <c r="K454" s="38"/>
      <c r="L454" s="38"/>
      <c r="M454" s="38"/>
      <c r="N454" s="38"/>
      <c r="O454" s="38"/>
      <c r="P454" s="38"/>
      <c r="Q454" s="38"/>
      <c r="R454" s="38"/>
      <c r="S454" s="38"/>
      <c r="T454" s="38"/>
      <c r="U454" s="38"/>
      <c r="V454" s="38"/>
      <c r="W454" s="38"/>
      <c r="X454" s="38"/>
      <c r="Y454" s="38"/>
      <c r="Z454" s="38"/>
    </row>
    <row r="455" spans="1:26">
      <c r="A455" s="35"/>
      <c r="B455" s="38"/>
      <c r="C455" s="38"/>
      <c r="D455" s="39"/>
      <c r="E455" s="39"/>
      <c r="F455" s="38"/>
      <c r="G455" s="38"/>
      <c r="H455" s="38"/>
      <c r="I455" s="38"/>
      <c r="J455" s="38"/>
      <c r="K455" s="38"/>
      <c r="L455" s="38"/>
      <c r="M455" s="38"/>
      <c r="N455" s="38"/>
      <c r="O455" s="38"/>
      <c r="P455" s="38"/>
      <c r="Q455" s="38"/>
      <c r="R455" s="38"/>
      <c r="S455" s="38"/>
      <c r="T455" s="38"/>
      <c r="U455" s="38"/>
      <c r="V455" s="38"/>
      <c r="W455" s="38"/>
      <c r="X455" s="38"/>
      <c r="Y455" s="38"/>
      <c r="Z455" s="38"/>
    </row>
    <row r="456" spans="1:26">
      <c r="A456" s="35"/>
      <c r="B456" s="38"/>
      <c r="C456" s="38"/>
      <c r="D456" s="39"/>
      <c r="E456" s="39"/>
      <c r="F456" s="38"/>
      <c r="G456" s="38"/>
      <c r="H456" s="38"/>
      <c r="I456" s="38"/>
      <c r="J456" s="38"/>
      <c r="K456" s="38"/>
      <c r="L456" s="38"/>
      <c r="M456" s="38"/>
      <c r="N456" s="38"/>
      <c r="O456" s="38"/>
      <c r="P456" s="38"/>
      <c r="Q456" s="38"/>
      <c r="R456" s="38"/>
      <c r="S456" s="38"/>
      <c r="T456" s="38"/>
      <c r="U456" s="38"/>
      <c r="V456" s="38"/>
      <c r="W456" s="38"/>
      <c r="X456" s="38"/>
      <c r="Y456" s="38"/>
      <c r="Z456" s="38"/>
    </row>
    <row r="457" spans="1:26">
      <c r="A457" s="35"/>
      <c r="B457" s="38"/>
      <c r="C457" s="38"/>
      <c r="D457" s="39"/>
      <c r="E457" s="39"/>
      <c r="F457" s="38"/>
      <c r="G457" s="38"/>
      <c r="H457" s="38"/>
      <c r="I457" s="38"/>
      <c r="J457" s="38"/>
      <c r="K457" s="38"/>
      <c r="L457" s="38"/>
      <c r="M457" s="38"/>
      <c r="N457" s="38"/>
      <c r="O457" s="38"/>
      <c r="P457" s="38"/>
      <c r="Q457" s="38"/>
      <c r="R457" s="38"/>
      <c r="S457" s="38"/>
      <c r="T457" s="38"/>
      <c r="U457" s="38"/>
      <c r="V457" s="38"/>
      <c r="W457" s="38"/>
      <c r="X457" s="38"/>
      <c r="Y457" s="38"/>
      <c r="Z457" s="38"/>
    </row>
    <row r="458" spans="1:26">
      <c r="A458" s="35"/>
      <c r="B458" s="38"/>
      <c r="C458" s="38"/>
      <c r="D458" s="39"/>
      <c r="E458" s="39"/>
      <c r="F458" s="38"/>
      <c r="G458" s="38"/>
      <c r="H458" s="38"/>
      <c r="I458" s="38"/>
      <c r="J458" s="38"/>
      <c r="K458" s="38"/>
      <c r="L458" s="38"/>
      <c r="M458" s="38"/>
      <c r="N458" s="38"/>
      <c r="O458" s="38"/>
      <c r="P458" s="38"/>
      <c r="Q458" s="38"/>
      <c r="R458" s="38"/>
      <c r="S458" s="38"/>
      <c r="T458" s="38"/>
      <c r="U458" s="38"/>
      <c r="V458" s="38"/>
      <c r="W458" s="38"/>
      <c r="X458" s="38"/>
      <c r="Y458" s="38"/>
      <c r="Z458" s="38"/>
    </row>
    <row r="459" spans="1:26">
      <c r="A459" s="35"/>
      <c r="B459" s="38"/>
      <c r="C459" s="38"/>
      <c r="D459" s="39"/>
      <c r="E459" s="39"/>
      <c r="F459" s="38"/>
      <c r="G459" s="38"/>
      <c r="H459" s="38"/>
      <c r="I459" s="38"/>
      <c r="J459" s="38"/>
      <c r="K459" s="38"/>
      <c r="L459" s="38"/>
      <c r="M459" s="38"/>
      <c r="N459" s="38"/>
      <c r="O459" s="38"/>
      <c r="P459" s="38"/>
      <c r="Q459" s="38"/>
      <c r="R459" s="38"/>
      <c r="S459" s="38"/>
      <c r="T459" s="38"/>
      <c r="U459" s="38"/>
      <c r="V459" s="38"/>
      <c r="W459" s="38"/>
      <c r="X459" s="38"/>
      <c r="Y459" s="38"/>
      <c r="Z459" s="38"/>
    </row>
    <row r="460" spans="1:26">
      <c r="A460" s="35"/>
      <c r="B460" s="38"/>
      <c r="C460" s="38"/>
      <c r="D460" s="39"/>
      <c r="E460" s="39"/>
      <c r="F460" s="38"/>
      <c r="G460" s="38"/>
      <c r="H460" s="38"/>
      <c r="I460" s="38"/>
      <c r="J460" s="38"/>
      <c r="K460" s="38"/>
      <c r="L460" s="38"/>
      <c r="M460" s="38"/>
      <c r="N460" s="38"/>
      <c r="O460" s="38"/>
      <c r="P460" s="38"/>
      <c r="Q460" s="38"/>
      <c r="R460" s="38"/>
      <c r="S460" s="38"/>
      <c r="T460" s="38"/>
      <c r="U460" s="38"/>
      <c r="V460" s="38"/>
      <c r="W460" s="38"/>
      <c r="X460" s="38"/>
      <c r="Y460" s="38"/>
      <c r="Z460" s="38"/>
    </row>
    <row r="461" spans="1:26">
      <c r="A461" s="35"/>
      <c r="B461" s="38"/>
      <c r="C461" s="38"/>
      <c r="D461" s="39"/>
      <c r="E461" s="39"/>
      <c r="F461" s="38"/>
      <c r="G461" s="38"/>
      <c r="H461" s="38"/>
      <c r="I461" s="38"/>
      <c r="J461" s="38"/>
      <c r="K461" s="38"/>
      <c r="L461" s="38"/>
      <c r="M461" s="38"/>
      <c r="N461" s="38"/>
      <c r="O461" s="38"/>
      <c r="P461" s="38"/>
      <c r="Q461" s="38"/>
      <c r="R461" s="38"/>
      <c r="S461" s="38"/>
      <c r="T461" s="38"/>
      <c r="U461" s="38"/>
      <c r="V461" s="38"/>
      <c r="W461" s="38"/>
      <c r="X461" s="38"/>
      <c r="Y461" s="38"/>
      <c r="Z461" s="38"/>
    </row>
    <row r="462" spans="1:26">
      <c r="A462" s="35"/>
      <c r="B462" s="38"/>
      <c r="C462" s="38"/>
      <c r="D462" s="39"/>
      <c r="E462" s="39"/>
      <c r="F462" s="38"/>
      <c r="G462" s="38"/>
      <c r="H462" s="38"/>
      <c r="I462" s="38"/>
      <c r="J462" s="38"/>
      <c r="K462" s="38"/>
      <c r="L462" s="38"/>
      <c r="M462" s="38"/>
      <c r="N462" s="38"/>
      <c r="O462" s="38"/>
      <c r="P462" s="38"/>
      <c r="Q462" s="38"/>
      <c r="R462" s="38"/>
      <c r="S462" s="38"/>
      <c r="T462" s="38"/>
      <c r="U462" s="38"/>
      <c r="V462" s="38"/>
      <c r="W462" s="38"/>
      <c r="X462" s="38"/>
      <c r="Y462" s="38"/>
      <c r="Z462" s="38"/>
    </row>
    <row r="463" spans="1:26">
      <c r="A463" s="35"/>
      <c r="B463" s="38"/>
      <c r="C463" s="38"/>
      <c r="D463" s="39"/>
      <c r="E463" s="39"/>
      <c r="F463" s="38"/>
      <c r="G463" s="38"/>
      <c r="H463" s="38"/>
      <c r="I463" s="38"/>
      <c r="J463" s="38"/>
      <c r="K463" s="38"/>
      <c r="L463" s="38"/>
      <c r="M463" s="38"/>
      <c r="N463" s="38"/>
      <c r="O463" s="38"/>
      <c r="P463" s="38"/>
      <c r="Q463" s="38"/>
      <c r="R463" s="38"/>
      <c r="S463" s="38"/>
      <c r="T463" s="38"/>
      <c r="U463" s="38"/>
      <c r="V463" s="38"/>
      <c r="W463" s="38"/>
      <c r="X463" s="38"/>
      <c r="Y463" s="38"/>
      <c r="Z463" s="38"/>
    </row>
    <row r="464" spans="1:26">
      <c r="A464" s="35"/>
      <c r="B464" s="38"/>
      <c r="C464" s="38"/>
      <c r="D464" s="39"/>
      <c r="E464" s="39"/>
      <c r="F464" s="38"/>
      <c r="G464" s="38"/>
      <c r="H464" s="38"/>
      <c r="I464" s="38"/>
      <c r="J464" s="38"/>
      <c r="K464" s="38"/>
      <c r="L464" s="38"/>
      <c r="M464" s="38"/>
      <c r="N464" s="38"/>
      <c r="O464" s="38"/>
      <c r="P464" s="38"/>
      <c r="Q464" s="38"/>
      <c r="R464" s="38"/>
      <c r="S464" s="38"/>
      <c r="T464" s="38"/>
      <c r="U464" s="38"/>
      <c r="V464" s="38"/>
      <c r="W464" s="38"/>
      <c r="X464" s="38"/>
      <c r="Y464" s="38"/>
      <c r="Z464" s="38"/>
    </row>
    <row r="465" spans="1:26">
      <c r="A465" s="35"/>
      <c r="B465" s="38"/>
      <c r="C465" s="38"/>
      <c r="D465" s="39"/>
      <c r="E465" s="39"/>
      <c r="F465" s="38"/>
      <c r="G465" s="38"/>
      <c r="H465" s="38"/>
      <c r="I465" s="38"/>
      <c r="J465" s="38"/>
      <c r="K465" s="38"/>
      <c r="L465" s="38"/>
      <c r="M465" s="38"/>
      <c r="N465" s="38"/>
      <c r="O465" s="38"/>
      <c r="P465" s="38"/>
      <c r="Q465" s="38"/>
      <c r="R465" s="38"/>
      <c r="S465" s="38"/>
      <c r="T465" s="38"/>
      <c r="U465" s="38"/>
      <c r="V465" s="38"/>
      <c r="W465" s="38"/>
      <c r="X465" s="38"/>
      <c r="Y465" s="38"/>
      <c r="Z465" s="38"/>
    </row>
    <row r="466" spans="1:26">
      <c r="A466" s="35"/>
      <c r="B466" s="38"/>
      <c r="C466" s="38"/>
      <c r="D466" s="39"/>
      <c r="E466" s="39"/>
      <c r="F466" s="38"/>
      <c r="G466" s="38"/>
      <c r="H466" s="38"/>
      <c r="I466" s="38"/>
      <c r="J466" s="38"/>
      <c r="K466" s="38"/>
      <c r="L466" s="38"/>
      <c r="M466" s="38"/>
      <c r="N466" s="38"/>
      <c r="O466" s="38"/>
      <c r="P466" s="38"/>
      <c r="Q466" s="38"/>
      <c r="R466" s="38"/>
      <c r="S466" s="38"/>
      <c r="T466" s="38"/>
      <c r="U466" s="38"/>
      <c r="V466" s="38"/>
      <c r="W466" s="38"/>
      <c r="X466" s="38"/>
      <c r="Y466" s="38"/>
      <c r="Z466" s="38"/>
    </row>
    <row r="467" spans="1:26">
      <c r="A467" s="35"/>
      <c r="B467" s="38"/>
      <c r="C467" s="38"/>
      <c r="D467" s="39"/>
      <c r="E467" s="39"/>
      <c r="F467" s="38"/>
      <c r="G467" s="38"/>
      <c r="H467" s="38"/>
      <c r="I467" s="38"/>
      <c r="J467" s="38"/>
      <c r="K467" s="38"/>
      <c r="L467" s="38"/>
      <c r="M467" s="38"/>
      <c r="N467" s="38"/>
      <c r="O467" s="38"/>
      <c r="P467" s="38"/>
      <c r="Q467" s="38"/>
      <c r="R467" s="38"/>
      <c r="S467" s="38"/>
      <c r="T467" s="38"/>
      <c r="U467" s="38"/>
      <c r="V467" s="38"/>
      <c r="W467" s="38"/>
      <c r="X467" s="38"/>
      <c r="Y467" s="38"/>
      <c r="Z467" s="38"/>
    </row>
    <row r="468" spans="1:26">
      <c r="A468" s="35"/>
      <c r="B468" s="38"/>
      <c r="C468" s="38"/>
      <c r="D468" s="39"/>
      <c r="E468" s="39"/>
      <c r="F468" s="38"/>
      <c r="G468" s="38"/>
      <c r="H468" s="38"/>
      <c r="I468" s="38"/>
      <c r="J468" s="38"/>
      <c r="K468" s="38"/>
      <c r="L468" s="38"/>
      <c r="M468" s="38"/>
      <c r="N468" s="38"/>
      <c r="O468" s="38"/>
      <c r="P468" s="38"/>
      <c r="Q468" s="38"/>
      <c r="R468" s="38"/>
      <c r="S468" s="38"/>
      <c r="T468" s="38"/>
      <c r="U468" s="38"/>
      <c r="V468" s="38"/>
      <c r="W468" s="38"/>
      <c r="X468" s="38"/>
      <c r="Y468" s="38"/>
      <c r="Z468" s="38"/>
    </row>
    <row r="469" spans="1:26">
      <c r="A469" s="35"/>
      <c r="B469" s="38"/>
      <c r="C469" s="38"/>
      <c r="D469" s="39"/>
      <c r="E469" s="39"/>
      <c r="F469" s="38"/>
      <c r="G469" s="38"/>
      <c r="H469" s="38"/>
      <c r="I469" s="38"/>
      <c r="J469" s="38"/>
      <c r="K469" s="38"/>
      <c r="L469" s="38"/>
      <c r="M469" s="38"/>
      <c r="N469" s="38"/>
      <c r="O469" s="38"/>
      <c r="P469" s="38"/>
      <c r="Q469" s="38"/>
      <c r="R469" s="38"/>
      <c r="S469" s="38"/>
      <c r="T469" s="38"/>
      <c r="U469" s="38"/>
      <c r="V469" s="38"/>
      <c r="W469" s="38"/>
      <c r="X469" s="38"/>
      <c r="Y469" s="38"/>
      <c r="Z469" s="38"/>
    </row>
    <row r="470" spans="1:26">
      <c r="A470" s="35"/>
      <c r="B470" s="38"/>
      <c r="C470" s="38"/>
      <c r="D470" s="39"/>
      <c r="E470" s="39"/>
      <c r="F470" s="38"/>
      <c r="G470" s="38"/>
      <c r="H470" s="38"/>
      <c r="I470" s="38"/>
      <c r="J470" s="38"/>
      <c r="K470" s="38"/>
      <c r="L470" s="38"/>
      <c r="M470" s="38"/>
      <c r="N470" s="38"/>
      <c r="O470" s="38"/>
      <c r="P470" s="38"/>
      <c r="Q470" s="38"/>
      <c r="R470" s="38"/>
      <c r="S470" s="38"/>
      <c r="T470" s="38"/>
      <c r="U470" s="38"/>
      <c r="V470" s="38"/>
      <c r="W470" s="38"/>
      <c r="X470" s="38"/>
      <c r="Y470" s="38"/>
      <c r="Z470" s="38"/>
    </row>
    <row r="471" spans="1:26">
      <c r="A471" s="35"/>
      <c r="B471" s="38"/>
      <c r="C471" s="38"/>
      <c r="D471" s="39"/>
      <c r="E471" s="39"/>
      <c r="F471" s="38"/>
      <c r="G471" s="38"/>
      <c r="H471" s="38"/>
      <c r="I471" s="38"/>
      <c r="J471" s="38"/>
      <c r="K471" s="38"/>
      <c r="L471" s="38"/>
      <c r="M471" s="38"/>
      <c r="N471" s="38"/>
      <c r="O471" s="38"/>
      <c r="P471" s="38"/>
      <c r="Q471" s="38"/>
      <c r="R471" s="38"/>
      <c r="S471" s="38"/>
      <c r="T471" s="38"/>
      <c r="U471" s="38"/>
      <c r="V471" s="38"/>
      <c r="W471" s="38"/>
      <c r="X471" s="38"/>
      <c r="Y471" s="38"/>
      <c r="Z471" s="38"/>
    </row>
    <row r="472" spans="1:26">
      <c r="A472" s="35"/>
      <c r="B472" s="38"/>
      <c r="C472" s="38"/>
      <c r="D472" s="39"/>
      <c r="E472" s="39"/>
      <c r="F472" s="38"/>
      <c r="G472" s="38"/>
      <c r="H472" s="38"/>
      <c r="I472" s="38"/>
      <c r="J472" s="38"/>
      <c r="K472" s="38"/>
      <c r="L472" s="38"/>
      <c r="M472" s="38"/>
      <c r="N472" s="38"/>
      <c r="O472" s="38"/>
      <c r="P472" s="38"/>
      <c r="Q472" s="38"/>
      <c r="R472" s="38"/>
      <c r="S472" s="38"/>
      <c r="T472" s="38"/>
      <c r="U472" s="38"/>
      <c r="V472" s="38"/>
      <c r="W472" s="38"/>
      <c r="X472" s="38"/>
      <c r="Y472" s="38"/>
      <c r="Z472" s="38"/>
    </row>
    <row r="473" spans="1:26">
      <c r="A473" s="35"/>
      <c r="B473" s="38"/>
      <c r="C473" s="38"/>
      <c r="D473" s="39"/>
      <c r="E473" s="39"/>
      <c r="F473" s="38"/>
      <c r="G473" s="38"/>
      <c r="H473" s="38"/>
      <c r="I473" s="38"/>
      <c r="J473" s="38"/>
      <c r="K473" s="38"/>
      <c r="L473" s="38"/>
      <c r="M473" s="38"/>
      <c r="N473" s="38"/>
      <c r="O473" s="38"/>
      <c r="P473" s="38"/>
      <c r="Q473" s="38"/>
      <c r="R473" s="38"/>
      <c r="S473" s="38"/>
      <c r="T473" s="38"/>
      <c r="U473" s="38"/>
      <c r="V473" s="38"/>
      <c r="W473" s="38"/>
      <c r="X473" s="38"/>
      <c r="Y473" s="38"/>
      <c r="Z473" s="38"/>
    </row>
    <row r="474" spans="1:26">
      <c r="A474" s="35"/>
      <c r="B474" s="38"/>
      <c r="C474" s="38"/>
      <c r="D474" s="39"/>
      <c r="E474" s="39"/>
      <c r="F474" s="38"/>
      <c r="G474" s="38"/>
      <c r="H474" s="38"/>
      <c r="I474" s="38"/>
      <c r="J474" s="38"/>
      <c r="K474" s="38"/>
      <c r="L474" s="38"/>
      <c r="M474" s="38"/>
      <c r="N474" s="38"/>
      <c r="O474" s="38"/>
      <c r="P474" s="38"/>
      <c r="Q474" s="38"/>
      <c r="R474" s="38"/>
      <c r="S474" s="38"/>
      <c r="T474" s="38"/>
      <c r="U474" s="38"/>
      <c r="V474" s="38"/>
      <c r="W474" s="38"/>
      <c r="X474" s="38"/>
      <c r="Y474" s="38"/>
      <c r="Z474" s="38"/>
    </row>
    <row r="475" spans="1:26">
      <c r="A475" s="35"/>
      <c r="B475" s="38"/>
      <c r="C475" s="38"/>
      <c r="D475" s="39"/>
      <c r="E475" s="39"/>
      <c r="F475" s="38"/>
      <c r="G475" s="38"/>
      <c r="H475" s="38"/>
      <c r="I475" s="38"/>
      <c r="J475" s="38"/>
      <c r="K475" s="38"/>
      <c r="L475" s="38"/>
      <c r="M475" s="38"/>
      <c r="N475" s="38"/>
      <c r="O475" s="38"/>
      <c r="P475" s="38"/>
      <c r="Q475" s="38"/>
      <c r="R475" s="38"/>
      <c r="S475" s="38"/>
      <c r="T475" s="38"/>
      <c r="U475" s="38"/>
      <c r="V475" s="38"/>
      <c r="W475" s="38"/>
      <c r="X475" s="38"/>
      <c r="Y475" s="38"/>
      <c r="Z475" s="38"/>
    </row>
    <row r="476" spans="1:26">
      <c r="A476" s="35"/>
      <c r="B476" s="38"/>
      <c r="C476" s="38"/>
      <c r="D476" s="39"/>
      <c r="E476" s="39"/>
      <c r="F476" s="38"/>
      <c r="G476" s="38"/>
      <c r="H476" s="38"/>
      <c r="I476" s="38"/>
      <c r="J476" s="38"/>
      <c r="K476" s="38"/>
      <c r="L476" s="38"/>
      <c r="M476" s="38"/>
      <c r="N476" s="38"/>
      <c r="O476" s="38"/>
      <c r="P476" s="38"/>
      <c r="Q476" s="38"/>
      <c r="R476" s="38"/>
      <c r="S476" s="38"/>
      <c r="T476" s="38"/>
      <c r="U476" s="38"/>
      <c r="V476" s="38"/>
      <c r="W476" s="38"/>
      <c r="X476" s="38"/>
      <c r="Y476" s="38"/>
      <c r="Z476" s="38"/>
    </row>
    <row r="477" spans="1:26">
      <c r="A477" s="35"/>
      <c r="B477" s="38"/>
      <c r="C477" s="38"/>
      <c r="D477" s="39"/>
      <c r="E477" s="39"/>
      <c r="F477" s="38"/>
      <c r="G477" s="38"/>
      <c r="H477" s="38"/>
      <c r="I477" s="38"/>
      <c r="J477" s="38"/>
      <c r="K477" s="38"/>
      <c r="L477" s="38"/>
      <c r="M477" s="38"/>
      <c r="N477" s="38"/>
      <c r="O477" s="38"/>
      <c r="P477" s="38"/>
      <c r="Q477" s="38"/>
      <c r="R477" s="38"/>
      <c r="S477" s="38"/>
      <c r="T477" s="38"/>
      <c r="U477" s="38"/>
      <c r="V477" s="38"/>
      <c r="W477" s="38"/>
      <c r="X477" s="38"/>
      <c r="Y477" s="38"/>
      <c r="Z477" s="38"/>
    </row>
    <row r="478" spans="1:26">
      <c r="A478" s="35"/>
      <c r="B478" s="38"/>
      <c r="C478" s="38"/>
      <c r="D478" s="39"/>
      <c r="E478" s="39"/>
      <c r="F478" s="38"/>
      <c r="G478" s="38"/>
      <c r="H478" s="38"/>
      <c r="I478" s="38"/>
      <c r="J478" s="38"/>
      <c r="K478" s="38"/>
      <c r="L478" s="38"/>
      <c r="M478" s="38"/>
      <c r="N478" s="38"/>
      <c r="O478" s="38"/>
      <c r="P478" s="38"/>
      <c r="Q478" s="38"/>
      <c r="R478" s="38"/>
      <c r="S478" s="38"/>
      <c r="T478" s="38"/>
      <c r="U478" s="38"/>
      <c r="V478" s="38"/>
      <c r="W478" s="38"/>
      <c r="X478" s="38"/>
      <c r="Y478" s="38"/>
      <c r="Z478" s="38"/>
    </row>
    <row r="479" spans="1:26">
      <c r="A479" s="35"/>
      <c r="B479" s="38"/>
      <c r="C479" s="38"/>
      <c r="D479" s="39"/>
      <c r="E479" s="39"/>
      <c r="F479" s="38"/>
      <c r="G479" s="38"/>
      <c r="H479" s="38"/>
      <c r="I479" s="38"/>
      <c r="J479" s="38"/>
      <c r="K479" s="38"/>
      <c r="L479" s="38"/>
      <c r="M479" s="38"/>
      <c r="N479" s="38"/>
      <c r="O479" s="38"/>
      <c r="P479" s="38"/>
      <c r="Q479" s="38"/>
      <c r="R479" s="38"/>
      <c r="S479" s="38"/>
      <c r="T479" s="38"/>
      <c r="U479" s="38"/>
      <c r="V479" s="38"/>
      <c r="W479" s="38"/>
      <c r="X479" s="38"/>
      <c r="Y479" s="38"/>
      <c r="Z479" s="38"/>
    </row>
    <row r="480" spans="1:26">
      <c r="A480" s="35"/>
      <c r="B480" s="38"/>
      <c r="C480" s="38"/>
      <c r="D480" s="39"/>
      <c r="E480" s="39"/>
      <c r="F480" s="38"/>
      <c r="G480" s="38"/>
      <c r="H480" s="38"/>
      <c r="I480" s="38"/>
      <c r="J480" s="38"/>
      <c r="K480" s="38"/>
      <c r="L480" s="38"/>
      <c r="M480" s="38"/>
      <c r="N480" s="38"/>
      <c r="O480" s="38"/>
      <c r="P480" s="38"/>
      <c r="Q480" s="38"/>
      <c r="R480" s="38"/>
      <c r="S480" s="38"/>
      <c r="T480" s="38"/>
      <c r="U480" s="38"/>
      <c r="V480" s="38"/>
      <c r="W480" s="38"/>
      <c r="X480" s="38"/>
      <c r="Y480" s="38"/>
      <c r="Z480" s="38"/>
    </row>
    <row r="481" spans="1:26">
      <c r="A481" s="35"/>
      <c r="B481" s="38"/>
      <c r="C481" s="38"/>
      <c r="D481" s="39"/>
      <c r="E481" s="39"/>
      <c r="F481" s="38"/>
      <c r="G481" s="38"/>
      <c r="H481" s="38"/>
      <c r="I481" s="38"/>
      <c r="J481" s="38"/>
      <c r="K481" s="38"/>
      <c r="L481" s="38"/>
      <c r="M481" s="38"/>
      <c r="N481" s="38"/>
      <c r="O481" s="38"/>
      <c r="P481" s="38"/>
      <c r="Q481" s="38"/>
      <c r="R481" s="38"/>
      <c r="S481" s="38"/>
      <c r="T481" s="38"/>
      <c r="U481" s="38"/>
      <c r="V481" s="38"/>
      <c r="W481" s="38"/>
      <c r="X481" s="38"/>
      <c r="Y481" s="38"/>
      <c r="Z481" s="38"/>
    </row>
    <row r="482" spans="1:26">
      <c r="A482" s="35"/>
      <c r="B482" s="38"/>
      <c r="C482" s="38"/>
      <c r="D482" s="39"/>
      <c r="E482" s="39"/>
      <c r="F482" s="38"/>
      <c r="G482" s="38"/>
      <c r="H482" s="38"/>
      <c r="I482" s="38"/>
      <c r="J482" s="38"/>
      <c r="K482" s="38"/>
      <c r="L482" s="38"/>
      <c r="M482" s="38"/>
      <c r="N482" s="38"/>
      <c r="O482" s="38"/>
      <c r="P482" s="38"/>
      <c r="Q482" s="38"/>
      <c r="R482" s="38"/>
      <c r="S482" s="38"/>
      <c r="T482" s="38"/>
      <c r="U482" s="38"/>
      <c r="V482" s="38"/>
      <c r="W482" s="38"/>
      <c r="X482" s="38"/>
      <c r="Y482" s="38"/>
      <c r="Z482" s="38"/>
    </row>
    <row r="483" spans="1:26">
      <c r="A483" s="35"/>
      <c r="B483" s="38"/>
      <c r="C483" s="38"/>
      <c r="D483" s="39"/>
      <c r="E483" s="39"/>
      <c r="F483" s="38"/>
      <c r="G483" s="38"/>
      <c r="H483" s="38"/>
      <c r="I483" s="38"/>
      <c r="J483" s="38"/>
      <c r="K483" s="38"/>
      <c r="L483" s="38"/>
      <c r="M483" s="38"/>
      <c r="N483" s="38"/>
      <c r="O483" s="38"/>
      <c r="P483" s="38"/>
      <c r="Q483" s="38"/>
      <c r="R483" s="38"/>
      <c r="S483" s="38"/>
      <c r="T483" s="38"/>
      <c r="U483" s="38"/>
      <c r="V483" s="38"/>
      <c r="W483" s="38"/>
      <c r="X483" s="38"/>
      <c r="Y483" s="38"/>
      <c r="Z483" s="38"/>
    </row>
    <row r="484" spans="1:26">
      <c r="A484" s="35"/>
      <c r="B484" s="38"/>
      <c r="C484" s="38"/>
      <c r="D484" s="39"/>
      <c r="E484" s="39"/>
      <c r="F484" s="38"/>
      <c r="G484" s="38"/>
      <c r="H484" s="38"/>
      <c r="I484" s="38"/>
      <c r="J484" s="38"/>
      <c r="K484" s="38"/>
      <c r="L484" s="38"/>
      <c r="M484" s="38"/>
      <c r="N484" s="38"/>
      <c r="O484" s="38"/>
      <c r="P484" s="38"/>
      <c r="Q484" s="38"/>
      <c r="R484" s="38"/>
      <c r="S484" s="38"/>
      <c r="T484" s="38"/>
      <c r="U484" s="38"/>
      <c r="V484" s="38"/>
      <c r="W484" s="38"/>
      <c r="X484" s="38"/>
      <c r="Y484" s="38"/>
      <c r="Z484" s="38"/>
    </row>
    <row r="485" spans="1:26">
      <c r="A485" s="35"/>
      <c r="B485" s="38"/>
      <c r="C485" s="38"/>
      <c r="D485" s="39"/>
      <c r="E485" s="39"/>
      <c r="F485" s="38"/>
      <c r="G485" s="38"/>
      <c r="H485" s="38"/>
      <c r="I485" s="38"/>
      <c r="J485" s="38"/>
      <c r="K485" s="38"/>
      <c r="L485" s="38"/>
      <c r="M485" s="38"/>
      <c r="N485" s="38"/>
      <c r="O485" s="38"/>
      <c r="P485" s="38"/>
      <c r="Q485" s="38"/>
      <c r="R485" s="38"/>
      <c r="S485" s="38"/>
      <c r="T485" s="38"/>
      <c r="U485" s="38"/>
      <c r="V485" s="38"/>
      <c r="W485" s="38"/>
      <c r="X485" s="38"/>
      <c r="Y485" s="38"/>
      <c r="Z485" s="38"/>
    </row>
    <row r="486" spans="1:26">
      <c r="A486" s="35"/>
      <c r="B486" s="38"/>
      <c r="C486" s="38"/>
      <c r="D486" s="39"/>
      <c r="E486" s="39"/>
      <c r="F486" s="38"/>
      <c r="G486" s="38"/>
      <c r="H486" s="38"/>
      <c r="I486" s="38"/>
      <c r="J486" s="38"/>
      <c r="K486" s="38"/>
      <c r="L486" s="38"/>
      <c r="M486" s="38"/>
      <c r="N486" s="38"/>
      <c r="O486" s="38"/>
      <c r="P486" s="38"/>
      <c r="Q486" s="38"/>
      <c r="R486" s="38"/>
      <c r="S486" s="38"/>
      <c r="T486" s="38"/>
      <c r="U486" s="38"/>
      <c r="V486" s="38"/>
      <c r="W486" s="38"/>
      <c r="X486" s="38"/>
      <c r="Y486" s="38"/>
      <c r="Z486" s="38"/>
    </row>
    <row r="487" spans="1:26">
      <c r="A487" s="35"/>
      <c r="B487" s="38"/>
      <c r="C487" s="38"/>
      <c r="D487" s="39"/>
      <c r="E487" s="39"/>
      <c r="F487" s="38"/>
      <c r="G487" s="38"/>
      <c r="H487" s="38"/>
      <c r="I487" s="38"/>
      <c r="J487" s="38"/>
      <c r="K487" s="38"/>
      <c r="L487" s="38"/>
      <c r="M487" s="38"/>
      <c r="N487" s="38"/>
      <c r="O487" s="38"/>
      <c r="P487" s="38"/>
      <c r="Q487" s="38"/>
      <c r="R487" s="38"/>
      <c r="S487" s="38"/>
      <c r="T487" s="38"/>
      <c r="U487" s="38"/>
      <c r="V487" s="38"/>
      <c r="W487" s="38"/>
      <c r="X487" s="38"/>
      <c r="Y487" s="38"/>
      <c r="Z487" s="38"/>
    </row>
    <row r="488" spans="1:26">
      <c r="A488" s="35"/>
      <c r="B488" s="38"/>
      <c r="C488" s="38"/>
      <c r="D488" s="39"/>
      <c r="E488" s="39"/>
      <c r="F488" s="38"/>
      <c r="G488" s="38"/>
      <c r="H488" s="38"/>
      <c r="I488" s="38"/>
      <c r="J488" s="38"/>
      <c r="K488" s="38"/>
      <c r="L488" s="38"/>
      <c r="M488" s="38"/>
      <c r="N488" s="38"/>
      <c r="O488" s="38"/>
      <c r="P488" s="38"/>
      <c r="Q488" s="38"/>
      <c r="R488" s="38"/>
      <c r="S488" s="38"/>
      <c r="T488" s="38"/>
      <c r="U488" s="38"/>
      <c r="V488" s="38"/>
      <c r="W488" s="38"/>
      <c r="X488" s="38"/>
      <c r="Y488" s="38"/>
      <c r="Z488" s="38"/>
    </row>
    <row r="489" spans="1:26">
      <c r="A489" s="35"/>
      <c r="B489" s="38"/>
      <c r="C489" s="38"/>
      <c r="D489" s="39"/>
      <c r="E489" s="39"/>
      <c r="F489" s="38"/>
      <c r="G489" s="38"/>
      <c r="H489" s="38"/>
      <c r="I489" s="38"/>
      <c r="J489" s="38"/>
      <c r="K489" s="38"/>
      <c r="L489" s="38"/>
      <c r="M489" s="38"/>
      <c r="N489" s="38"/>
      <c r="O489" s="38"/>
      <c r="P489" s="38"/>
      <c r="Q489" s="38"/>
      <c r="R489" s="38"/>
      <c r="S489" s="38"/>
      <c r="T489" s="38"/>
      <c r="U489" s="38"/>
      <c r="V489" s="38"/>
      <c r="W489" s="38"/>
      <c r="X489" s="38"/>
      <c r="Y489" s="38"/>
      <c r="Z489" s="38"/>
    </row>
    <row r="490" spans="1:26">
      <c r="A490" s="35"/>
      <c r="B490" s="38"/>
      <c r="C490" s="38"/>
      <c r="D490" s="39"/>
      <c r="E490" s="39"/>
      <c r="F490" s="38"/>
      <c r="G490" s="38"/>
      <c r="H490" s="38"/>
      <c r="I490" s="38"/>
      <c r="J490" s="38"/>
      <c r="K490" s="38"/>
      <c r="L490" s="38"/>
      <c r="M490" s="38"/>
      <c r="N490" s="38"/>
      <c r="O490" s="38"/>
      <c r="P490" s="38"/>
      <c r="Q490" s="38"/>
      <c r="R490" s="38"/>
      <c r="S490" s="38"/>
      <c r="T490" s="38"/>
      <c r="U490" s="38"/>
      <c r="V490" s="38"/>
      <c r="W490" s="38"/>
      <c r="X490" s="38"/>
      <c r="Y490" s="38"/>
      <c r="Z490" s="38"/>
    </row>
    <row r="491" spans="1:26">
      <c r="A491" s="35"/>
      <c r="B491" s="38"/>
      <c r="C491" s="38"/>
      <c r="D491" s="39"/>
      <c r="E491" s="39"/>
      <c r="F491" s="38"/>
      <c r="G491" s="38"/>
      <c r="H491" s="38"/>
      <c r="I491" s="38"/>
      <c r="J491" s="38"/>
      <c r="K491" s="38"/>
      <c r="L491" s="38"/>
      <c r="M491" s="38"/>
      <c r="N491" s="38"/>
      <c r="O491" s="38"/>
      <c r="P491" s="38"/>
      <c r="Q491" s="38"/>
      <c r="R491" s="38"/>
      <c r="S491" s="38"/>
      <c r="T491" s="38"/>
      <c r="U491" s="38"/>
      <c r="V491" s="38"/>
      <c r="W491" s="38"/>
      <c r="X491" s="38"/>
      <c r="Y491" s="38"/>
      <c r="Z491" s="38"/>
    </row>
    <row r="492" spans="1:26">
      <c r="A492" s="35"/>
      <c r="B492" s="38"/>
      <c r="C492" s="38"/>
      <c r="D492" s="39"/>
      <c r="E492" s="39"/>
      <c r="F492" s="38"/>
      <c r="G492" s="38"/>
      <c r="H492" s="38"/>
      <c r="I492" s="38"/>
      <c r="J492" s="38"/>
      <c r="K492" s="38"/>
      <c r="L492" s="38"/>
      <c r="M492" s="38"/>
      <c r="N492" s="38"/>
      <c r="O492" s="38"/>
      <c r="P492" s="38"/>
      <c r="Q492" s="38"/>
      <c r="R492" s="38"/>
      <c r="S492" s="38"/>
      <c r="T492" s="38"/>
      <c r="U492" s="38"/>
      <c r="V492" s="38"/>
      <c r="W492" s="38"/>
      <c r="X492" s="38"/>
      <c r="Y492" s="38"/>
      <c r="Z492" s="38"/>
    </row>
    <row r="493" spans="1:26">
      <c r="A493" s="35"/>
      <c r="B493" s="38"/>
      <c r="C493" s="38"/>
      <c r="D493" s="39"/>
      <c r="E493" s="39"/>
      <c r="F493" s="38"/>
      <c r="G493" s="38"/>
      <c r="H493" s="38"/>
      <c r="I493" s="38"/>
      <c r="J493" s="38"/>
      <c r="K493" s="38"/>
      <c r="L493" s="38"/>
      <c r="M493" s="38"/>
      <c r="N493" s="38"/>
      <c r="O493" s="38"/>
      <c r="P493" s="38"/>
      <c r="Q493" s="38"/>
      <c r="R493" s="38"/>
      <c r="S493" s="38"/>
      <c r="T493" s="38"/>
      <c r="U493" s="38"/>
      <c r="V493" s="38"/>
      <c r="W493" s="38"/>
      <c r="X493" s="38"/>
      <c r="Y493" s="38"/>
      <c r="Z493" s="38"/>
    </row>
    <row r="494" spans="1:26">
      <c r="A494" s="35"/>
      <c r="B494" s="38"/>
      <c r="C494" s="38"/>
      <c r="D494" s="39"/>
      <c r="E494" s="39"/>
      <c r="F494" s="38"/>
      <c r="G494" s="38"/>
      <c r="H494" s="38"/>
      <c r="I494" s="38"/>
      <c r="J494" s="38"/>
      <c r="K494" s="38"/>
      <c r="L494" s="38"/>
      <c r="M494" s="38"/>
      <c r="N494" s="38"/>
      <c r="O494" s="38"/>
      <c r="P494" s="38"/>
      <c r="Q494" s="38"/>
      <c r="R494" s="38"/>
      <c r="S494" s="38"/>
      <c r="T494" s="38"/>
      <c r="U494" s="38"/>
      <c r="V494" s="38"/>
      <c r="W494" s="38"/>
      <c r="X494" s="38"/>
      <c r="Y494" s="38"/>
      <c r="Z494" s="38"/>
    </row>
    <row r="495" spans="1:26">
      <c r="A495" s="35"/>
      <c r="B495" s="38"/>
      <c r="C495" s="38"/>
      <c r="D495" s="39"/>
      <c r="E495" s="39"/>
      <c r="F495" s="38"/>
      <c r="G495" s="38"/>
      <c r="H495" s="38"/>
      <c r="I495" s="38"/>
      <c r="J495" s="38"/>
      <c r="K495" s="38"/>
      <c r="L495" s="38"/>
      <c r="M495" s="38"/>
      <c r="N495" s="38"/>
      <c r="O495" s="38"/>
      <c r="P495" s="38"/>
      <c r="Q495" s="38"/>
      <c r="R495" s="38"/>
      <c r="S495" s="38"/>
      <c r="T495" s="38"/>
      <c r="U495" s="38"/>
      <c r="V495" s="38"/>
      <c r="W495" s="38"/>
      <c r="X495" s="38"/>
      <c r="Y495" s="38"/>
      <c r="Z495" s="38"/>
    </row>
    <row r="496" spans="1:26">
      <c r="A496" s="35"/>
      <c r="B496" s="38"/>
      <c r="C496" s="38"/>
      <c r="D496" s="39"/>
      <c r="E496" s="39"/>
      <c r="F496" s="38"/>
      <c r="G496" s="38"/>
      <c r="H496" s="38"/>
      <c r="I496" s="38"/>
      <c r="J496" s="38"/>
      <c r="K496" s="38"/>
      <c r="L496" s="38"/>
      <c r="M496" s="38"/>
      <c r="N496" s="38"/>
      <c r="O496" s="38"/>
      <c r="P496" s="38"/>
      <c r="Q496" s="38"/>
      <c r="R496" s="38"/>
      <c r="S496" s="38"/>
      <c r="T496" s="38"/>
      <c r="U496" s="38"/>
      <c r="V496" s="38"/>
      <c r="W496" s="38"/>
      <c r="X496" s="38"/>
      <c r="Y496" s="38"/>
      <c r="Z496" s="38"/>
    </row>
    <row r="497" spans="1:26">
      <c r="A497" s="35"/>
      <c r="B497" s="38"/>
      <c r="C497" s="38"/>
      <c r="D497" s="39"/>
      <c r="E497" s="39"/>
      <c r="F497" s="38"/>
      <c r="G497" s="38"/>
      <c r="H497" s="38"/>
      <c r="I497" s="38"/>
      <c r="J497" s="38"/>
      <c r="K497" s="38"/>
      <c r="L497" s="38"/>
      <c r="M497" s="38"/>
      <c r="N497" s="38"/>
      <c r="O497" s="38"/>
      <c r="P497" s="38"/>
      <c r="Q497" s="38"/>
      <c r="R497" s="38"/>
      <c r="S497" s="38"/>
      <c r="T497" s="38"/>
      <c r="U497" s="38"/>
      <c r="V497" s="38"/>
      <c r="W497" s="38"/>
      <c r="X497" s="38"/>
      <c r="Y497" s="38"/>
      <c r="Z497" s="38"/>
    </row>
    <row r="498" spans="1:26">
      <c r="A498" s="35"/>
      <c r="B498" s="38"/>
      <c r="C498" s="38"/>
      <c r="D498" s="39"/>
      <c r="E498" s="39"/>
      <c r="F498" s="38"/>
      <c r="G498" s="38"/>
      <c r="H498" s="38"/>
      <c r="I498" s="38"/>
      <c r="J498" s="38"/>
      <c r="K498" s="38"/>
      <c r="L498" s="38"/>
      <c r="M498" s="38"/>
      <c r="N498" s="38"/>
      <c r="O498" s="38"/>
      <c r="P498" s="38"/>
      <c r="Q498" s="38"/>
      <c r="R498" s="38"/>
      <c r="S498" s="38"/>
      <c r="T498" s="38"/>
      <c r="U498" s="38"/>
      <c r="V498" s="38"/>
      <c r="W498" s="38"/>
      <c r="X498" s="38"/>
      <c r="Y498" s="38"/>
      <c r="Z498" s="38"/>
    </row>
    <row r="499" spans="1:26">
      <c r="A499" s="35"/>
      <c r="B499" s="38"/>
      <c r="C499" s="38"/>
      <c r="D499" s="39"/>
      <c r="E499" s="39"/>
      <c r="F499" s="38"/>
      <c r="G499" s="38"/>
      <c r="H499" s="38"/>
      <c r="I499" s="38"/>
      <c r="J499" s="38"/>
      <c r="K499" s="38"/>
      <c r="L499" s="38"/>
      <c r="M499" s="38"/>
      <c r="N499" s="38"/>
      <c r="O499" s="38"/>
      <c r="P499" s="38"/>
      <c r="Q499" s="38"/>
      <c r="R499" s="38"/>
      <c r="S499" s="38"/>
      <c r="T499" s="38"/>
      <c r="U499" s="38"/>
      <c r="V499" s="38"/>
      <c r="W499" s="38"/>
      <c r="X499" s="38"/>
      <c r="Y499" s="38"/>
      <c r="Z499" s="38"/>
    </row>
    <row r="500" spans="1:26">
      <c r="A500" s="35"/>
      <c r="B500" s="38"/>
      <c r="C500" s="38"/>
      <c r="D500" s="39"/>
      <c r="E500" s="39"/>
      <c r="F500" s="38"/>
      <c r="G500" s="38"/>
      <c r="H500" s="38"/>
      <c r="I500" s="38"/>
      <c r="J500" s="38"/>
      <c r="K500" s="38"/>
      <c r="L500" s="38"/>
      <c r="M500" s="38"/>
      <c r="N500" s="38"/>
      <c r="O500" s="38"/>
      <c r="P500" s="38"/>
      <c r="Q500" s="38"/>
      <c r="R500" s="38"/>
      <c r="S500" s="38"/>
      <c r="T500" s="38"/>
      <c r="U500" s="38"/>
      <c r="V500" s="38"/>
      <c r="W500" s="38"/>
      <c r="X500" s="38"/>
      <c r="Y500" s="38"/>
      <c r="Z500" s="38"/>
    </row>
    <row r="501" spans="1:26">
      <c r="A501" s="35"/>
      <c r="B501" s="38"/>
      <c r="C501" s="38"/>
      <c r="D501" s="39"/>
      <c r="E501" s="39"/>
      <c r="F501" s="38"/>
      <c r="G501" s="38"/>
      <c r="H501" s="38"/>
      <c r="I501" s="38"/>
      <c r="J501" s="38"/>
      <c r="K501" s="38"/>
      <c r="L501" s="38"/>
      <c r="M501" s="38"/>
      <c r="N501" s="38"/>
      <c r="O501" s="38"/>
      <c r="P501" s="38"/>
      <c r="Q501" s="38"/>
      <c r="R501" s="38"/>
      <c r="S501" s="38"/>
      <c r="T501" s="38"/>
      <c r="U501" s="38"/>
      <c r="V501" s="38"/>
      <c r="W501" s="38"/>
      <c r="X501" s="38"/>
      <c r="Y501" s="38"/>
      <c r="Z501" s="38"/>
    </row>
    <row r="502" spans="1:26">
      <c r="A502" s="35"/>
      <c r="B502" s="38"/>
      <c r="C502" s="38"/>
      <c r="D502" s="39"/>
      <c r="E502" s="39"/>
      <c r="F502" s="38"/>
      <c r="G502" s="38"/>
      <c r="H502" s="38"/>
      <c r="I502" s="38"/>
      <c r="J502" s="38"/>
      <c r="K502" s="38"/>
      <c r="L502" s="38"/>
      <c r="M502" s="38"/>
      <c r="N502" s="38"/>
      <c r="O502" s="38"/>
      <c r="P502" s="38"/>
      <c r="Q502" s="38"/>
      <c r="R502" s="38"/>
      <c r="S502" s="38"/>
      <c r="T502" s="38"/>
      <c r="U502" s="38"/>
      <c r="V502" s="38"/>
      <c r="W502" s="38"/>
      <c r="X502" s="38"/>
      <c r="Y502" s="38"/>
      <c r="Z502" s="38"/>
    </row>
    <row r="503" spans="1:26">
      <c r="A503" s="35"/>
      <c r="B503" s="38"/>
      <c r="C503" s="38"/>
      <c r="D503" s="39"/>
      <c r="E503" s="39"/>
      <c r="F503" s="38"/>
      <c r="G503" s="38"/>
      <c r="H503" s="38"/>
      <c r="I503" s="38"/>
      <c r="J503" s="38"/>
      <c r="K503" s="38"/>
      <c r="L503" s="38"/>
      <c r="M503" s="38"/>
      <c r="N503" s="38"/>
      <c r="O503" s="38"/>
      <c r="P503" s="38"/>
      <c r="Q503" s="38"/>
      <c r="R503" s="38"/>
      <c r="S503" s="38"/>
      <c r="T503" s="38"/>
      <c r="U503" s="38"/>
      <c r="V503" s="38"/>
      <c r="W503" s="38"/>
      <c r="X503" s="38"/>
      <c r="Y503" s="38"/>
      <c r="Z503" s="38"/>
    </row>
    <row r="504" spans="1:26">
      <c r="A504" s="35"/>
      <c r="B504" s="38"/>
      <c r="C504" s="38"/>
      <c r="D504" s="39"/>
      <c r="E504" s="39"/>
      <c r="F504" s="38"/>
      <c r="G504" s="38"/>
      <c r="H504" s="38"/>
      <c r="I504" s="38"/>
      <c r="J504" s="38"/>
      <c r="K504" s="38"/>
      <c r="L504" s="38"/>
      <c r="M504" s="38"/>
      <c r="N504" s="38"/>
      <c r="O504" s="38"/>
      <c r="P504" s="38"/>
      <c r="Q504" s="38"/>
      <c r="R504" s="38"/>
      <c r="S504" s="38"/>
      <c r="T504" s="38"/>
      <c r="U504" s="38"/>
      <c r="V504" s="38"/>
      <c r="W504" s="38"/>
      <c r="X504" s="38"/>
      <c r="Y504" s="38"/>
      <c r="Z504" s="38"/>
    </row>
    <row r="505" spans="1:26">
      <c r="A505" s="35"/>
      <c r="B505" s="38"/>
      <c r="C505" s="38"/>
      <c r="D505" s="39"/>
      <c r="E505" s="39"/>
      <c r="F505" s="38"/>
      <c r="G505" s="38"/>
      <c r="H505" s="38"/>
      <c r="I505" s="38"/>
      <c r="J505" s="38"/>
      <c r="K505" s="38"/>
      <c r="L505" s="38"/>
      <c r="M505" s="38"/>
      <c r="N505" s="38"/>
      <c r="O505" s="38"/>
      <c r="P505" s="38"/>
      <c r="Q505" s="38"/>
      <c r="R505" s="38"/>
      <c r="S505" s="38"/>
      <c r="T505" s="38"/>
      <c r="U505" s="38"/>
      <c r="V505" s="38"/>
      <c r="W505" s="38"/>
      <c r="X505" s="38"/>
      <c r="Y505" s="38"/>
      <c r="Z505" s="38"/>
    </row>
    <row r="506" spans="1:26">
      <c r="A506" s="35"/>
      <c r="B506" s="38"/>
      <c r="C506" s="38"/>
      <c r="D506" s="39"/>
      <c r="E506" s="39"/>
      <c r="F506" s="38"/>
      <c r="G506" s="38"/>
      <c r="H506" s="38"/>
      <c r="I506" s="38"/>
      <c r="J506" s="38"/>
      <c r="K506" s="38"/>
      <c r="L506" s="38"/>
      <c r="M506" s="38"/>
      <c r="N506" s="38"/>
      <c r="O506" s="38"/>
      <c r="P506" s="38"/>
      <c r="Q506" s="38"/>
      <c r="R506" s="38"/>
      <c r="S506" s="38"/>
      <c r="T506" s="38"/>
      <c r="U506" s="38"/>
      <c r="V506" s="38"/>
      <c r="W506" s="38"/>
      <c r="X506" s="38"/>
      <c r="Y506" s="38"/>
      <c r="Z506" s="38"/>
    </row>
    <row r="507" spans="1:26">
      <c r="A507" s="35"/>
      <c r="B507" s="38"/>
      <c r="C507" s="38"/>
      <c r="D507" s="39"/>
      <c r="E507" s="39"/>
      <c r="F507" s="38"/>
      <c r="G507" s="38"/>
      <c r="H507" s="38"/>
      <c r="I507" s="38"/>
      <c r="J507" s="38"/>
      <c r="K507" s="38"/>
      <c r="L507" s="38"/>
      <c r="M507" s="38"/>
      <c r="N507" s="38"/>
      <c r="O507" s="38"/>
      <c r="P507" s="38"/>
      <c r="Q507" s="38"/>
      <c r="R507" s="38"/>
      <c r="S507" s="38"/>
      <c r="T507" s="38"/>
      <c r="U507" s="38"/>
      <c r="V507" s="38"/>
      <c r="W507" s="38"/>
      <c r="X507" s="38"/>
      <c r="Y507" s="38"/>
      <c r="Z507" s="38"/>
    </row>
    <row r="508" spans="1:26">
      <c r="A508" s="35"/>
      <c r="B508" s="38"/>
      <c r="C508" s="38"/>
      <c r="D508" s="39"/>
      <c r="E508" s="39"/>
      <c r="F508" s="38"/>
      <c r="G508" s="38"/>
      <c r="H508" s="38"/>
      <c r="I508" s="38"/>
      <c r="J508" s="38"/>
      <c r="K508" s="38"/>
      <c r="L508" s="38"/>
      <c r="M508" s="38"/>
      <c r="N508" s="38"/>
      <c r="O508" s="38"/>
      <c r="P508" s="38"/>
      <c r="Q508" s="38"/>
      <c r="R508" s="38"/>
      <c r="S508" s="38"/>
      <c r="T508" s="38"/>
      <c r="U508" s="38"/>
      <c r="V508" s="38"/>
      <c r="W508" s="38"/>
      <c r="X508" s="38"/>
      <c r="Y508" s="38"/>
      <c r="Z508" s="38"/>
    </row>
    <row r="509" spans="1:26">
      <c r="A509" s="35"/>
      <c r="B509" s="38"/>
      <c r="C509" s="38"/>
      <c r="D509" s="39"/>
      <c r="E509" s="39"/>
      <c r="F509" s="38"/>
      <c r="G509" s="38"/>
      <c r="H509" s="38"/>
      <c r="I509" s="38"/>
      <c r="J509" s="38"/>
      <c r="K509" s="38"/>
      <c r="L509" s="38"/>
      <c r="M509" s="38"/>
      <c r="N509" s="38"/>
      <c r="O509" s="38"/>
      <c r="P509" s="38"/>
      <c r="Q509" s="38"/>
      <c r="R509" s="38"/>
      <c r="S509" s="38"/>
      <c r="T509" s="38"/>
      <c r="U509" s="38"/>
      <c r="V509" s="38"/>
      <c r="W509" s="38"/>
      <c r="X509" s="38"/>
      <c r="Y509" s="38"/>
      <c r="Z509" s="38"/>
    </row>
    <row r="510" spans="1:26">
      <c r="A510" s="35"/>
      <c r="B510" s="38"/>
      <c r="C510" s="38"/>
      <c r="D510" s="39"/>
      <c r="E510" s="39"/>
      <c r="F510" s="38"/>
      <c r="G510" s="38"/>
      <c r="H510" s="38"/>
      <c r="I510" s="38"/>
      <c r="J510" s="38"/>
      <c r="K510" s="38"/>
      <c r="L510" s="38"/>
      <c r="M510" s="38"/>
      <c r="N510" s="38"/>
      <c r="O510" s="38"/>
      <c r="P510" s="38"/>
      <c r="Q510" s="38"/>
      <c r="R510" s="38"/>
      <c r="S510" s="38"/>
      <c r="T510" s="38"/>
      <c r="U510" s="38"/>
      <c r="V510" s="38"/>
      <c r="W510" s="38"/>
      <c r="X510" s="38"/>
      <c r="Y510" s="38"/>
      <c r="Z510" s="38"/>
    </row>
    <row r="511" spans="1:26">
      <c r="A511" s="35"/>
      <c r="B511" s="38"/>
      <c r="C511" s="38"/>
      <c r="D511" s="39"/>
      <c r="E511" s="39"/>
      <c r="F511" s="38"/>
      <c r="G511" s="38"/>
      <c r="H511" s="38"/>
      <c r="I511" s="38"/>
      <c r="J511" s="38"/>
      <c r="K511" s="38"/>
      <c r="L511" s="38"/>
      <c r="M511" s="38"/>
      <c r="N511" s="38"/>
      <c r="O511" s="38"/>
      <c r="P511" s="38"/>
      <c r="Q511" s="38"/>
      <c r="R511" s="38"/>
      <c r="S511" s="38"/>
      <c r="T511" s="38"/>
      <c r="U511" s="38"/>
      <c r="V511" s="38"/>
      <c r="W511" s="38"/>
      <c r="X511" s="38"/>
      <c r="Y511" s="38"/>
      <c r="Z511" s="38"/>
    </row>
    <row r="512" spans="1:26">
      <c r="A512" s="35"/>
      <c r="B512" s="38"/>
      <c r="C512" s="38"/>
      <c r="D512" s="39"/>
      <c r="E512" s="39"/>
      <c r="F512" s="38"/>
      <c r="G512" s="38"/>
      <c r="H512" s="38"/>
      <c r="I512" s="38"/>
      <c r="J512" s="38"/>
      <c r="K512" s="38"/>
      <c r="L512" s="38"/>
      <c r="M512" s="38"/>
      <c r="N512" s="38"/>
      <c r="O512" s="38"/>
      <c r="P512" s="38"/>
      <c r="Q512" s="38"/>
      <c r="R512" s="38"/>
      <c r="S512" s="38"/>
      <c r="T512" s="38"/>
      <c r="U512" s="38"/>
      <c r="V512" s="38"/>
      <c r="W512" s="38"/>
      <c r="X512" s="38"/>
      <c r="Y512" s="38"/>
      <c r="Z512" s="38"/>
    </row>
    <row r="513" spans="1:26">
      <c r="A513" s="35"/>
      <c r="B513" s="38"/>
      <c r="C513" s="38"/>
      <c r="D513" s="39"/>
      <c r="E513" s="39"/>
      <c r="F513" s="38"/>
      <c r="G513" s="38"/>
      <c r="H513" s="38"/>
      <c r="I513" s="38"/>
      <c r="J513" s="38"/>
      <c r="K513" s="38"/>
      <c r="L513" s="38"/>
      <c r="M513" s="38"/>
      <c r="N513" s="38"/>
      <c r="O513" s="38"/>
      <c r="P513" s="38"/>
      <c r="Q513" s="38"/>
      <c r="R513" s="38"/>
      <c r="S513" s="38"/>
      <c r="T513" s="38"/>
      <c r="U513" s="38"/>
      <c r="V513" s="38"/>
      <c r="W513" s="38"/>
      <c r="X513" s="38"/>
      <c r="Y513" s="38"/>
      <c r="Z513" s="38"/>
    </row>
    <row r="514" spans="1:26">
      <c r="A514" s="35"/>
      <c r="B514" s="38"/>
      <c r="C514" s="38"/>
      <c r="D514" s="39"/>
      <c r="E514" s="39"/>
      <c r="F514" s="38"/>
      <c r="G514" s="38"/>
      <c r="H514" s="38"/>
      <c r="I514" s="38"/>
      <c r="J514" s="38"/>
      <c r="K514" s="38"/>
      <c r="L514" s="38"/>
      <c r="M514" s="38"/>
      <c r="N514" s="38"/>
      <c r="O514" s="38"/>
      <c r="P514" s="38"/>
      <c r="Q514" s="38"/>
      <c r="R514" s="38"/>
      <c r="S514" s="38"/>
      <c r="T514" s="38"/>
      <c r="U514" s="38"/>
      <c r="V514" s="38"/>
      <c r="W514" s="38"/>
      <c r="X514" s="38"/>
      <c r="Y514" s="38"/>
      <c r="Z514" s="38"/>
    </row>
    <row r="515" spans="1:26">
      <c r="A515" s="35"/>
      <c r="B515" s="38"/>
      <c r="C515" s="38"/>
      <c r="D515" s="39"/>
      <c r="E515" s="39"/>
      <c r="F515" s="38"/>
      <c r="G515" s="38"/>
      <c r="H515" s="38"/>
      <c r="I515" s="38"/>
      <c r="J515" s="38"/>
      <c r="K515" s="38"/>
      <c r="L515" s="38"/>
      <c r="M515" s="38"/>
      <c r="N515" s="38"/>
      <c r="O515" s="38"/>
      <c r="P515" s="38"/>
      <c r="Q515" s="38"/>
      <c r="R515" s="38"/>
      <c r="S515" s="38"/>
      <c r="T515" s="38"/>
      <c r="U515" s="38"/>
      <c r="V515" s="38"/>
      <c r="W515" s="38"/>
      <c r="X515" s="38"/>
      <c r="Y515" s="38"/>
      <c r="Z515" s="38"/>
    </row>
    <row r="516" spans="1:26">
      <c r="A516" s="35"/>
      <c r="B516" s="38"/>
      <c r="C516" s="38"/>
      <c r="D516" s="39"/>
      <c r="E516" s="39"/>
      <c r="F516" s="38"/>
      <c r="G516" s="38"/>
      <c r="H516" s="38"/>
      <c r="I516" s="38"/>
      <c r="J516" s="38"/>
      <c r="K516" s="38"/>
      <c r="L516" s="38"/>
      <c r="M516" s="38"/>
      <c r="N516" s="38"/>
      <c r="O516" s="38"/>
      <c r="P516" s="38"/>
      <c r="Q516" s="38"/>
      <c r="R516" s="38"/>
      <c r="S516" s="38"/>
      <c r="T516" s="38"/>
      <c r="U516" s="38"/>
      <c r="V516" s="38"/>
      <c r="W516" s="38"/>
      <c r="X516" s="38"/>
      <c r="Y516" s="38"/>
      <c r="Z516" s="38"/>
    </row>
    <row r="517" spans="1:26">
      <c r="A517" s="35"/>
      <c r="B517" s="38"/>
      <c r="C517" s="38"/>
      <c r="D517" s="39"/>
      <c r="E517" s="39"/>
      <c r="F517" s="38"/>
      <c r="G517" s="38"/>
      <c r="H517" s="38"/>
      <c r="I517" s="38"/>
      <c r="J517" s="38"/>
      <c r="K517" s="38"/>
      <c r="L517" s="38"/>
      <c r="M517" s="38"/>
      <c r="N517" s="38"/>
      <c r="O517" s="38"/>
      <c r="P517" s="38"/>
      <c r="Q517" s="38"/>
      <c r="R517" s="38"/>
      <c r="S517" s="38"/>
      <c r="T517" s="38"/>
      <c r="U517" s="38"/>
      <c r="V517" s="38"/>
      <c r="W517" s="38"/>
      <c r="X517" s="38"/>
      <c r="Y517" s="38"/>
      <c r="Z517" s="38"/>
    </row>
    <row r="518" spans="1:26">
      <c r="A518" s="35"/>
      <c r="B518" s="38"/>
      <c r="C518" s="38"/>
      <c r="D518" s="39"/>
      <c r="E518" s="39"/>
      <c r="F518" s="38"/>
      <c r="G518" s="38"/>
      <c r="H518" s="38"/>
      <c r="I518" s="38"/>
      <c r="J518" s="38"/>
      <c r="K518" s="38"/>
      <c r="L518" s="38"/>
      <c r="M518" s="38"/>
      <c r="N518" s="38"/>
      <c r="O518" s="38"/>
      <c r="P518" s="38"/>
      <c r="Q518" s="38"/>
      <c r="R518" s="38"/>
      <c r="S518" s="38"/>
      <c r="T518" s="38"/>
      <c r="U518" s="38"/>
      <c r="V518" s="38"/>
      <c r="W518" s="38"/>
      <c r="X518" s="38"/>
      <c r="Y518" s="38"/>
      <c r="Z518" s="38"/>
    </row>
    <row r="519" spans="1:26">
      <c r="A519" s="35"/>
      <c r="B519" s="38"/>
      <c r="C519" s="38"/>
      <c r="D519" s="39"/>
      <c r="E519" s="39"/>
      <c r="F519" s="38"/>
      <c r="G519" s="38"/>
      <c r="H519" s="38"/>
      <c r="I519" s="38"/>
      <c r="J519" s="38"/>
      <c r="K519" s="38"/>
      <c r="L519" s="38"/>
      <c r="M519" s="38"/>
      <c r="N519" s="38"/>
      <c r="O519" s="38"/>
      <c r="P519" s="38"/>
      <c r="Q519" s="38"/>
      <c r="R519" s="38"/>
      <c r="S519" s="38"/>
      <c r="T519" s="38"/>
      <c r="U519" s="38"/>
      <c r="V519" s="38"/>
      <c r="W519" s="38"/>
      <c r="X519" s="38"/>
      <c r="Y519" s="38"/>
      <c r="Z519" s="38"/>
    </row>
    <row r="520" spans="1:26">
      <c r="A520" s="35"/>
      <c r="B520" s="38"/>
      <c r="C520" s="38"/>
      <c r="D520" s="39"/>
      <c r="E520" s="39"/>
      <c r="F520" s="38"/>
      <c r="G520" s="38"/>
      <c r="H520" s="38"/>
      <c r="I520" s="38"/>
      <c r="J520" s="38"/>
      <c r="K520" s="38"/>
      <c r="L520" s="38"/>
      <c r="M520" s="38"/>
      <c r="N520" s="38"/>
      <c r="O520" s="38"/>
      <c r="P520" s="38"/>
      <c r="Q520" s="38"/>
      <c r="R520" s="38"/>
      <c r="S520" s="38"/>
      <c r="T520" s="38"/>
      <c r="U520" s="38"/>
      <c r="V520" s="38"/>
      <c r="W520" s="38"/>
      <c r="X520" s="38"/>
      <c r="Y520" s="38"/>
      <c r="Z520" s="38"/>
    </row>
    <row r="521" spans="1:26">
      <c r="A521" s="35"/>
      <c r="B521" s="38"/>
      <c r="C521" s="38"/>
      <c r="D521" s="39"/>
      <c r="E521" s="39"/>
      <c r="F521" s="38"/>
      <c r="G521" s="38"/>
      <c r="H521" s="38"/>
      <c r="I521" s="38"/>
      <c r="J521" s="38"/>
      <c r="K521" s="38"/>
      <c r="L521" s="38"/>
      <c r="M521" s="38"/>
      <c r="N521" s="38"/>
      <c r="O521" s="38"/>
      <c r="P521" s="38"/>
      <c r="Q521" s="38"/>
      <c r="R521" s="38"/>
      <c r="S521" s="38"/>
      <c r="T521" s="38"/>
      <c r="U521" s="38"/>
      <c r="V521" s="38"/>
      <c r="W521" s="38"/>
      <c r="X521" s="38"/>
      <c r="Y521" s="38"/>
      <c r="Z521" s="38"/>
    </row>
    <row r="522" spans="1:26">
      <c r="A522" s="35"/>
      <c r="B522" s="38"/>
      <c r="C522" s="38"/>
      <c r="D522" s="39"/>
      <c r="E522" s="39"/>
      <c r="F522" s="38"/>
      <c r="G522" s="38"/>
      <c r="H522" s="38"/>
      <c r="I522" s="38"/>
      <c r="J522" s="38"/>
      <c r="K522" s="38"/>
      <c r="L522" s="38"/>
      <c r="M522" s="38"/>
      <c r="N522" s="38"/>
      <c r="O522" s="38"/>
      <c r="P522" s="38"/>
      <c r="Q522" s="38"/>
      <c r="R522" s="38"/>
      <c r="S522" s="38"/>
      <c r="T522" s="38"/>
      <c r="U522" s="38"/>
      <c r="V522" s="38"/>
      <c r="W522" s="38"/>
      <c r="X522" s="38"/>
      <c r="Y522" s="38"/>
      <c r="Z522" s="38"/>
    </row>
    <row r="523" spans="1:26">
      <c r="A523" s="35"/>
      <c r="B523" s="38"/>
      <c r="C523" s="38"/>
      <c r="D523" s="39"/>
      <c r="E523" s="39"/>
      <c r="F523" s="38"/>
      <c r="G523" s="38"/>
      <c r="H523" s="38"/>
      <c r="I523" s="38"/>
      <c r="J523" s="38"/>
      <c r="K523" s="38"/>
      <c r="L523" s="38"/>
      <c r="M523" s="38"/>
      <c r="N523" s="38"/>
      <c r="O523" s="38"/>
      <c r="P523" s="38"/>
      <c r="Q523" s="38"/>
      <c r="R523" s="38"/>
      <c r="S523" s="38"/>
      <c r="T523" s="38"/>
      <c r="U523" s="38"/>
      <c r="V523" s="38"/>
      <c r="W523" s="38"/>
      <c r="X523" s="38"/>
      <c r="Y523" s="38"/>
      <c r="Z523" s="38"/>
    </row>
    <row r="524" spans="1:26">
      <c r="A524" s="35"/>
      <c r="B524" s="38"/>
      <c r="C524" s="38"/>
      <c r="D524" s="39"/>
      <c r="E524" s="39"/>
      <c r="F524" s="38"/>
      <c r="G524" s="38"/>
      <c r="H524" s="38"/>
      <c r="I524" s="38"/>
      <c r="J524" s="38"/>
      <c r="K524" s="38"/>
      <c r="L524" s="38"/>
      <c r="M524" s="38"/>
      <c r="N524" s="38"/>
      <c r="O524" s="38"/>
      <c r="P524" s="38"/>
      <c r="Q524" s="38"/>
      <c r="R524" s="38"/>
      <c r="S524" s="38"/>
      <c r="T524" s="38"/>
      <c r="U524" s="38"/>
      <c r="V524" s="38"/>
      <c r="W524" s="38"/>
      <c r="X524" s="38"/>
      <c r="Y524" s="38"/>
      <c r="Z524" s="38"/>
    </row>
    <row r="525" spans="1:26">
      <c r="A525" s="35"/>
      <c r="B525" s="38"/>
      <c r="C525" s="38"/>
      <c r="D525" s="39"/>
      <c r="E525" s="39"/>
      <c r="F525" s="38"/>
      <c r="G525" s="38"/>
      <c r="H525" s="38"/>
      <c r="I525" s="38"/>
      <c r="J525" s="38"/>
      <c r="K525" s="38"/>
      <c r="L525" s="38"/>
      <c r="M525" s="38"/>
      <c r="N525" s="38"/>
      <c r="O525" s="38"/>
      <c r="P525" s="38"/>
      <c r="Q525" s="38"/>
      <c r="R525" s="38"/>
      <c r="S525" s="38"/>
      <c r="T525" s="38"/>
      <c r="U525" s="38"/>
      <c r="V525" s="38"/>
      <c r="W525" s="38"/>
      <c r="X525" s="38"/>
      <c r="Y525" s="38"/>
      <c r="Z525" s="38"/>
    </row>
    <row r="526" spans="1:26">
      <c r="A526" s="35"/>
      <c r="B526" s="38"/>
      <c r="C526" s="38"/>
      <c r="D526" s="39"/>
      <c r="E526" s="39"/>
      <c r="F526" s="38"/>
      <c r="G526" s="38"/>
      <c r="H526" s="38"/>
      <c r="I526" s="38"/>
      <c r="J526" s="38"/>
      <c r="K526" s="38"/>
      <c r="L526" s="38"/>
      <c r="M526" s="38"/>
      <c r="N526" s="38"/>
      <c r="O526" s="38"/>
      <c r="P526" s="38"/>
      <c r="Q526" s="38"/>
      <c r="R526" s="38"/>
      <c r="S526" s="38"/>
      <c r="T526" s="38"/>
      <c r="U526" s="38"/>
      <c r="V526" s="38"/>
      <c r="W526" s="38"/>
      <c r="X526" s="38"/>
      <c r="Y526" s="38"/>
      <c r="Z526" s="38"/>
    </row>
    <row r="527" spans="1:26">
      <c r="A527" s="35"/>
      <c r="B527" s="38"/>
      <c r="C527" s="38"/>
      <c r="D527" s="39"/>
      <c r="E527" s="39"/>
      <c r="F527" s="38"/>
      <c r="G527" s="38"/>
      <c r="H527" s="38"/>
      <c r="I527" s="38"/>
      <c r="J527" s="38"/>
      <c r="K527" s="38"/>
      <c r="L527" s="38"/>
      <c r="M527" s="38"/>
      <c r="N527" s="38"/>
      <c r="O527" s="38"/>
      <c r="P527" s="38"/>
      <c r="Q527" s="38"/>
      <c r="R527" s="38"/>
      <c r="S527" s="38"/>
      <c r="T527" s="38"/>
      <c r="U527" s="38"/>
      <c r="V527" s="38"/>
      <c r="W527" s="38"/>
      <c r="X527" s="38"/>
      <c r="Y527" s="38"/>
      <c r="Z527" s="38"/>
    </row>
    <row r="528" spans="1:26">
      <c r="A528" s="35"/>
      <c r="B528" s="38"/>
      <c r="C528" s="38"/>
      <c r="D528" s="39"/>
      <c r="E528" s="39"/>
      <c r="F528" s="38"/>
      <c r="G528" s="38"/>
      <c r="H528" s="38"/>
      <c r="I528" s="38"/>
      <c r="J528" s="38"/>
      <c r="K528" s="38"/>
      <c r="L528" s="38"/>
      <c r="M528" s="38"/>
      <c r="N528" s="38"/>
      <c r="O528" s="38"/>
      <c r="P528" s="38"/>
      <c r="Q528" s="38"/>
      <c r="R528" s="38"/>
      <c r="S528" s="38"/>
      <c r="T528" s="38"/>
      <c r="U528" s="38"/>
      <c r="V528" s="38"/>
      <c r="W528" s="38"/>
      <c r="X528" s="38"/>
      <c r="Y528" s="38"/>
      <c r="Z528" s="38"/>
    </row>
    <row r="529" spans="1:26">
      <c r="A529" s="35"/>
      <c r="B529" s="38"/>
      <c r="C529" s="38"/>
      <c r="D529" s="39"/>
      <c r="E529" s="39"/>
      <c r="F529" s="38"/>
      <c r="G529" s="38"/>
      <c r="H529" s="38"/>
      <c r="I529" s="38"/>
      <c r="J529" s="38"/>
      <c r="K529" s="38"/>
      <c r="L529" s="38"/>
      <c r="M529" s="38"/>
      <c r="N529" s="38"/>
      <c r="O529" s="38"/>
      <c r="P529" s="38"/>
      <c r="Q529" s="38"/>
      <c r="R529" s="38"/>
      <c r="S529" s="38"/>
      <c r="T529" s="38"/>
      <c r="U529" s="38"/>
      <c r="V529" s="38"/>
      <c r="W529" s="38"/>
      <c r="X529" s="38"/>
      <c r="Y529" s="38"/>
      <c r="Z529" s="38"/>
    </row>
    <row r="530" spans="1:26">
      <c r="A530" s="35"/>
      <c r="B530" s="38"/>
      <c r="C530" s="38"/>
      <c r="D530" s="39"/>
      <c r="E530" s="39"/>
      <c r="F530" s="38"/>
      <c r="G530" s="38"/>
      <c r="H530" s="38"/>
      <c r="I530" s="38"/>
      <c r="J530" s="38"/>
      <c r="K530" s="38"/>
      <c r="L530" s="38"/>
      <c r="M530" s="38"/>
      <c r="N530" s="38"/>
      <c r="O530" s="38"/>
      <c r="P530" s="38"/>
      <c r="Q530" s="38"/>
      <c r="R530" s="38"/>
      <c r="S530" s="38"/>
      <c r="T530" s="38"/>
      <c r="U530" s="38"/>
      <c r="V530" s="38"/>
      <c r="W530" s="38"/>
      <c r="X530" s="38"/>
      <c r="Y530" s="38"/>
      <c r="Z530" s="38"/>
    </row>
    <row r="531" spans="1:26">
      <c r="A531" s="35"/>
      <c r="B531" s="38"/>
      <c r="C531" s="38"/>
      <c r="D531" s="39"/>
      <c r="E531" s="39"/>
      <c r="F531" s="38"/>
      <c r="G531" s="38"/>
      <c r="H531" s="38"/>
      <c r="I531" s="38"/>
      <c r="J531" s="38"/>
      <c r="K531" s="38"/>
      <c r="L531" s="38"/>
      <c r="M531" s="38"/>
      <c r="N531" s="38"/>
      <c r="O531" s="38"/>
      <c r="P531" s="38"/>
      <c r="Q531" s="38"/>
      <c r="R531" s="38"/>
      <c r="S531" s="38"/>
      <c r="T531" s="38"/>
      <c r="U531" s="38"/>
      <c r="V531" s="38"/>
      <c r="W531" s="38"/>
      <c r="X531" s="38"/>
      <c r="Y531" s="38"/>
      <c r="Z531" s="38"/>
    </row>
    <row r="532" spans="1:26">
      <c r="A532" s="35"/>
      <c r="B532" s="38"/>
      <c r="C532" s="38"/>
      <c r="D532" s="39"/>
      <c r="E532" s="39"/>
      <c r="F532" s="38"/>
      <c r="G532" s="38"/>
      <c r="H532" s="38"/>
      <c r="I532" s="38"/>
      <c r="J532" s="38"/>
      <c r="K532" s="38"/>
      <c r="L532" s="38"/>
      <c r="M532" s="38"/>
      <c r="N532" s="38"/>
      <c r="O532" s="38"/>
      <c r="P532" s="38"/>
      <c r="Q532" s="38"/>
      <c r="R532" s="38"/>
      <c r="S532" s="38"/>
      <c r="T532" s="38"/>
      <c r="U532" s="38"/>
      <c r="V532" s="38"/>
      <c r="W532" s="38"/>
      <c r="X532" s="38"/>
      <c r="Y532" s="38"/>
      <c r="Z532" s="38"/>
    </row>
    <row r="533" spans="1:26">
      <c r="A533" s="35"/>
      <c r="B533" s="38"/>
      <c r="C533" s="38"/>
      <c r="D533" s="39"/>
      <c r="E533" s="39"/>
      <c r="F533" s="38"/>
      <c r="G533" s="38"/>
      <c r="H533" s="38"/>
      <c r="I533" s="38"/>
      <c r="J533" s="38"/>
      <c r="K533" s="38"/>
      <c r="L533" s="38"/>
      <c r="M533" s="38"/>
      <c r="N533" s="38"/>
      <c r="O533" s="38"/>
      <c r="P533" s="38"/>
      <c r="Q533" s="38"/>
      <c r="R533" s="38"/>
      <c r="S533" s="38"/>
      <c r="T533" s="38"/>
      <c r="U533" s="38"/>
      <c r="V533" s="38"/>
      <c r="W533" s="38"/>
      <c r="X533" s="38"/>
      <c r="Y533" s="38"/>
      <c r="Z533" s="38"/>
    </row>
    <row r="534" spans="1:26">
      <c r="A534" s="35"/>
      <c r="B534" s="38"/>
      <c r="C534" s="38"/>
      <c r="D534" s="39"/>
      <c r="E534" s="39"/>
      <c r="F534" s="38"/>
      <c r="G534" s="38"/>
      <c r="H534" s="38"/>
      <c r="I534" s="38"/>
      <c r="J534" s="38"/>
      <c r="K534" s="38"/>
      <c r="L534" s="38"/>
      <c r="M534" s="38"/>
      <c r="N534" s="38"/>
      <c r="O534" s="38"/>
      <c r="P534" s="38"/>
      <c r="Q534" s="38"/>
      <c r="R534" s="38"/>
      <c r="S534" s="38"/>
      <c r="T534" s="38"/>
      <c r="U534" s="38"/>
      <c r="V534" s="38"/>
      <c r="W534" s="38"/>
      <c r="X534" s="38"/>
      <c r="Y534" s="38"/>
      <c r="Z534" s="38"/>
    </row>
    <row r="535" spans="1:26">
      <c r="A535" s="35"/>
      <c r="B535" s="38"/>
      <c r="C535" s="38"/>
      <c r="D535" s="39"/>
      <c r="E535" s="39"/>
      <c r="F535" s="38"/>
      <c r="G535" s="38"/>
      <c r="H535" s="38"/>
      <c r="I535" s="38"/>
      <c r="J535" s="38"/>
      <c r="K535" s="38"/>
      <c r="L535" s="38"/>
      <c r="M535" s="38"/>
      <c r="N535" s="38"/>
      <c r="O535" s="38"/>
      <c r="P535" s="38"/>
      <c r="Q535" s="38"/>
      <c r="R535" s="38"/>
      <c r="S535" s="38"/>
      <c r="T535" s="38"/>
      <c r="U535" s="38"/>
      <c r="V535" s="38"/>
      <c r="W535" s="38"/>
      <c r="X535" s="38"/>
      <c r="Y535" s="38"/>
      <c r="Z535" s="38"/>
    </row>
    <row r="536" spans="1:26">
      <c r="A536" s="35"/>
      <c r="B536" s="38"/>
      <c r="C536" s="38"/>
      <c r="D536" s="39"/>
      <c r="E536" s="39"/>
      <c r="F536" s="38"/>
      <c r="G536" s="38"/>
      <c r="H536" s="38"/>
      <c r="I536" s="38"/>
      <c r="J536" s="38"/>
      <c r="K536" s="38"/>
      <c r="L536" s="38"/>
      <c r="M536" s="38"/>
      <c r="N536" s="38"/>
      <c r="O536" s="38"/>
      <c r="P536" s="38"/>
      <c r="Q536" s="38"/>
      <c r="R536" s="38"/>
      <c r="S536" s="38"/>
      <c r="T536" s="38"/>
      <c r="U536" s="38"/>
      <c r="V536" s="38"/>
      <c r="W536" s="38"/>
      <c r="X536" s="38"/>
      <c r="Y536" s="38"/>
      <c r="Z536" s="38"/>
    </row>
    <row r="537" spans="1:26">
      <c r="A537" s="35"/>
      <c r="B537" s="38"/>
      <c r="C537" s="38"/>
      <c r="D537" s="39"/>
      <c r="E537" s="39"/>
      <c r="F537" s="38"/>
      <c r="G537" s="38"/>
      <c r="H537" s="38"/>
      <c r="I537" s="38"/>
      <c r="J537" s="38"/>
      <c r="K537" s="38"/>
      <c r="L537" s="38"/>
      <c r="M537" s="38"/>
      <c r="N537" s="38"/>
      <c r="O537" s="38"/>
      <c r="P537" s="38"/>
      <c r="Q537" s="38"/>
      <c r="R537" s="38"/>
      <c r="S537" s="38"/>
      <c r="T537" s="38"/>
      <c r="U537" s="38"/>
      <c r="V537" s="38"/>
      <c r="W537" s="38"/>
      <c r="X537" s="38"/>
      <c r="Y537" s="38"/>
      <c r="Z537" s="38"/>
    </row>
    <row r="538" spans="1:26">
      <c r="A538" s="35"/>
      <c r="B538" s="38"/>
      <c r="C538" s="38"/>
      <c r="D538" s="39"/>
      <c r="E538" s="39"/>
      <c r="F538" s="38"/>
      <c r="G538" s="38"/>
      <c r="H538" s="38"/>
      <c r="I538" s="38"/>
      <c r="J538" s="38"/>
      <c r="K538" s="38"/>
      <c r="L538" s="38"/>
      <c r="M538" s="38"/>
      <c r="N538" s="38"/>
      <c r="O538" s="38"/>
      <c r="P538" s="38"/>
      <c r="Q538" s="38"/>
      <c r="R538" s="38"/>
      <c r="S538" s="38"/>
      <c r="T538" s="38"/>
      <c r="U538" s="38"/>
      <c r="V538" s="38"/>
      <c r="W538" s="38"/>
      <c r="X538" s="38"/>
      <c r="Y538" s="38"/>
      <c r="Z538" s="38"/>
    </row>
    <row r="539" spans="1:26">
      <c r="A539" s="35"/>
      <c r="B539" s="38"/>
      <c r="C539" s="38"/>
      <c r="D539" s="39"/>
      <c r="E539" s="39"/>
      <c r="F539" s="38"/>
      <c r="G539" s="38"/>
      <c r="H539" s="38"/>
      <c r="I539" s="38"/>
      <c r="J539" s="38"/>
      <c r="K539" s="38"/>
      <c r="L539" s="38"/>
      <c r="M539" s="38"/>
      <c r="N539" s="38"/>
      <c r="O539" s="38"/>
      <c r="P539" s="38"/>
      <c r="Q539" s="38"/>
      <c r="R539" s="38"/>
      <c r="S539" s="38"/>
      <c r="T539" s="38"/>
      <c r="U539" s="38"/>
      <c r="V539" s="38"/>
      <c r="W539" s="38"/>
      <c r="X539" s="38"/>
      <c r="Y539" s="38"/>
      <c r="Z539" s="38"/>
    </row>
    <row r="540" spans="1:26">
      <c r="A540" s="35"/>
      <c r="B540" s="38"/>
      <c r="C540" s="38"/>
      <c r="D540" s="39"/>
      <c r="E540" s="39"/>
      <c r="F540" s="38"/>
      <c r="G540" s="38"/>
      <c r="H540" s="38"/>
      <c r="I540" s="38"/>
      <c r="J540" s="38"/>
      <c r="K540" s="38"/>
      <c r="L540" s="38"/>
      <c r="M540" s="38"/>
      <c r="N540" s="38"/>
      <c r="O540" s="38"/>
      <c r="P540" s="38"/>
      <c r="Q540" s="38"/>
      <c r="R540" s="38"/>
      <c r="S540" s="38"/>
      <c r="T540" s="38"/>
      <c r="U540" s="38"/>
      <c r="V540" s="38"/>
      <c r="W540" s="38"/>
      <c r="X540" s="38"/>
      <c r="Y540" s="38"/>
      <c r="Z540" s="38"/>
    </row>
    <row r="541" spans="1:26">
      <c r="A541" s="35"/>
      <c r="B541" s="38"/>
      <c r="C541" s="38"/>
      <c r="D541" s="39"/>
      <c r="E541" s="39"/>
      <c r="F541" s="38"/>
      <c r="G541" s="38"/>
      <c r="H541" s="38"/>
      <c r="I541" s="38"/>
      <c r="J541" s="38"/>
      <c r="K541" s="38"/>
      <c r="L541" s="38"/>
      <c r="M541" s="38"/>
      <c r="N541" s="38"/>
      <c r="O541" s="38"/>
      <c r="P541" s="38"/>
      <c r="Q541" s="38"/>
      <c r="R541" s="38"/>
      <c r="S541" s="38"/>
      <c r="T541" s="38"/>
      <c r="U541" s="38"/>
      <c r="V541" s="38"/>
      <c r="W541" s="38"/>
      <c r="X541" s="38"/>
      <c r="Y541" s="38"/>
      <c r="Z541" s="38"/>
    </row>
    <row r="542" spans="1:26">
      <c r="A542" s="35"/>
      <c r="B542" s="38"/>
      <c r="C542" s="38"/>
      <c r="D542" s="39"/>
      <c r="E542" s="39"/>
      <c r="F542" s="38"/>
      <c r="G542" s="38"/>
      <c r="H542" s="38"/>
      <c r="I542" s="38"/>
      <c r="J542" s="38"/>
      <c r="K542" s="38"/>
      <c r="L542" s="38"/>
      <c r="M542" s="38"/>
      <c r="N542" s="38"/>
      <c r="O542" s="38"/>
      <c r="P542" s="38"/>
      <c r="Q542" s="38"/>
      <c r="R542" s="38"/>
      <c r="S542" s="38"/>
      <c r="T542" s="38"/>
      <c r="U542" s="38"/>
      <c r="V542" s="38"/>
      <c r="W542" s="38"/>
      <c r="X542" s="38"/>
      <c r="Y542" s="38"/>
      <c r="Z542" s="38"/>
    </row>
    <row r="543" spans="1:26">
      <c r="A543" s="35"/>
      <c r="B543" s="38"/>
      <c r="C543" s="38"/>
      <c r="D543" s="39"/>
      <c r="E543" s="39"/>
      <c r="F543" s="38"/>
      <c r="G543" s="38"/>
      <c r="H543" s="38"/>
      <c r="I543" s="38"/>
      <c r="J543" s="38"/>
      <c r="K543" s="38"/>
      <c r="L543" s="38"/>
      <c r="M543" s="38"/>
      <c r="N543" s="38"/>
      <c r="O543" s="38"/>
      <c r="P543" s="38"/>
      <c r="Q543" s="38"/>
      <c r="R543" s="38"/>
      <c r="S543" s="38"/>
      <c r="T543" s="38"/>
      <c r="U543" s="38"/>
      <c r="V543" s="38"/>
      <c r="W543" s="38"/>
      <c r="X543" s="38"/>
      <c r="Y543" s="38"/>
      <c r="Z543" s="38"/>
    </row>
    <row r="544" spans="1:26">
      <c r="A544" s="35"/>
      <c r="B544" s="38"/>
      <c r="C544" s="38"/>
      <c r="D544" s="39"/>
      <c r="E544" s="39"/>
      <c r="F544" s="38"/>
      <c r="G544" s="38"/>
      <c r="H544" s="38"/>
      <c r="I544" s="38"/>
      <c r="J544" s="38"/>
      <c r="K544" s="38"/>
      <c r="L544" s="38"/>
      <c r="M544" s="38"/>
      <c r="N544" s="38"/>
      <c r="O544" s="38"/>
      <c r="P544" s="38"/>
      <c r="Q544" s="38"/>
      <c r="R544" s="38"/>
      <c r="S544" s="38"/>
      <c r="T544" s="38"/>
      <c r="U544" s="38"/>
      <c r="V544" s="38"/>
      <c r="W544" s="38"/>
      <c r="X544" s="38"/>
      <c r="Y544" s="38"/>
      <c r="Z544" s="38"/>
    </row>
    <row r="545" spans="1:26">
      <c r="A545" s="35"/>
      <c r="B545" s="38"/>
      <c r="C545" s="38"/>
      <c r="D545" s="39"/>
      <c r="E545" s="39"/>
      <c r="F545" s="38"/>
      <c r="G545" s="38"/>
      <c r="H545" s="38"/>
      <c r="I545" s="38"/>
      <c r="J545" s="38"/>
      <c r="K545" s="38"/>
      <c r="L545" s="38"/>
      <c r="M545" s="38"/>
      <c r="N545" s="38"/>
      <c r="O545" s="38"/>
      <c r="P545" s="38"/>
      <c r="Q545" s="38"/>
      <c r="R545" s="38"/>
      <c r="S545" s="38"/>
      <c r="T545" s="38"/>
      <c r="U545" s="38"/>
      <c r="V545" s="38"/>
      <c r="W545" s="38"/>
      <c r="X545" s="38"/>
      <c r="Y545" s="38"/>
      <c r="Z545" s="38"/>
    </row>
    <row r="546" spans="1:26">
      <c r="A546" s="35"/>
      <c r="B546" s="38"/>
      <c r="C546" s="38"/>
      <c r="D546" s="39"/>
      <c r="E546" s="39"/>
      <c r="F546" s="38"/>
      <c r="G546" s="38"/>
      <c r="H546" s="38"/>
      <c r="I546" s="38"/>
      <c r="J546" s="38"/>
      <c r="K546" s="38"/>
      <c r="L546" s="38"/>
      <c r="M546" s="38"/>
      <c r="N546" s="38"/>
      <c r="O546" s="38"/>
      <c r="P546" s="38"/>
      <c r="Q546" s="38"/>
      <c r="R546" s="38"/>
      <c r="S546" s="38"/>
      <c r="T546" s="38"/>
      <c r="U546" s="38"/>
      <c r="V546" s="38"/>
      <c r="W546" s="38"/>
      <c r="X546" s="38"/>
      <c r="Y546" s="38"/>
      <c r="Z546" s="38"/>
    </row>
    <row r="547" spans="1:26">
      <c r="A547" s="35"/>
      <c r="B547" s="38"/>
      <c r="C547" s="38"/>
      <c r="D547" s="39"/>
      <c r="E547" s="39"/>
      <c r="F547" s="38"/>
      <c r="G547" s="38"/>
      <c r="H547" s="38"/>
      <c r="I547" s="38"/>
      <c r="J547" s="38"/>
      <c r="K547" s="38"/>
      <c r="L547" s="38"/>
      <c r="M547" s="38"/>
      <c r="N547" s="38"/>
      <c r="O547" s="38"/>
      <c r="P547" s="38"/>
      <c r="Q547" s="38"/>
      <c r="R547" s="38"/>
      <c r="S547" s="38"/>
      <c r="T547" s="38"/>
      <c r="U547" s="38"/>
      <c r="V547" s="38"/>
      <c r="W547" s="38"/>
      <c r="X547" s="38"/>
      <c r="Y547" s="38"/>
      <c r="Z547" s="38"/>
    </row>
    <row r="548" spans="1:26">
      <c r="A548" s="35"/>
      <c r="B548" s="38"/>
      <c r="C548" s="38"/>
      <c r="D548" s="39"/>
      <c r="E548" s="39"/>
      <c r="F548" s="38"/>
      <c r="G548" s="38"/>
      <c r="H548" s="38"/>
      <c r="I548" s="38"/>
      <c r="J548" s="38"/>
      <c r="K548" s="38"/>
      <c r="L548" s="38"/>
      <c r="M548" s="38"/>
      <c r="N548" s="38"/>
      <c r="O548" s="38"/>
      <c r="P548" s="38"/>
      <c r="Q548" s="38"/>
      <c r="R548" s="38"/>
      <c r="S548" s="38"/>
      <c r="T548" s="38"/>
      <c r="U548" s="38"/>
      <c r="V548" s="38"/>
      <c r="W548" s="38"/>
      <c r="X548" s="38"/>
      <c r="Y548" s="38"/>
      <c r="Z548" s="38"/>
    </row>
    <row r="549" spans="1:26">
      <c r="A549" s="35"/>
      <c r="B549" s="38"/>
      <c r="C549" s="38"/>
      <c r="D549" s="39"/>
      <c r="E549" s="39"/>
      <c r="F549" s="38"/>
      <c r="G549" s="38"/>
      <c r="H549" s="38"/>
      <c r="I549" s="38"/>
      <c r="J549" s="38"/>
      <c r="K549" s="38"/>
      <c r="L549" s="38"/>
      <c r="M549" s="38"/>
      <c r="N549" s="38"/>
      <c r="O549" s="38"/>
      <c r="P549" s="38"/>
      <c r="Q549" s="38"/>
      <c r="R549" s="38"/>
      <c r="S549" s="38"/>
      <c r="T549" s="38"/>
      <c r="U549" s="38"/>
      <c r="V549" s="38"/>
      <c r="W549" s="38"/>
      <c r="X549" s="38"/>
      <c r="Y549" s="38"/>
      <c r="Z549" s="38"/>
    </row>
    <row r="550" spans="1:26">
      <c r="A550" s="35"/>
      <c r="B550" s="38"/>
      <c r="C550" s="38"/>
      <c r="D550" s="39"/>
      <c r="E550" s="39"/>
      <c r="F550" s="38"/>
      <c r="G550" s="38"/>
      <c r="H550" s="38"/>
      <c r="I550" s="38"/>
      <c r="J550" s="38"/>
      <c r="K550" s="38"/>
      <c r="L550" s="38"/>
      <c r="M550" s="38"/>
      <c r="N550" s="38"/>
      <c r="O550" s="38"/>
      <c r="P550" s="38"/>
      <c r="Q550" s="38"/>
      <c r="R550" s="38"/>
      <c r="S550" s="38"/>
      <c r="T550" s="38"/>
      <c r="U550" s="38"/>
      <c r="V550" s="38"/>
      <c r="W550" s="38"/>
      <c r="X550" s="38"/>
      <c r="Y550" s="38"/>
      <c r="Z550" s="38"/>
    </row>
    <row r="551" spans="1:26">
      <c r="A551" s="35"/>
      <c r="B551" s="38"/>
      <c r="C551" s="38"/>
      <c r="D551" s="39"/>
      <c r="E551" s="39"/>
      <c r="F551" s="38"/>
      <c r="G551" s="38"/>
      <c r="H551" s="38"/>
      <c r="I551" s="38"/>
      <c r="J551" s="38"/>
      <c r="K551" s="38"/>
      <c r="L551" s="38"/>
      <c r="M551" s="38"/>
      <c r="N551" s="38"/>
      <c r="O551" s="38"/>
      <c r="P551" s="38"/>
      <c r="Q551" s="38"/>
      <c r="R551" s="38"/>
      <c r="S551" s="38"/>
      <c r="T551" s="38"/>
      <c r="U551" s="38"/>
      <c r="V551" s="38"/>
      <c r="W551" s="38"/>
      <c r="X551" s="38"/>
      <c r="Y551" s="38"/>
      <c r="Z551" s="38"/>
    </row>
    <row r="552" spans="1:26">
      <c r="A552" s="35"/>
      <c r="B552" s="38"/>
      <c r="C552" s="38"/>
      <c r="D552" s="39"/>
      <c r="E552" s="39"/>
      <c r="F552" s="38"/>
      <c r="G552" s="38"/>
      <c r="H552" s="38"/>
      <c r="I552" s="38"/>
      <c r="J552" s="38"/>
      <c r="K552" s="38"/>
      <c r="L552" s="38"/>
      <c r="M552" s="38"/>
      <c r="N552" s="38"/>
      <c r="O552" s="38"/>
      <c r="P552" s="38"/>
      <c r="Q552" s="38"/>
      <c r="R552" s="38"/>
      <c r="S552" s="38"/>
      <c r="T552" s="38"/>
      <c r="U552" s="38"/>
      <c r="V552" s="38"/>
      <c r="W552" s="38"/>
      <c r="X552" s="38"/>
      <c r="Y552" s="38"/>
      <c r="Z552" s="38"/>
    </row>
    <row r="553" spans="1:26">
      <c r="A553" s="35"/>
      <c r="B553" s="38"/>
      <c r="C553" s="38"/>
      <c r="D553" s="39"/>
      <c r="E553" s="39"/>
      <c r="F553" s="38"/>
      <c r="G553" s="38"/>
      <c r="H553" s="38"/>
      <c r="I553" s="38"/>
      <c r="J553" s="38"/>
      <c r="K553" s="38"/>
      <c r="L553" s="38"/>
      <c r="M553" s="38"/>
      <c r="N553" s="38"/>
      <c r="O553" s="38"/>
      <c r="P553" s="38"/>
      <c r="Q553" s="38"/>
      <c r="R553" s="38"/>
      <c r="S553" s="38"/>
      <c r="T553" s="38"/>
      <c r="U553" s="38"/>
      <c r="V553" s="38"/>
      <c r="W553" s="38"/>
      <c r="X553" s="38"/>
      <c r="Y553" s="38"/>
      <c r="Z553" s="38"/>
    </row>
    <row r="554" spans="1:26">
      <c r="A554" s="35"/>
      <c r="B554" s="38"/>
      <c r="C554" s="38"/>
      <c r="D554" s="39"/>
      <c r="E554" s="39"/>
      <c r="F554" s="38"/>
      <c r="G554" s="38"/>
      <c r="H554" s="38"/>
      <c r="I554" s="38"/>
      <c r="J554" s="38"/>
      <c r="K554" s="38"/>
      <c r="L554" s="38"/>
      <c r="M554" s="38"/>
      <c r="N554" s="38"/>
      <c r="O554" s="38"/>
      <c r="P554" s="38"/>
      <c r="Q554" s="38"/>
      <c r="R554" s="38"/>
      <c r="S554" s="38"/>
      <c r="T554" s="38"/>
      <c r="U554" s="38"/>
      <c r="V554" s="38"/>
      <c r="W554" s="38"/>
      <c r="X554" s="38"/>
      <c r="Y554" s="38"/>
      <c r="Z554" s="38"/>
    </row>
    <row r="555" spans="1:26">
      <c r="A555" s="35"/>
      <c r="B555" s="38"/>
      <c r="C555" s="38"/>
      <c r="D555" s="39"/>
      <c r="E555" s="39"/>
      <c r="F555" s="38"/>
      <c r="G555" s="38"/>
      <c r="H555" s="38"/>
      <c r="I555" s="38"/>
      <c r="J555" s="38"/>
      <c r="K555" s="38"/>
      <c r="L555" s="38"/>
      <c r="M555" s="38"/>
      <c r="N555" s="38"/>
      <c r="O555" s="38"/>
      <c r="P555" s="38"/>
      <c r="Q555" s="38"/>
      <c r="R555" s="38"/>
      <c r="S555" s="38"/>
      <c r="T555" s="38"/>
      <c r="U555" s="38"/>
      <c r="V555" s="38"/>
      <c r="W555" s="38"/>
      <c r="X555" s="38"/>
      <c r="Y555" s="38"/>
      <c r="Z555" s="38"/>
    </row>
    <row r="556" spans="1:26">
      <c r="A556" s="35"/>
      <c r="B556" s="38"/>
      <c r="C556" s="38"/>
      <c r="D556" s="39"/>
      <c r="E556" s="39"/>
      <c r="F556" s="38"/>
      <c r="G556" s="38"/>
      <c r="H556" s="38"/>
      <c r="I556" s="38"/>
      <c r="J556" s="38"/>
      <c r="K556" s="38"/>
      <c r="L556" s="38"/>
      <c r="M556" s="38"/>
      <c r="N556" s="38"/>
      <c r="O556" s="38"/>
      <c r="P556" s="38"/>
      <c r="Q556" s="38"/>
      <c r="R556" s="38"/>
      <c r="S556" s="38"/>
      <c r="T556" s="38"/>
      <c r="U556" s="38"/>
      <c r="V556" s="38"/>
      <c r="W556" s="38"/>
      <c r="X556" s="38"/>
      <c r="Y556" s="38"/>
      <c r="Z556" s="38"/>
    </row>
    <row r="557" spans="1:26">
      <c r="A557" s="35"/>
      <c r="B557" s="38"/>
      <c r="C557" s="38"/>
      <c r="D557" s="39"/>
      <c r="E557" s="39"/>
      <c r="F557" s="38"/>
      <c r="G557" s="38"/>
      <c r="H557" s="38"/>
      <c r="I557" s="38"/>
      <c r="J557" s="38"/>
      <c r="K557" s="38"/>
      <c r="L557" s="38"/>
      <c r="M557" s="38"/>
      <c r="N557" s="38"/>
      <c r="O557" s="38"/>
      <c r="P557" s="38"/>
      <c r="Q557" s="38"/>
      <c r="R557" s="38"/>
      <c r="S557" s="38"/>
      <c r="T557" s="38"/>
      <c r="U557" s="38"/>
      <c r="V557" s="38"/>
      <c r="W557" s="38"/>
      <c r="X557" s="38"/>
      <c r="Y557" s="38"/>
      <c r="Z557" s="38"/>
    </row>
    <row r="558" spans="1:26">
      <c r="A558" s="35"/>
      <c r="B558" s="38"/>
      <c r="C558" s="38"/>
      <c r="D558" s="39"/>
      <c r="E558" s="39"/>
      <c r="F558" s="38"/>
      <c r="G558" s="38"/>
      <c r="H558" s="38"/>
      <c r="I558" s="38"/>
      <c r="J558" s="38"/>
      <c r="K558" s="38"/>
      <c r="L558" s="38"/>
      <c r="M558" s="38"/>
      <c r="N558" s="38"/>
      <c r="O558" s="38"/>
      <c r="P558" s="38"/>
      <c r="Q558" s="38"/>
      <c r="R558" s="38"/>
      <c r="S558" s="38"/>
      <c r="T558" s="38"/>
      <c r="U558" s="38"/>
      <c r="V558" s="38"/>
      <c r="W558" s="38"/>
      <c r="X558" s="38"/>
      <c r="Y558" s="38"/>
      <c r="Z558" s="38"/>
    </row>
    <row r="559" spans="1:26">
      <c r="A559" s="35"/>
      <c r="B559" s="38"/>
      <c r="C559" s="38"/>
      <c r="D559" s="39"/>
      <c r="E559" s="39"/>
      <c r="F559" s="38"/>
      <c r="G559" s="38"/>
      <c r="H559" s="38"/>
      <c r="I559" s="38"/>
      <c r="J559" s="38"/>
      <c r="K559" s="38"/>
      <c r="L559" s="38"/>
      <c r="M559" s="38"/>
      <c r="N559" s="38"/>
      <c r="O559" s="38"/>
      <c r="P559" s="38"/>
      <c r="Q559" s="38"/>
      <c r="R559" s="38"/>
      <c r="S559" s="38"/>
      <c r="T559" s="38"/>
      <c r="U559" s="38"/>
      <c r="V559" s="38"/>
      <c r="W559" s="38"/>
      <c r="X559" s="38"/>
      <c r="Y559" s="38"/>
      <c r="Z559" s="38"/>
    </row>
    <row r="560" spans="1:26">
      <c r="A560" s="35"/>
      <c r="B560" s="38"/>
      <c r="C560" s="38"/>
      <c r="D560" s="39"/>
      <c r="E560" s="39"/>
      <c r="F560" s="38"/>
      <c r="G560" s="38"/>
      <c r="H560" s="38"/>
      <c r="I560" s="38"/>
      <c r="J560" s="38"/>
      <c r="K560" s="38"/>
      <c r="L560" s="38"/>
      <c r="M560" s="38"/>
      <c r="N560" s="38"/>
      <c r="O560" s="38"/>
      <c r="P560" s="38"/>
      <c r="Q560" s="38"/>
      <c r="R560" s="38"/>
      <c r="S560" s="38"/>
      <c r="T560" s="38"/>
      <c r="U560" s="38"/>
      <c r="V560" s="38"/>
      <c r="W560" s="38"/>
      <c r="X560" s="38"/>
      <c r="Y560" s="38"/>
      <c r="Z560" s="38"/>
    </row>
    <row r="561" spans="1:26">
      <c r="A561" s="35"/>
      <c r="B561" s="38"/>
      <c r="C561" s="38"/>
      <c r="D561" s="39"/>
      <c r="E561" s="39"/>
      <c r="F561" s="38"/>
      <c r="G561" s="38"/>
      <c r="H561" s="38"/>
      <c r="I561" s="38"/>
      <c r="J561" s="38"/>
      <c r="K561" s="38"/>
      <c r="L561" s="38"/>
      <c r="M561" s="38"/>
      <c r="N561" s="38"/>
      <c r="O561" s="38"/>
      <c r="P561" s="38"/>
      <c r="Q561" s="38"/>
      <c r="R561" s="38"/>
      <c r="S561" s="38"/>
      <c r="T561" s="38"/>
      <c r="U561" s="38"/>
      <c r="V561" s="38"/>
      <c r="W561" s="38"/>
      <c r="X561" s="38"/>
      <c r="Y561" s="38"/>
      <c r="Z561" s="38"/>
    </row>
    <row r="562" spans="1:26">
      <c r="A562" s="35"/>
      <c r="B562" s="38"/>
      <c r="C562" s="38"/>
      <c r="D562" s="39"/>
      <c r="E562" s="39"/>
      <c r="F562" s="38"/>
      <c r="G562" s="38"/>
      <c r="H562" s="38"/>
      <c r="I562" s="38"/>
      <c r="J562" s="38"/>
      <c r="K562" s="38"/>
      <c r="L562" s="38"/>
      <c r="M562" s="38"/>
      <c r="N562" s="38"/>
      <c r="O562" s="38"/>
      <c r="P562" s="38"/>
      <c r="Q562" s="38"/>
      <c r="R562" s="38"/>
      <c r="S562" s="38"/>
      <c r="T562" s="38"/>
      <c r="U562" s="38"/>
      <c r="V562" s="38"/>
      <c r="W562" s="38"/>
      <c r="X562" s="38"/>
      <c r="Y562" s="38"/>
      <c r="Z562" s="38"/>
    </row>
    <row r="563" spans="1:26">
      <c r="A563" s="35"/>
      <c r="B563" s="38"/>
      <c r="C563" s="38"/>
      <c r="D563" s="39"/>
      <c r="E563" s="39"/>
      <c r="F563" s="38"/>
      <c r="G563" s="38"/>
      <c r="H563" s="38"/>
      <c r="I563" s="38"/>
      <c r="J563" s="38"/>
      <c r="K563" s="38"/>
      <c r="L563" s="38"/>
      <c r="M563" s="38"/>
      <c r="N563" s="38"/>
      <c r="O563" s="38"/>
      <c r="P563" s="38"/>
      <c r="Q563" s="38"/>
      <c r="R563" s="38"/>
      <c r="S563" s="38"/>
      <c r="T563" s="38"/>
      <c r="U563" s="38"/>
      <c r="V563" s="38"/>
      <c r="W563" s="38"/>
      <c r="X563" s="38"/>
      <c r="Y563" s="38"/>
      <c r="Z563" s="38"/>
    </row>
    <row r="564" spans="1:26">
      <c r="A564" s="35"/>
      <c r="B564" s="38"/>
      <c r="C564" s="38"/>
      <c r="D564" s="39"/>
      <c r="E564" s="39"/>
      <c r="F564" s="38"/>
      <c r="G564" s="38"/>
      <c r="H564" s="38"/>
      <c r="I564" s="38"/>
      <c r="J564" s="38"/>
      <c r="K564" s="38"/>
      <c r="L564" s="38"/>
      <c r="M564" s="38"/>
      <c r="N564" s="38"/>
      <c r="O564" s="38"/>
      <c r="P564" s="38"/>
      <c r="Q564" s="38"/>
      <c r="R564" s="38"/>
      <c r="S564" s="38"/>
      <c r="T564" s="38"/>
      <c r="U564" s="38"/>
      <c r="V564" s="38"/>
      <c r="W564" s="38"/>
      <c r="X564" s="38"/>
      <c r="Y564" s="38"/>
      <c r="Z564" s="38"/>
    </row>
    <row r="565" spans="1:26">
      <c r="A565" s="35"/>
      <c r="B565" s="38"/>
      <c r="C565" s="38"/>
      <c r="D565" s="39"/>
      <c r="E565" s="39"/>
      <c r="F565" s="38"/>
      <c r="G565" s="38"/>
      <c r="H565" s="38"/>
      <c r="I565" s="38"/>
      <c r="J565" s="38"/>
      <c r="K565" s="38"/>
      <c r="L565" s="38"/>
      <c r="M565" s="38"/>
      <c r="N565" s="38"/>
      <c r="O565" s="38"/>
      <c r="P565" s="38"/>
      <c r="Q565" s="38"/>
      <c r="R565" s="38"/>
      <c r="S565" s="38"/>
      <c r="T565" s="38"/>
      <c r="U565" s="38"/>
      <c r="V565" s="38"/>
      <c r="W565" s="38"/>
      <c r="X565" s="38"/>
      <c r="Y565" s="38"/>
      <c r="Z565" s="38"/>
    </row>
    <row r="566" spans="1:26">
      <c r="A566" s="35"/>
      <c r="B566" s="38"/>
      <c r="C566" s="38"/>
      <c r="D566" s="39"/>
      <c r="E566" s="39"/>
      <c r="F566" s="38"/>
      <c r="G566" s="38"/>
      <c r="H566" s="38"/>
      <c r="I566" s="38"/>
      <c r="J566" s="38"/>
      <c r="K566" s="38"/>
      <c r="L566" s="38"/>
      <c r="M566" s="38"/>
      <c r="N566" s="38"/>
      <c r="O566" s="38"/>
      <c r="P566" s="38"/>
      <c r="Q566" s="38"/>
      <c r="R566" s="38"/>
      <c r="S566" s="38"/>
      <c r="T566" s="38"/>
      <c r="U566" s="38"/>
      <c r="V566" s="38"/>
      <c r="W566" s="38"/>
      <c r="X566" s="38"/>
      <c r="Y566" s="38"/>
      <c r="Z566" s="38"/>
    </row>
    <row r="567" spans="1:26">
      <c r="A567" s="35"/>
      <c r="B567" s="38"/>
      <c r="C567" s="38"/>
      <c r="D567" s="39"/>
      <c r="E567" s="39"/>
      <c r="F567" s="38"/>
      <c r="G567" s="38"/>
      <c r="H567" s="38"/>
      <c r="I567" s="38"/>
      <c r="J567" s="38"/>
      <c r="K567" s="38"/>
      <c r="L567" s="38"/>
      <c r="M567" s="38"/>
      <c r="N567" s="38"/>
      <c r="O567" s="38"/>
      <c r="P567" s="38"/>
      <c r="Q567" s="38"/>
      <c r="R567" s="38"/>
      <c r="S567" s="38"/>
      <c r="T567" s="38"/>
      <c r="U567" s="38"/>
      <c r="V567" s="38"/>
      <c r="W567" s="38"/>
      <c r="X567" s="38"/>
      <c r="Y567" s="38"/>
      <c r="Z567" s="38"/>
    </row>
    <row r="568" spans="1:26">
      <c r="A568" s="35"/>
      <c r="B568" s="38"/>
      <c r="C568" s="38"/>
      <c r="D568" s="39"/>
      <c r="E568" s="39"/>
      <c r="F568" s="38"/>
      <c r="G568" s="38"/>
      <c r="H568" s="38"/>
      <c r="I568" s="38"/>
      <c r="J568" s="38"/>
      <c r="K568" s="38"/>
      <c r="L568" s="38"/>
      <c r="M568" s="38"/>
      <c r="N568" s="38"/>
      <c r="O568" s="38"/>
      <c r="P568" s="38"/>
      <c r="Q568" s="38"/>
      <c r="R568" s="38"/>
      <c r="S568" s="38"/>
      <c r="T568" s="38"/>
      <c r="U568" s="38"/>
      <c r="V568" s="38"/>
      <c r="W568" s="38"/>
      <c r="X568" s="38"/>
      <c r="Y568" s="38"/>
      <c r="Z568" s="38"/>
    </row>
    <row r="569" spans="1:26">
      <c r="A569" s="35"/>
      <c r="B569" s="38"/>
      <c r="C569" s="38"/>
      <c r="D569" s="39"/>
      <c r="E569" s="39"/>
      <c r="F569" s="38"/>
      <c r="G569" s="38"/>
      <c r="H569" s="38"/>
      <c r="I569" s="38"/>
      <c r="J569" s="38"/>
      <c r="K569" s="38"/>
      <c r="L569" s="38"/>
      <c r="M569" s="38"/>
      <c r="N569" s="38"/>
      <c r="O569" s="38"/>
      <c r="P569" s="38"/>
      <c r="Q569" s="38"/>
      <c r="R569" s="38"/>
      <c r="S569" s="38"/>
      <c r="T569" s="38"/>
      <c r="U569" s="38"/>
      <c r="V569" s="38"/>
      <c r="W569" s="38"/>
      <c r="X569" s="38"/>
      <c r="Y569" s="38"/>
      <c r="Z569" s="38"/>
    </row>
    <row r="570" spans="1:26">
      <c r="A570" s="35"/>
      <c r="B570" s="38"/>
      <c r="C570" s="38"/>
      <c r="D570" s="39"/>
      <c r="E570" s="39"/>
      <c r="F570" s="38"/>
      <c r="G570" s="38"/>
      <c r="H570" s="38"/>
      <c r="I570" s="38"/>
      <c r="J570" s="38"/>
      <c r="K570" s="38"/>
      <c r="L570" s="38"/>
      <c r="M570" s="38"/>
      <c r="N570" s="38"/>
      <c r="O570" s="38"/>
      <c r="P570" s="38"/>
      <c r="Q570" s="38"/>
      <c r="R570" s="38"/>
      <c r="S570" s="38"/>
      <c r="T570" s="38"/>
      <c r="U570" s="38"/>
      <c r="V570" s="38"/>
      <c r="W570" s="38"/>
      <c r="X570" s="38"/>
      <c r="Y570" s="38"/>
      <c r="Z570" s="38"/>
    </row>
    <row r="571" spans="1:26">
      <c r="A571" s="35"/>
      <c r="B571" s="38"/>
      <c r="C571" s="38"/>
      <c r="D571" s="39"/>
      <c r="E571" s="39"/>
      <c r="F571" s="38"/>
      <c r="G571" s="38"/>
      <c r="H571" s="38"/>
      <c r="I571" s="38"/>
      <c r="J571" s="38"/>
      <c r="K571" s="38"/>
      <c r="L571" s="38"/>
      <c r="M571" s="38"/>
      <c r="N571" s="38"/>
      <c r="O571" s="38"/>
      <c r="P571" s="38"/>
      <c r="Q571" s="38"/>
      <c r="R571" s="38"/>
      <c r="S571" s="38"/>
      <c r="T571" s="38"/>
      <c r="U571" s="38"/>
      <c r="V571" s="38"/>
      <c r="W571" s="38"/>
      <c r="X571" s="38"/>
      <c r="Y571" s="38"/>
      <c r="Z571" s="38"/>
    </row>
    <row r="572" spans="1:26">
      <c r="A572" s="35"/>
      <c r="B572" s="38"/>
      <c r="C572" s="38"/>
      <c r="D572" s="39"/>
      <c r="E572" s="39"/>
      <c r="F572" s="38"/>
      <c r="G572" s="38"/>
      <c r="H572" s="38"/>
      <c r="I572" s="38"/>
      <c r="J572" s="38"/>
      <c r="K572" s="38"/>
      <c r="L572" s="38"/>
      <c r="M572" s="38"/>
      <c r="N572" s="38"/>
      <c r="O572" s="38"/>
      <c r="P572" s="38"/>
      <c r="Q572" s="38"/>
      <c r="R572" s="38"/>
      <c r="S572" s="38"/>
      <c r="T572" s="38"/>
      <c r="U572" s="38"/>
      <c r="V572" s="38"/>
      <c r="W572" s="38"/>
      <c r="X572" s="38"/>
      <c r="Y572" s="38"/>
      <c r="Z572" s="38"/>
    </row>
    <row r="573" spans="1:26">
      <c r="A573" s="35"/>
      <c r="B573" s="38"/>
      <c r="C573" s="38"/>
      <c r="D573" s="39"/>
      <c r="E573" s="39"/>
      <c r="F573" s="38"/>
      <c r="G573" s="38"/>
      <c r="H573" s="38"/>
      <c r="I573" s="38"/>
      <c r="J573" s="38"/>
      <c r="K573" s="38"/>
      <c r="L573" s="38"/>
      <c r="M573" s="38"/>
      <c r="N573" s="38"/>
      <c r="O573" s="38"/>
      <c r="P573" s="38"/>
      <c r="Q573" s="38"/>
      <c r="R573" s="38"/>
      <c r="S573" s="38"/>
      <c r="T573" s="38"/>
      <c r="U573" s="38"/>
      <c r="V573" s="38"/>
      <c r="W573" s="38"/>
      <c r="X573" s="38"/>
      <c r="Y573" s="38"/>
      <c r="Z573" s="38"/>
    </row>
    <row r="574" spans="1:26">
      <c r="A574" s="35"/>
      <c r="B574" s="38"/>
      <c r="C574" s="38"/>
      <c r="D574" s="39"/>
      <c r="E574" s="39"/>
      <c r="F574" s="38"/>
      <c r="G574" s="38"/>
      <c r="H574" s="38"/>
      <c r="I574" s="38"/>
      <c r="J574" s="38"/>
      <c r="K574" s="38"/>
      <c r="L574" s="38"/>
      <c r="M574" s="38"/>
      <c r="N574" s="38"/>
      <c r="O574" s="38"/>
      <c r="P574" s="38"/>
      <c r="Q574" s="38"/>
      <c r="R574" s="38"/>
      <c r="S574" s="38"/>
      <c r="T574" s="38"/>
      <c r="U574" s="38"/>
      <c r="V574" s="38"/>
      <c r="W574" s="38"/>
      <c r="X574" s="38"/>
      <c r="Y574" s="38"/>
      <c r="Z574" s="38"/>
    </row>
    <row r="575" spans="1:26">
      <c r="A575" s="35"/>
      <c r="B575" s="38"/>
      <c r="C575" s="38"/>
      <c r="D575" s="39"/>
      <c r="E575" s="39"/>
      <c r="F575" s="38"/>
      <c r="G575" s="38"/>
      <c r="H575" s="38"/>
      <c r="I575" s="38"/>
      <c r="J575" s="38"/>
      <c r="K575" s="38"/>
      <c r="L575" s="38"/>
      <c r="M575" s="38"/>
      <c r="N575" s="38"/>
      <c r="O575" s="38"/>
      <c r="P575" s="38"/>
      <c r="Q575" s="38"/>
      <c r="R575" s="38"/>
      <c r="S575" s="38"/>
      <c r="T575" s="38"/>
      <c r="U575" s="38"/>
      <c r="V575" s="38"/>
      <c r="W575" s="38"/>
      <c r="X575" s="38"/>
      <c r="Y575" s="38"/>
      <c r="Z575" s="38"/>
    </row>
    <row r="576" spans="1:26">
      <c r="A576" s="35"/>
      <c r="B576" s="38"/>
      <c r="C576" s="38"/>
      <c r="D576" s="39"/>
      <c r="E576" s="39"/>
      <c r="F576" s="38"/>
      <c r="G576" s="38"/>
      <c r="H576" s="38"/>
      <c r="I576" s="38"/>
      <c r="J576" s="38"/>
      <c r="K576" s="38"/>
      <c r="L576" s="38"/>
      <c r="M576" s="38"/>
      <c r="N576" s="38"/>
      <c r="O576" s="38"/>
      <c r="P576" s="38"/>
      <c r="Q576" s="38"/>
      <c r="R576" s="38"/>
      <c r="S576" s="38"/>
      <c r="T576" s="38"/>
      <c r="U576" s="38"/>
      <c r="V576" s="38"/>
      <c r="W576" s="38"/>
      <c r="X576" s="38"/>
      <c r="Y576" s="38"/>
      <c r="Z576" s="38"/>
    </row>
    <row r="577" spans="1:26">
      <c r="A577" s="35"/>
      <c r="B577" s="38"/>
      <c r="C577" s="38"/>
      <c r="D577" s="39"/>
      <c r="E577" s="39"/>
      <c r="F577" s="38"/>
      <c r="G577" s="38"/>
      <c r="H577" s="38"/>
      <c r="I577" s="38"/>
      <c r="J577" s="38"/>
      <c r="K577" s="38"/>
      <c r="L577" s="38"/>
      <c r="M577" s="38"/>
      <c r="N577" s="38"/>
      <c r="O577" s="38"/>
      <c r="P577" s="38"/>
      <c r="Q577" s="38"/>
      <c r="R577" s="38"/>
      <c r="S577" s="38"/>
      <c r="T577" s="38"/>
      <c r="U577" s="38"/>
      <c r="V577" s="38"/>
      <c r="W577" s="38"/>
      <c r="X577" s="38"/>
      <c r="Y577" s="38"/>
      <c r="Z577" s="38"/>
    </row>
    <row r="578" spans="1:26">
      <c r="A578" s="35"/>
      <c r="B578" s="38"/>
      <c r="C578" s="38"/>
      <c r="D578" s="39"/>
      <c r="E578" s="39"/>
      <c r="F578" s="38"/>
      <c r="G578" s="38"/>
      <c r="H578" s="38"/>
      <c r="I578" s="38"/>
      <c r="J578" s="38"/>
      <c r="K578" s="38"/>
      <c r="L578" s="38"/>
      <c r="M578" s="38"/>
      <c r="N578" s="38"/>
      <c r="O578" s="38"/>
      <c r="P578" s="38"/>
      <c r="Q578" s="38"/>
      <c r="R578" s="38"/>
      <c r="S578" s="38"/>
      <c r="T578" s="38"/>
      <c r="U578" s="38"/>
      <c r="V578" s="38"/>
      <c r="W578" s="38"/>
      <c r="X578" s="38"/>
      <c r="Y578" s="38"/>
      <c r="Z578" s="38"/>
    </row>
    <row r="579" spans="1:26">
      <c r="A579" s="35"/>
      <c r="B579" s="38"/>
      <c r="C579" s="38"/>
      <c r="D579" s="39"/>
      <c r="E579" s="39"/>
      <c r="F579" s="38"/>
      <c r="G579" s="38"/>
      <c r="H579" s="38"/>
      <c r="I579" s="38"/>
      <c r="J579" s="38"/>
      <c r="K579" s="38"/>
      <c r="L579" s="38"/>
      <c r="M579" s="38"/>
      <c r="N579" s="38"/>
      <c r="O579" s="38"/>
      <c r="P579" s="38"/>
      <c r="Q579" s="38"/>
      <c r="R579" s="38"/>
      <c r="S579" s="38"/>
      <c r="T579" s="38"/>
      <c r="U579" s="38"/>
      <c r="V579" s="38"/>
      <c r="W579" s="38"/>
      <c r="X579" s="38"/>
      <c r="Y579" s="38"/>
      <c r="Z579" s="38"/>
    </row>
    <row r="580" spans="1:26">
      <c r="A580" s="35"/>
      <c r="B580" s="38"/>
      <c r="C580" s="38"/>
      <c r="D580" s="39"/>
      <c r="E580" s="39"/>
      <c r="F580" s="38"/>
      <c r="G580" s="38"/>
      <c r="H580" s="38"/>
      <c r="I580" s="38"/>
      <c r="J580" s="38"/>
      <c r="K580" s="38"/>
      <c r="L580" s="38"/>
      <c r="M580" s="38"/>
      <c r="N580" s="38"/>
      <c r="O580" s="38"/>
      <c r="P580" s="38"/>
      <c r="Q580" s="38"/>
      <c r="R580" s="38"/>
      <c r="S580" s="38"/>
      <c r="T580" s="38"/>
      <c r="U580" s="38"/>
      <c r="V580" s="38"/>
      <c r="W580" s="38"/>
      <c r="X580" s="38"/>
      <c r="Y580" s="38"/>
      <c r="Z580" s="38"/>
    </row>
    <row r="581" spans="1:26">
      <c r="A581" s="35"/>
      <c r="B581" s="38"/>
      <c r="C581" s="38"/>
      <c r="D581" s="39"/>
      <c r="E581" s="39"/>
      <c r="F581" s="38"/>
      <c r="G581" s="38"/>
      <c r="H581" s="38"/>
      <c r="I581" s="38"/>
      <c r="J581" s="38"/>
      <c r="K581" s="38"/>
      <c r="L581" s="38"/>
      <c r="M581" s="38"/>
      <c r="N581" s="38"/>
      <c r="O581" s="38"/>
      <c r="P581" s="38"/>
      <c r="Q581" s="38"/>
      <c r="R581" s="38"/>
      <c r="S581" s="38"/>
      <c r="T581" s="38"/>
      <c r="U581" s="38"/>
      <c r="V581" s="38"/>
      <c r="W581" s="38"/>
      <c r="X581" s="38"/>
      <c r="Y581" s="38"/>
      <c r="Z581" s="38"/>
    </row>
    <row r="582" spans="1:26">
      <c r="A582" s="35"/>
      <c r="B582" s="38"/>
      <c r="C582" s="38"/>
      <c r="D582" s="39"/>
      <c r="E582" s="39"/>
      <c r="F582" s="38"/>
      <c r="G582" s="38"/>
      <c r="H582" s="38"/>
      <c r="I582" s="38"/>
      <c r="J582" s="38"/>
      <c r="K582" s="38"/>
      <c r="L582" s="38"/>
      <c r="M582" s="38"/>
      <c r="N582" s="38"/>
      <c r="O582" s="38"/>
      <c r="P582" s="38"/>
      <c r="Q582" s="38"/>
      <c r="R582" s="38"/>
      <c r="S582" s="38"/>
      <c r="T582" s="38"/>
      <c r="U582" s="38"/>
      <c r="V582" s="38"/>
      <c r="W582" s="38"/>
      <c r="X582" s="38"/>
      <c r="Y582" s="38"/>
      <c r="Z582" s="38"/>
    </row>
    <row r="583" spans="1:26">
      <c r="A583" s="35"/>
      <c r="B583" s="38"/>
      <c r="C583" s="38"/>
      <c r="D583" s="39"/>
      <c r="E583" s="39"/>
      <c r="F583" s="38"/>
      <c r="G583" s="38"/>
      <c r="H583" s="38"/>
      <c r="I583" s="38"/>
      <c r="J583" s="38"/>
      <c r="K583" s="38"/>
      <c r="L583" s="38"/>
      <c r="M583" s="38"/>
      <c r="N583" s="38"/>
      <c r="O583" s="38"/>
      <c r="P583" s="38"/>
      <c r="Q583" s="38"/>
      <c r="R583" s="38"/>
      <c r="S583" s="38"/>
      <c r="T583" s="38"/>
      <c r="U583" s="38"/>
      <c r="V583" s="38"/>
      <c r="W583" s="38"/>
      <c r="X583" s="38"/>
      <c r="Y583" s="38"/>
      <c r="Z583" s="38"/>
    </row>
    <row r="584" spans="1:26">
      <c r="A584" s="35"/>
      <c r="B584" s="38"/>
      <c r="C584" s="38"/>
      <c r="D584" s="39"/>
      <c r="E584" s="39"/>
      <c r="F584" s="38"/>
      <c r="G584" s="38"/>
      <c r="H584" s="38"/>
      <c r="I584" s="38"/>
      <c r="J584" s="38"/>
      <c r="K584" s="38"/>
      <c r="L584" s="38"/>
      <c r="M584" s="38"/>
      <c r="N584" s="38"/>
      <c r="O584" s="38"/>
      <c r="P584" s="38"/>
      <c r="Q584" s="38"/>
      <c r="R584" s="38"/>
      <c r="S584" s="38"/>
      <c r="T584" s="38"/>
      <c r="U584" s="38"/>
      <c r="V584" s="38"/>
      <c r="W584" s="38"/>
      <c r="X584" s="38"/>
      <c r="Y584" s="38"/>
      <c r="Z584" s="38"/>
    </row>
    <row r="585" spans="1:26">
      <c r="A585" s="35"/>
      <c r="B585" s="38"/>
      <c r="C585" s="38"/>
      <c r="D585" s="39"/>
      <c r="E585" s="39"/>
      <c r="F585" s="38"/>
      <c r="G585" s="38"/>
      <c r="H585" s="38"/>
      <c r="I585" s="38"/>
      <c r="J585" s="38"/>
      <c r="K585" s="38"/>
      <c r="L585" s="38"/>
      <c r="M585" s="38"/>
      <c r="N585" s="38"/>
      <c r="O585" s="38"/>
      <c r="P585" s="38"/>
      <c r="Q585" s="38"/>
      <c r="R585" s="38"/>
      <c r="S585" s="38"/>
      <c r="T585" s="38"/>
      <c r="U585" s="38"/>
      <c r="V585" s="38"/>
      <c r="W585" s="38"/>
      <c r="X585" s="38"/>
      <c r="Y585" s="38"/>
      <c r="Z585" s="38"/>
    </row>
    <row r="586" spans="1:26">
      <c r="A586" s="35"/>
      <c r="B586" s="38"/>
      <c r="C586" s="38"/>
      <c r="D586" s="39"/>
      <c r="E586" s="39"/>
      <c r="F586" s="38"/>
      <c r="G586" s="38"/>
      <c r="H586" s="38"/>
      <c r="I586" s="38"/>
      <c r="J586" s="38"/>
      <c r="K586" s="38"/>
      <c r="L586" s="38"/>
      <c r="M586" s="38"/>
      <c r="N586" s="38"/>
      <c r="O586" s="38"/>
      <c r="P586" s="38"/>
      <c r="Q586" s="38"/>
      <c r="R586" s="38"/>
      <c r="S586" s="38"/>
      <c r="T586" s="38"/>
      <c r="U586" s="38"/>
      <c r="V586" s="38"/>
      <c r="W586" s="38"/>
      <c r="X586" s="38"/>
      <c r="Y586" s="38"/>
      <c r="Z586" s="38"/>
    </row>
    <row r="587" spans="1:26">
      <c r="A587" s="35"/>
      <c r="B587" s="38"/>
      <c r="C587" s="38"/>
      <c r="D587" s="39"/>
      <c r="E587" s="39"/>
      <c r="F587" s="38"/>
      <c r="G587" s="38"/>
      <c r="H587" s="38"/>
      <c r="I587" s="38"/>
      <c r="J587" s="38"/>
      <c r="K587" s="38"/>
      <c r="L587" s="38"/>
      <c r="M587" s="38"/>
      <c r="N587" s="38"/>
      <c r="O587" s="38"/>
      <c r="P587" s="38"/>
      <c r="Q587" s="38"/>
      <c r="R587" s="38"/>
      <c r="S587" s="38"/>
      <c r="T587" s="38"/>
      <c r="U587" s="38"/>
      <c r="V587" s="38"/>
      <c r="W587" s="38"/>
      <c r="X587" s="38"/>
      <c r="Y587" s="38"/>
      <c r="Z587" s="38"/>
    </row>
    <row r="588" spans="1:26">
      <c r="A588" s="35"/>
      <c r="B588" s="38"/>
      <c r="C588" s="38"/>
      <c r="D588" s="39"/>
      <c r="E588" s="39"/>
      <c r="F588" s="38"/>
      <c r="G588" s="38"/>
      <c r="H588" s="38"/>
      <c r="I588" s="38"/>
      <c r="J588" s="38"/>
      <c r="K588" s="38"/>
      <c r="L588" s="38"/>
      <c r="M588" s="38"/>
      <c r="N588" s="38"/>
      <c r="O588" s="38"/>
      <c r="P588" s="38"/>
      <c r="Q588" s="38"/>
      <c r="R588" s="38"/>
      <c r="S588" s="38"/>
      <c r="T588" s="38"/>
      <c r="U588" s="38"/>
      <c r="V588" s="38"/>
      <c r="W588" s="38"/>
      <c r="X588" s="38"/>
      <c r="Y588" s="38"/>
      <c r="Z588" s="38"/>
    </row>
    <row r="589" spans="1:26">
      <c r="A589" s="35"/>
      <c r="B589" s="38"/>
      <c r="C589" s="38"/>
      <c r="D589" s="39"/>
      <c r="E589" s="39"/>
      <c r="F589" s="38"/>
      <c r="G589" s="38"/>
      <c r="H589" s="38"/>
      <c r="I589" s="38"/>
      <c r="J589" s="38"/>
      <c r="K589" s="38"/>
      <c r="L589" s="38"/>
      <c r="M589" s="38"/>
      <c r="N589" s="38"/>
      <c r="O589" s="38"/>
      <c r="P589" s="38"/>
      <c r="Q589" s="38"/>
      <c r="R589" s="38"/>
      <c r="S589" s="38"/>
      <c r="T589" s="38"/>
      <c r="U589" s="38"/>
      <c r="V589" s="38"/>
      <c r="W589" s="38"/>
      <c r="X589" s="38"/>
      <c r="Y589" s="38"/>
      <c r="Z589" s="38"/>
    </row>
    <row r="590" spans="1:26">
      <c r="A590" s="35"/>
      <c r="B590" s="38"/>
      <c r="C590" s="38"/>
      <c r="D590" s="39"/>
      <c r="E590" s="39"/>
      <c r="F590" s="38"/>
      <c r="G590" s="38"/>
      <c r="H590" s="38"/>
      <c r="I590" s="38"/>
      <c r="J590" s="38"/>
      <c r="K590" s="38"/>
      <c r="L590" s="38"/>
      <c r="M590" s="38"/>
      <c r="N590" s="38"/>
      <c r="O590" s="38"/>
      <c r="P590" s="38"/>
      <c r="Q590" s="38"/>
      <c r="R590" s="38"/>
      <c r="S590" s="38"/>
      <c r="T590" s="38"/>
      <c r="U590" s="38"/>
      <c r="V590" s="38"/>
      <c r="W590" s="38"/>
      <c r="X590" s="38"/>
      <c r="Y590" s="38"/>
      <c r="Z590" s="38"/>
    </row>
    <row r="591" spans="1:26">
      <c r="A591" s="35"/>
      <c r="B591" s="38"/>
      <c r="C591" s="38"/>
      <c r="D591" s="39"/>
      <c r="E591" s="39"/>
      <c r="F591" s="38"/>
      <c r="G591" s="38"/>
      <c r="H591" s="38"/>
      <c r="I591" s="38"/>
      <c r="J591" s="38"/>
      <c r="K591" s="38"/>
      <c r="L591" s="38"/>
      <c r="M591" s="38"/>
      <c r="N591" s="38"/>
      <c r="O591" s="38"/>
      <c r="P591" s="38"/>
      <c r="Q591" s="38"/>
      <c r="R591" s="38"/>
      <c r="S591" s="38"/>
      <c r="T591" s="38"/>
      <c r="U591" s="38"/>
      <c r="V591" s="38"/>
      <c r="W591" s="38"/>
      <c r="X591" s="38"/>
      <c r="Y591" s="38"/>
      <c r="Z591" s="38"/>
    </row>
    <row r="592" spans="1:26">
      <c r="A592" s="35"/>
      <c r="B592" s="38"/>
      <c r="C592" s="38"/>
      <c r="D592" s="39"/>
      <c r="E592" s="39"/>
      <c r="F592" s="38"/>
      <c r="G592" s="38"/>
      <c r="H592" s="38"/>
      <c r="I592" s="38"/>
      <c r="J592" s="38"/>
      <c r="K592" s="38"/>
      <c r="L592" s="38"/>
      <c r="M592" s="38"/>
      <c r="N592" s="38"/>
      <c r="O592" s="38"/>
      <c r="P592" s="38"/>
      <c r="Q592" s="38"/>
      <c r="R592" s="38"/>
      <c r="S592" s="38"/>
      <c r="T592" s="38"/>
      <c r="U592" s="38"/>
      <c r="V592" s="38"/>
      <c r="W592" s="38"/>
      <c r="X592" s="38"/>
      <c r="Y592" s="38"/>
      <c r="Z592" s="38"/>
    </row>
    <row r="593" spans="1:26">
      <c r="A593" s="35"/>
      <c r="B593" s="38"/>
      <c r="C593" s="38"/>
      <c r="D593" s="39"/>
      <c r="E593" s="39"/>
      <c r="F593" s="38"/>
      <c r="G593" s="38"/>
      <c r="H593" s="38"/>
      <c r="I593" s="38"/>
      <c r="J593" s="38"/>
      <c r="K593" s="38"/>
      <c r="L593" s="38"/>
      <c r="M593" s="38"/>
      <c r="N593" s="38"/>
      <c r="O593" s="38"/>
      <c r="P593" s="38"/>
      <c r="Q593" s="38"/>
      <c r="R593" s="38"/>
      <c r="S593" s="38"/>
      <c r="T593" s="38"/>
      <c r="U593" s="38"/>
      <c r="V593" s="38"/>
      <c r="W593" s="38"/>
      <c r="X593" s="38"/>
      <c r="Y593" s="38"/>
      <c r="Z593" s="38"/>
    </row>
    <row r="594" spans="1:26">
      <c r="A594" s="35"/>
      <c r="B594" s="38"/>
      <c r="C594" s="38"/>
      <c r="D594" s="39"/>
      <c r="E594" s="39"/>
      <c r="F594" s="38"/>
      <c r="G594" s="38"/>
      <c r="H594" s="38"/>
      <c r="I594" s="38"/>
      <c r="J594" s="38"/>
      <c r="K594" s="38"/>
      <c r="L594" s="38"/>
      <c r="M594" s="38"/>
      <c r="N594" s="38"/>
      <c r="O594" s="38"/>
      <c r="P594" s="38"/>
      <c r="Q594" s="38"/>
      <c r="R594" s="38"/>
      <c r="S594" s="38"/>
      <c r="T594" s="38"/>
      <c r="U594" s="38"/>
      <c r="V594" s="38"/>
      <c r="W594" s="38"/>
      <c r="X594" s="38"/>
      <c r="Y594" s="38"/>
      <c r="Z594" s="38"/>
    </row>
    <row r="595" spans="1:26">
      <c r="A595" s="35"/>
      <c r="B595" s="38"/>
      <c r="C595" s="38"/>
      <c r="D595" s="39"/>
      <c r="E595" s="39"/>
      <c r="F595" s="38"/>
      <c r="G595" s="38"/>
      <c r="H595" s="38"/>
      <c r="I595" s="38"/>
      <c r="J595" s="38"/>
      <c r="K595" s="38"/>
      <c r="L595" s="38"/>
      <c r="M595" s="38"/>
      <c r="N595" s="38"/>
      <c r="O595" s="38"/>
      <c r="P595" s="38"/>
      <c r="Q595" s="38"/>
      <c r="R595" s="38"/>
      <c r="S595" s="38"/>
      <c r="T595" s="38"/>
      <c r="U595" s="38"/>
      <c r="V595" s="38"/>
      <c r="W595" s="38"/>
      <c r="X595" s="38"/>
      <c r="Y595" s="38"/>
      <c r="Z595" s="38"/>
    </row>
    <row r="596" spans="1:26">
      <c r="A596" s="35"/>
      <c r="B596" s="38"/>
      <c r="C596" s="38"/>
      <c r="D596" s="39"/>
      <c r="E596" s="39"/>
      <c r="F596" s="38"/>
      <c r="G596" s="38"/>
      <c r="H596" s="38"/>
      <c r="I596" s="38"/>
      <c r="J596" s="38"/>
      <c r="K596" s="38"/>
      <c r="L596" s="38"/>
      <c r="M596" s="38"/>
      <c r="N596" s="38"/>
      <c r="O596" s="38"/>
      <c r="P596" s="38"/>
      <c r="Q596" s="38"/>
      <c r="R596" s="38"/>
      <c r="S596" s="38"/>
      <c r="T596" s="38"/>
      <c r="U596" s="38"/>
      <c r="V596" s="38"/>
      <c r="W596" s="38"/>
      <c r="X596" s="38"/>
      <c r="Y596" s="38"/>
      <c r="Z596" s="38"/>
    </row>
    <row r="597" spans="1:26">
      <c r="A597" s="35"/>
      <c r="B597" s="38"/>
      <c r="C597" s="38"/>
      <c r="D597" s="39"/>
      <c r="E597" s="39"/>
      <c r="F597" s="38"/>
      <c r="G597" s="38"/>
      <c r="H597" s="38"/>
      <c r="I597" s="38"/>
      <c r="J597" s="38"/>
      <c r="K597" s="38"/>
      <c r="L597" s="38"/>
      <c r="M597" s="38"/>
      <c r="N597" s="38"/>
      <c r="O597" s="38"/>
      <c r="P597" s="38"/>
      <c r="Q597" s="38"/>
      <c r="R597" s="38"/>
      <c r="S597" s="38"/>
      <c r="T597" s="38"/>
      <c r="U597" s="38"/>
      <c r="V597" s="38"/>
      <c r="W597" s="38"/>
      <c r="X597" s="38"/>
      <c r="Y597" s="38"/>
      <c r="Z597" s="38"/>
    </row>
    <row r="598" spans="1:26">
      <c r="A598" s="35"/>
      <c r="B598" s="38"/>
      <c r="C598" s="38"/>
      <c r="D598" s="39"/>
      <c r="E598" s="39"/>
      <c r="F598" s="38"/>
      <c r="G598" s="38"/>
      <c r="H598" s="38"/>
      <c r="I598" s="38"/>
      <c r="J598" s="38"/>
      <c r="K598" s="38"/>
      <c r="L598" s="38"/>
      <c r="M598" s="38"/>
      <c r="N598" s="38"/>
      <c r="O598" s="38"/>
      <c r="P598" s="38"/>
      <c r="Q598" s="38"/>
      <c r="R598" s="38"/>
      <c r="S598" s="38"/>
      <c r="T598" s="38"/>
      <c r="U598" s="38"/>
      <c r="V598" s="38"/>
      <c r="W598" s="38"/>
      <c r="X598" s="38"/>
      <c r="Y598" s="38"/>
      <c r="Z598" s="38"/>
    </row>
    <row r="599" spans="1:26">
      <c r="A599" s="35"/>
      <c r="B599" s="38"/>
      <c r="C599" s="38"/>
      <c r="D599" s="39"/>
      <c r="E599" s="39"/>
      <c r="F599" s="38"/>
      <c r="G599" s="38"/>
      <c r="H599" s="38"/>
      <c r="I599" s="38"/>
      <c r="J599" s="38"/>
      <c r="K599" s="38"/>
      <c r="L599" s="38"/>
      <c r="M599" s="38"/>
      <c r="N599" s="38"/>
      <c r="O599" s="38"/>
      <c r="P599" s="38"/>
      <c r="Q599" s="38"/>
      <c r="R599" s="38"/>
      <c r="S599" s="38"/>
      <c r="T599" s="38"/>
      <c r="U599" s="38"/>
      <c r="V599" s="38"/>
      <c r="W599" s="38"/>
      <c r="X599" s="38"/>
      <c r="Y599" s="38"/>
      <c r="Z599" s="38"/>
    </row>
    <row r="600" spans="1:26">
      <c r="A600" s="35"/>
      <c r="B600" s="38"/>
      <c r="C600" s="38"/>
      <c r="D600" s="39"/>
      <c r="E600" s="39"/>
      <c r="F600" s="38"/>
      <c r="G600" s="38"/>
      <c r="H600" s="38"/>
      <c r="I600" s="38"/>
      <c r="J600" s="38"/>
      <c r="K600" s="38"/>
      <c r="L600" s="38"/>
      <c r="M600" s="38"/>
      <c r="N600" s="38"/>
      <c r="O600" s="38"/>
      <c r="P600" s="38"/>
      <c r="Q600" s="38"/>
      <c r="R600" s="38"/>
      <c r="S600" s="38"/>
      <c r="T600" s="38"/>
      <c r="U600" s="38"/>
      <c r="V600" s="38"/>
      <c r="W600" s="38"/>
      <c r="X600" s="38"/>
      <c r="Y600" s="38"/>
      <c r="Z600" s="38"/>
    </row>
    <row r="601" spans="1:26">
      <c r="A601" s="35"/>
      <c r="B601" s="38"/>
      <c r="C601" s="38"/>
      <c r="D601" s="39"/>
      <c r="E601" s="39"/>
      <c r="F601" s="38"/>
      <c r="G601" s="38"/>
      <c r="H601" s="38"/>
      <c r="I601" s="38"/>
      <c r="J601" s="38"/>
      <c r="K601" s="38"/>
      <c r="L601" s="38"/>
      <c r="M601" s="38"/>
      <c r="N601" s="38"/>
      <c r="O601" s="38"/>
      <c r="P601" s="38"/>
      <c r="Q601" s="38"/>
      <c r="R601" s="38"/>
      <c r="S601" s="38"/>
      <c r="T601" s="38"/>
      <c r="U601" s="38"/>
      <c r="V601" s="38"/>
      <c r="W601" s="38"/>
      <c r="X601" s="38"/>
      <c r="Y601" s="38"/>
      <c r="Z601" s="38"/>
    </row>
    <row r="602" spans="1:26">
      <c r="A602" s="35"/>
      <c r="B602" s="38"/>
      <c r="C602" s="38"/>
      <c r="D602" s="39"/>
      <c r="E602" s="39"/>
      <c r="F602" s="38"/>
      <c r="G602" s="38"/>
      <c r="H602" s="38"/>
      <c r="I602" s="38"/>
      <c r="J602" s="38"/>
      <c r="K602" s="38"/>
      <c r="L602" s="38"/>
      <c r="M602" s="38"/>
      <c r="N602" s="38"/>
      <c r="O602" s="38"/>
      <c r="P602" s="38"/>
      <c r="Q602" s="38"/>
      <c r="R602" s="38"/>
      <c r="S602" s="38"/>
      <c r="T602" s="38"/>
      <c r="U602" s="38"/>
      <c r="V602" s="38"/>
      <c r="W602" s="38"/>
      <c r="X602" s="38"/>
      <c r="Y602" s="38"/>
      <c r="Z602" s="38"/>
    </row>
    <row r="603" spans="1:26">
      <c r="A603" s="35"/>
      <c r="B603" s="38"/>
      <c r="C603" s="38"/>
      <c r="D603" s="39"/>
      <c r="E603" s="39"/>
      <c r="F603" s="38"/>
      <c r="G603" s="38"/>
      <c r="H603" s="38"/>
      <c r="I603" s="38"/>
      <c r="J603" s="38"/>
      <c r="K603" s="38"/>
      <c r="L603" s="38"/>
      <c r="M603" s="38"/>
      <c r="N603" s="38"/>
      <c r="O603" s="38"/>
      <c r="P603" s="38"/>
      <c r="Q603" s="38"/>
      <c r="R603" s="38"/>
      <c r="S603" s="38"/>
      <c r="T603" s="38"/>
      <c r="U603" s="38"/>
      <c r="V603" s="38"/>
      <c r="W603" s="38"/>
      <c r="X603" s="38"/>
      <c r="Y603" s="38"/>
      <c r="Z603" s="38"/>
    </row>
    <row r="604" spans="1:26">
      <c r="A604" s="35"/>
      <c r="B604" s="38"/>
      <c r="C604" s="38"/>
      <c r="D604" s="39"/>
      <c r="E604" s="39"/>
      <c r="F604" s="38"/>
      <c r="G604" s="38"/>
      <c r="H604" s="38"/>
      <c r="I604" s="38"/>
      <c r="J604" s="38"/>
      <c r="K604" s="38"/>
      <c r="L604" s="38"/>
      <c r="M604" s="38"/>
      <c r="N604" s="38"/>
      <c r="O604" s="38"/>
      <c r="P604" s="38"/>
      <c r="Q604" s="38"/>
      <c r="R604" s="38"/>
      <c r="S604" s="38"/>
      <c r="T604" s="38"/>
      <c r="U604" s="38"/>
      <c r="V604" s="38"/>
      <c r="W604" s="38"/>
      <c r="X604" s="38"/>
      <c r="Y604" s="38"/>
      <c r="Z604" s="38"/>
    </row>
    <row r="605" spans="1:26">
      <c r="A605" s="35"/>
      <c r="B605" s="38"/>
      <c r="C605" s="38"/>
      <c r="D605" s="39"/>
      <c r="E605" s="39"/>
      <c r="F605" s="38"/>
      <c r="G605" s="38"/>
      <c r="H605" s="38"/>
      <c r="I605" s="38"/>
      <c r="J605" s="38"/>
      <c r="K605" s="38"/>
      <c r="L605" s="38"/>
      <c r="M605" s="38"/>
      <c r="N605" s="38"/>
      <c r="O605" s="38"/>
      <c r="P605" s="38"/>
      <c r="Q605" s="38"/>
      <c r="R605" s="38"/>
      <c r="S605" s="38"/>
      <c r="T605" s="38"/>
      <c r="U605" s="38"/>
      <c r="V605" s="38"/>
      <c r="W605" s="38"/>
      <c r="X605" s="38"/>
      <c r="Y605" s="38"/>
      <c r="Z605" s="38"/>
    </row>
    <row r="606" spans="1:26">
      <c r="A606" s="35"/>
      <c r="B606" s="38"/>
      <c r="C606" s="38"/>
      <c r="D606" s="39"/>
      <c r="E606" s="39"/>
      <c r="F606" s="38"/>
      <c r="G606" s="38"/>
      <c r="H606" s="38"/>
      <c r="I606" s="38"/>
      <c r="J606" s="38"/>
      <c r="K606" s="38"/>
      <c r="L606" s="38"/>
      <c r="M606" s="38"/>
      <c r="N606" s="38"/>
      <c r="O606" s="38"/>
      <c r="P606" s="38"/>
      <c r="Q606" s="38"/>
      <c r="R606" s="38"/>
      <c r="S606" s="38"/>
      <c r="T606" s="38"/>
      <c r="U606" s="38"/>
      <c r="V606" s="38"/>
      <c r="W606" s="38"/>
      <c r="X606" s="38"/>
      <c r="Y606" s="38"/>
      <c r="Z606" s="38"/>
    </row>
    <row r="607" spans="1:26">
      <c r="A607" s="35"/>
      <c r="B607" s="38"/>
      <c r="C607" s="38"/>
      <c r="D607" s="39"/>
      <c r="E607" s="39"/>
      <c r="F607" s="38"/>
      <c r="G607" s="38"/>
      <c r="H607" s="38"/>
      <c r="I607" s="38"/>
      <c r="J607" s="38"/>
      <c r="K607" s="38"/>
      <c r="L607" s="38"/>
      <c r="M607" s="38"/>
      <c r="N607" s="38"/>
      <c r="O607" s="38"/>
      <c r="P607" s="38"/>
      <c r="Q607" s="38"/>
      <c r="R607" s="38"/>
      <c r="S607" s="38"/>
      <c r="T607" s="38"/>
      <c r="U607" s="38"/>
      <c r="V607" s="38"/>
      <c r="W607" s="38"/>
      <c r="X607" s="38"/>
      <c r="Y607" s="38"/>
      <c r="Z607" s="38"/>
    </row>
    <row r="608" spans="1:26">
      <c r="A608" s="35"/>
      <c r="B608" s="38"/>
      <c r="C608" s="38"/>
      <c r="D608" s="39"/>
      <c r="E608" s="39"/>
      <c r="F608" s="38"/>
      <c r="G608" s="38"/>
      <c r="H608" s="38"/>
      <c r="I608" s="38"/>
      <c r="J608" s="38"/>
      <c r="K608" s="38"/>
      <c r="L608" s="38"/>
      <c r="M608" s="38"/>
      <c r="N608" s="38"/>
      <c r="O608" s="38"/>
      <c r="P608" s="38"/>
      <c r="Q608" s="38"/>
      <c r="R608" s="38"/>
      <c r="S608" s="38"/>
      <c r="T608" s="38"/>
      <c r="U608" s="38"/>
      <c r="V608" s="38"/>
      <c r="W608" s="38"/>
      <c r="X608" s="38"/>
      <c r="Y608" s="38"/>
      <c r="Z608" s="38"/>
    </row>
    <row r="609" spans="1:26">
      <c r="A609" s="35"/>
      <c r="B609" s="38"/>
      <c r="C609" s="38"/>
      <c r="D609" s="39"/>
      <c r="E609" s="39"/>
      <c r="F609" s="38"/>
      <c r="G609" s="38"/>
      <c r="H609" s="38"/>
      <c r="I609" s="38"/>
      <c r="J609" s="38"/>
      <c r="K609" s="38"/>
      <c r="L609" s="38"/>
      <c r="M609" s="38"/>
      <c r="N609" s="38"/>
      <c r="O609" s="38"/>
      <c r="P609" s="38"/>
      <c r="Q609" s="38"/>
      <c r="R609" s="38"/>
      <c r="S609" s="38"/>
      <c r="T609" s="38"/>
      <c r="U609" s="38"/>
      <c r="V609" s="38"/>
      <c r="W609" s="38"/>
      <c r="X609" s="38"/>
      <c r="Y609" s="38"/>
      <c r="Z609" s="38"/>
    </row>
    <row r="610" spans="1:26">
      <c r="A610" s="35"/>
      <c r="B610" s="38"/>
      <c r="C610" s="38"/>
      <c r="D610" s="39"/>
      <c r="E610" s="39"/>
      <c r="F610" s="38"/>
      <c r="G610" s="38"/>
      <c r="H610" s="38"/>
      <c r="I610" s="38"/>
      <c r="J610" s="38"/>
      <c r="K610" s="38"/>
      <c r="L610" s="38"/>
      <c r="M610" s="38"/>
      <c r="N610" s="38"/>
      <c r="O610" s="38"/>
      <c r="P610" s="38"/>
      <c r="Q610" s="38"/>
      <c r="R610" s="38"/>
      <c r="S610" s="38"/>
      <c r="T610" s="38"/>
      <c r="U610" s="38"/>
      <c r="V610" s="38"/>
      <c r="W610" s="38"/>
      <c r="X610" s="38"/>
      <c r="Y610" s="38"/>
      <c r="Z610" s="38"/>
    </row>
    <row r="611" spans="1:26">
      <c r="A611" s="35"/>
      <c r="B611" s="38"/>
      <c r="C611" s="38"/>
      <c r="D611" s="39"/>
      <c r="E611" s="39"/>
      <c r="F611" s="38"/>
      <c r="G611" s="38"/>
      <c r="H611" s="38"/>
      <c r="I611" s="38"/>
      <c r="J611" s="38"/>
      <c r="K611" s="38"/>
      <c r="L611" s="38"/>
      <c r="M611" s="38"/>
      <c r="N611" s="38"/>
      <c r="O611" s="38"/>
      <c r="P611" s="38"/>
      <c r="Q611" s="38"/>
      <c r="R611" s="38"/>
      <c r="S611" s="38"/>
      <c r="T611" s="38"/>
      <c r="U611" s="38"/>
      <c r="V611" s="38"/>
      <c r="W611" s="38"/>
      <c r="X611" s="38"/>
      <c r="Y611" s="38"/>
      <c r="Z611" s="38"/>
    </row>
    <row r="612" spans="1:26">
      <c r="A612" s="35"/>
      <c r="B612" s="38"/>
      <c r="C612" s="38"/>
      <c r="D612" s="39"/>
      <c r="E612" s="39"/>
      <c r="F612" s="38"/>
      <c r="G612" s="38"/>
      <c r="H612" s="38"/>
      <c r="I612" s="38"/>
      <c r="J612" s="38"/>
      <c r="K612" s="38"/>
      <c r="L612" s="38"/>
      <c r="M612" s="38"/>
      <c r="N612" s="38"/>
      <c r="O612" s="38"/>
      <c r="P612" s="38"/>
      <c r="Q612" s="38"/>
      <c r="R612" s="38"/>
      <c r="S612" s="38"/>
      <c r="T612" s="38"/>
      <c r="U612" s="38"/>
      <c r="V612" s="38"/>
      <c r="W612" s="38"/>
      <c r="X612" s="38"/>
      <c r="Y612" s="38"/>
      <c r="Z612" s="38"/>
    </row>
    <row r="613" spans="1:26">
      <c r="A613" s="35"/>
      <c r="B613" s="38"/>
      <c r="C613" s="38"/>
      <c r="D613" s="39"/>
      <c r="E613" s="39"/>
      <c r="F613" s="38"/>
      <c r="G613" s="38"/>
      <c r="H613" s="38"/>
      <c r="I613" s="38"/>
      <c r="J613" s="38"/>
      <c r="K613" s="38"/>
      <c r="L613" s="38"/>
      <c r="M613" s="38"/>
      <c r="N613" s="38"/>
      <c r="O613" s="38"/>
      <c r="P613" s="38"/>
      <c r="Q613" s="38"/>
      <c r="R613" s="38"/>
      <c r="S613" s="38"/>
      <c r="T613" s="38"/>
      <c r="U613" s="38"/>
      <c r="V613" s="38"/>
      <c r="W613" s="38"/>
      <c r="X613" s="38"/>
      <c r="Y613" s="38"/>
      <c r="Z613" s="38"/>
    </row>
    <row r="614" spans="1:26">
      <c r="A614" s="35"/>
      <c r="B614" s="38"/>
      <c r="C614" s="38"/>
      <c r="D614" s="39"/>
      <c r="E614" s="39"/>
      <c r="F614" s="38"/>
      <c r="G614" s="38"/>
      <c r="H614" s="38"/>
      <c r="I614" s="38"/>
      <c r="J614" s="38"/>
      <c r="K614" s="38"/>
      <c r="L614" s="38"/>
      <c r="M614" s="38"/>
      <c r="N614" s="38"/>
      <c r="O614" s="38"/>
      <c r="P614" s="38"/>
      <c r="Q614" s="38"/>
      <c r="R614" s="38"/>
      <c r="S614" s="38"/>
      <c r="T614" s="38"/>
      <c r="U614" s="38"/>
      <c r="V614" s="38"/>
      <c r="W614" s="38"/>
      <c r="X614" s="38"/>
      <c r="Y614" s="38"/>
      <c r="Z614" s="38"/>
    </row>
    <row r="615" spans="1:26">
      <c r="A615" s="35"/>
      <c r="B615" s="38"/>
      <c r="C615" s="38"/>
      <c r="D615" s="39"/>
      <c r="E615" s="39"/>
      <c r="F615" s="38"/>
      <c r="G615" s="38"/>
      <c r="H615" s="38"/>
      <c r="I615" s="38"/>
      <c r="J615" s="38"/>
      <c r="K615" s="38"/>
      <c r="L615" s="38"/>
      <c r="M615" s="38"/>
      <c r="N615" s="38"/>
      <c r="O615" s="38"/>
      <c r="P615" s="38"/>
      <c r="Q615" s="38"/>
      <c r="R615" s="38"/>
      <c r="S615" s="38"/>
      <c r="T615" s="38"/>
      <c r="U615" s="38"/>
      <c r="V615" s="38"/>
      <c r="W615" s="38"/>
      <c r="X615" s="38"/>
      <c r="Y615" s="38"/>
      <c r="Z615" s="38"/>
    </row>
    <row r="616" spans="1:26">
      <c r="A616" s="35"/>
      <c r="B616" s="38"/>
      <c r="C616" s="38"/>
      <c r="D616" s="39"/>
      <c r="E616" s="39"/>
      <c r="F616" s="38"/>
      <c r="G616" s="38"/>
      <c r="H616" s="38"/>
      <c r="I616" s="38"/>
      <c r="J616" s="38"/>
      <c r="K616" s="38"/>
      <c r="L616" s="38"/>
      <c r="M616" s="38"/>
      <c r="N616" s="38"/>
      <c r="O616" s="38"/>
      <c r="P616" s="38"/>
      <c r="Q616" s="38"/>
      <c r="R616" s="38"/>
      <c r="S616" s="38"/>
      <c r="T616" s="38"/>
      <c r="U616" s="38"/>
      <c r="V616" s="38"/>
      <c r="W616" s="38"/>
      <c r="X616" s="38"/>
      <c r="Y616" s="38"/>
      <c r="Z616" s="38"/>
    </row>
    <row r="617" spans="1:26">
      <c r="A617" s="35"/>
      <c r="B617" s="38"/>
      <c r="C617" s="38"/>
      <c r="D617" s="39"/>
      <c r="E617" s="39"/>
      <c r="F617" s="38"/>
      <c r="G617" s="38"/>
      <c r="H617" s="38"/>
      <c r="I617" s="38"/>
      <c r="J617" s="38"/>
      <c r="K617" s="38"/>
      <c r="L617" s="38"/>
      <c r="M617" s="38"/>
      <c r="N617" s="38"/>
      <c r="O617" s="38"/>
      <c r="P617" s="38"/>
      <c r="Q617" s="38"/>
      <c r="R617" s="38"/>
      <c r="S617" s="38"/>
      <c r="T617" s="38"/>
      <c r="U617" s="38"/>
      <c r="V617" s="38"/>
      <c r="W617" s="38"/>
      <c r="X617" s="38"/>
      <c r="Y617" s="38"/>
      <c r="Z617" s="38"/>
    </row>
    <row r="618" spans="1:26">
      <c r="A618" s="35"/>
      <c r="B618" s="38"/>
      <c r="C618" s="38"/>
      <c r="D618" s="39"/>
      <c r="E618" s="39"/>
      <c r="F618" s="38"/>
      <c r="G618" s="38"/>
      <c r="H618" s="38"/>
      <c r="I618" s="38"/>
      <c r="J618" s="38"/>
      <c r="K618" s="38"/>
      <c r="L618" s="38"/>
      <c r="M618" s="38"/>
      <c r="N618" s="38"/>
      <c r="O618" s="38"/>
      <c r="P618" s="38"/>
      <c r="Q618" s="38"/>
      <c r="R618" s="38"/>
      <c r="S618" s="38"/>
      <c r="T618" s="38"/>
      <c r="U618" s="38"/>
      <c r="V618" s="38"/>
      <c r="W618" s="38"/>
      <c r="X618" s="38"/>
      <c r="Y618" s="38"/>
      <c r="Z618" s="38"/>
    </row>
    <row r="619" spans="1:26">
      <c r="A619" s="35"/>
      <c r="B619" s="38"/>
      <c r="C619" s="38"/>
      <c r="D619" s="39"/>
      <c r="E619" s="39"/>
      <c r="F619" s="38"/>
      <c r="G619" s="38"/>
      <c r="H619" s="38"/>
      <c r="I619" s="38"/>
      <c r="J619" s="38"/>
      <c r="K619" s="38"/>
      <c r="L619" s="38"/>
      <c r="M619" s="38"/>
      <c r="N619" s="38"/>
      <c r="O619" s="38"/>
      <c r="P619" s="38"/>
      <c r="Q619" s="38"/>
      <c r="R619" s="38"/>
      <c r="S619" s="38"/>
      <c r="T619" s="38"/>
      <c r="U619" s="38"/>
      <c r="V619" s="38"/>
      <c r="W619" s="38"/>
      <c r="X619" s="38"/>
      <c r="Y619" s="38"/>
      <c r="Z619" s="38"/>
    </row>
    <row r="620" spans="1:26">
      <c r="A620" s="35"/>
      <c r="B620" s="38"/>
      <c r="C620" s="38"/>
      <c r="D620" s="39"/>
      <c r="E620" s="39"/>
      <c r="F620" s="38"/>
      <c r="G620" s="38"/>
      <c r="H620" s="38"/>
      <c r="I620" s="38"/>
      <c r="J620" s="38"/>
      <c r="K620" s="38"/>
      <c r="L620" s="38"/>
      <c r="M620" s="38"/>
      <c r="N620" s="38"/>
      <c r="O620" s="38"/>
      <c r="P620" s="38"/>
      <c r="Q620" s="38"/>
      <c r="R620" s="38"/>
      <c r="S620" s="38"/>
      <c r="T620" s="38"/>
      <c r="U620" s="38"/>
      <c r="V620" s="38"/>
      <c r="W620" s="38"/>
      <c r="X620" s="38"/>
      <c r="Y620" s="38"/>
      <c r="Z620" s="38"/>
    </row>
    <row r="621" spans="1:26">
      <c r="A621" s="35"/>
      <c r="B621" s="38"/>
      <c r="C621" s="38"/>
      <c r="D621" s="39"/>
      <c r="E621" s="39"/>
      <c r="F621" s="38"/>
      <c r="G621" s="38"/>
      <c r="H621" s="38"/>
      <c r="I621" s="38"/>
      <c r="J621" s="38"/>
      <c r="K621" s="38"/>
      <c r="L621" s="38"/>
      <c r="M621" s="38"/>
      <c r="N621" s="38"/>
      <c r="O621" s="38"/>
      <c r="P621" s="38"/>
      <c r="Q621" s="38"/>
      <c r="R621" s="38"/>
      <c r="S621" s="38"/>
      <c r="T621" s="38"/>
      <c r="U621" s="38"/>
      <c r="V621" s="38"/>
      <c r="W621" s="38"/>
      <c r="X621" s="38"/>
      <c r="Y621" s="38"/>
      <c r="Z621" s="38"/>
    </row>
    <row r="622" spans="1:26">
      <c r="A622" s="35"/>
      <c r="B622" s="38"/>
      <c r="C622" s="38"/>
      <c r="D622" s="39"/>
      <c r="E622" s="39"/>
      <c r="F622" s="38"/>
      <c r="G622" s="38"/>
      <c r="H622" s="38"/>
      <c r="I622" s="38"/>
      <c r="J622" s="38"/>
      <c r="K622" s="38"/>
      <c r="L622" s="38"/>
      <c r="M622" s="38"/>
      <c r="N622" s="38"/>
      <c r="O622" s="38"/>
      <c r="P622" s="38"/>
      <c r="Q622" s="38"/>
      <c r="R622" s="38"/>
      <c r="S622" s="38"/>
      <c r="T622" s="38"/>
      <c r="U622" s="38"/>
      <c r="V622" s="38"/>
      <c r="W622" s="38"/>
      <c r="X622" s="38"/>
      <c r="Y622" s="38"/>
      <c r="Z622" s="38"/>
    </row>
    <row r="623" spans="1:26">
      <c r="A623" s="35"/>
      <c r="B623" s="38"/>
      <c r="C623" s="38"/>
      <c r="D623" s="39"/>
      <c r="E623" s="39"/>
      <c r="F623" s="38"/>
      <c r="G623" s="38"/>
      <c r="H623" s="38"/>
      <c r="I623" s="38"/>
      <c r="J623" s="38"/>
      <c r="K623" s="38"/>
      <c r="L623" s="38"/>
      <c r="M623" s="38"/>
      <c r="N623" s="38"/>
      <c r="O623" s="38"/>
      <c r="P623" s="38"/>
      <c r="Q623" s="38"/>
      <c r="R623" s="38"/>
      <c r="S623" s="38"/>
      <c r="T623" s="38"/>
      <c r="U623" s="38"/>
      <c r="V623" s="38"/>
      <c r="W623" s="38"/>
      <c r="X623" s="38"/>
      <c r="Y623" s="38"/>
      <c r="Z623" s="38"/>
    </row>
    <row r="624" spans="1:26">
      <c r="A624" s="35"/>
      <c r="B624" s="38"/>
      <c r="C624" s="38"/>
      <c r="D624" s="39"/>
      <c r="E624" s="39"/>
      <c r="F624" s="38"/>
      <c r="G624" s="38"/>
      <c r="H624" s="38"/>
      <c r="I624" s="38"/>
      <c r="J624" s="38"/>
      <c r="K624" s="38"/>
      <c r="L624" s="38"/>
      <c r="M624" s="38"/>
      <c r="N624" s="38"/>
      <c r="O624" s="38"/>
      <c r="P624" s="38"/>
      <c r="Q624" s="38"/>
      <c r="R624" s="38"/>
      <c r="S624" s="38"/>
      <c r="T624" s="38"/>
      <c r="U624" s="38"/>
      <c r="V624" s="38"/>
      <c r="W624" s="38"/>
      <c r="X624" s="38"/>
      <c r="Y624" s="38"/>
      <c r="Z624" s="38"/>
    </row>
    <row r="625" spans="1:26">
      <c r="A625" s="35"/>
      <c r="B625" s="38"/>
      <c r="C625" s="38"/>
      <c r="D625" s="39"/>
      <c r="E625" s="39"/>
      <c r="F625" s="38"/>
      <c r="G625" s="38"/>
      <c r="H625" s="38"/>
      <c r="I625" s="38"/>
      <c r="J625" s="38"/>
      <c r="K625" s="38"/>
      <c r="L625" s="38"/>
      <c r="M625" s="38"/>
      <c r="N625" s="38"/>
      <c r="O625" s="38"/>
      <c r="P625" s="38"/>
      <c r="Q625" s="38"/>
      <c r="R625" s="38"/>
      <c r="S625" s="38"/>
      <c r="T625" s="38"/>
      <c r="U625" s="38"/>
      <c r="V625" s="38"/>
      <c r="W625" s="38"/>
      <c r="X625" s="38"/>
      <c r="Y625" s="38"/>
      <c r="Z625" s="38"/>
    </row>
    <row r="626" spans="1:26">
      <c r="A626" s="35"/>
      <c r="B626" s="38"/>
      <c r="C626" s="38"/>
      <c r="D626" s="39"/>
      <c r="E626" s="39"/>
      <c r="F626" s="38"/>
      <c r="G626" s="38"/>
      <c r="H626" s="38"/>
      <c r="I626" s="38"/>
      <c r="J626" s="38"/>
      <c r="K626" s="38"/>
      <c r="L626" s="38"/>
      <c r="M626" s="38"/>
      <c r="N626" s="38"/>
      <c r="O626" s="38"/>
      <c r="P626" s="38"/>
      <c r="Q626" s="38"/>
      <c r="R626" s="38"/>
      <c r="S626" s="38"/>
      <c r="T626" s="38"/>
      <c r="U626" s="38"/>
      <c r="V626" s="38"/>
      <c r="W626" s="38"/>
      <c r="X626" s="38"/>
      <c r="Y626" s="38"/>
      <c r="Z626" s="38"/>
    </row>
    <row r="627" spans="1:26">
      <c r="A627" s="35"/>
      <c r="B627" s="38"/>
      <c r="C627" s="38"/>
      <c r="D627" s="39"/>
      <c r="E627" s="39"/>
      <c r="F627" s="38"/>
      <c r="G627" s="38"/>
      <c r="H627" s="38"/>
      <c r="I627" s="38"/>
      <c r="J627" s="38"/>
      <c r="K627" s="38"/>
      <c r="L627" s="38"/>
      <c r="M627" s="38"/>
      <c r="N627" s="38"/>
      <c r="O627" s="38"/>
      <c r="P627" s="38"/>
      <c r="Q627" s="38"/>
      <c r="R627" s="38"/>
      <c r="S627" s="38"/>
      <c r="T627" s="38"/>
      <c r="U627" s="38"/>
      <c r="V627" s="38"/>
      <c r="W627" s="38"/>
      <c r="X627" s="38"/>
      <c r="Y627" s="38"/>
      <c r="Z627" s="38"/>
    </row>
    <row r="628" spans="1:26">
      <c r="A628" s="35"/>
      <c r="B628" s="38"/>
      <c r="C628" s="38"/>
      <c r="D628" s="39"/>
      <c r="E628" s="39"/>
      <c r="F628" s="38"/>
      <c r="G628" s="38"/>
      <c r="H628" s="38"/>
      <c r="I628" s="38"/>
      <c r="J628" s="38"/>
      <c r="K628" s="38"/>
      <c r="L628" s="38"/>
      <c r="M628" s="38"/>
      <c r="N628" s="38"/>
      <c r="O628" s="38"/>
      <c r="P628" s="38"/>
      <c r="Q628" s="38"/>
      <c r="R628" s="38"/>
      <c r="S628" s="38"/>
      <c r="T628" s="38"/>
      <c r="U628" s="38"/>
      <c r="V628" s="38"/>
      <c r="W628" s="38"/>
      <c r="X628" s="38"/>
      <c r="Y628" s="38"/>
      <c r="Z628" s="38"/>
    </row>
    <row r="629" spans="1:26">
      <c r="A629" s="35"/>
      <c r="B629" s="38"/>
      <c r="C629" s="38"/>
      <c r="D629" s="39"/>
      <c r="E629" s="39"/>
      <c r="F629" s="38"/>
      <c r="G629" s="38"/>
      <c r="H629" s="38"/>
      <c r="I629" s="38"/>
      <c r="J629" s="38"/>
      <c r="K629" s="38"/>
      <c r="L629" s="38"/>
      <c r="M629" s="38"/>
      <c r="N629" s="38"/>
      <c r="O629" s="38"/>
      <c r="P629" s="38"/>
      <c r="Q629" s="38"/>
      <c r="R629" s="38"/>
      <c r="S629" s="38"/>
      <c r="T629" s="38"/>
      <c r="U629" s="38"/>
      <c r="V629" s="38"/>
      <c r="W629" s="38"/>
      <c r="X629" s="38"/>
      <c r="Y629" s="38"/>
      <c r="Z629" s="38"/>
    </row>
    <row r="630" spans="1:26">
      <c r="A630" s="35"/>
      <c r="B630" s="38"/>
      <c r="C630" s="38"/>
      <c r="D630" s="39"/>
      <c r="E630" s="39"/>
      <c r="F630" s="38"/>
      <c r="G630" s="38"/>
      <c r="H630" s="38"/>
      <c r="I630" s="38"/>
      <c r="J630" s="38"/>
      <c r="K630" s="38"/>
      <c r="L630" s="38"/>
      <c r="M630" s="38"/>
      <c r="N630" s="38"/>
      <c r="O630" s="38"/>
      <c r="P630" s="38"/>
      <c r="Q630" s="38"/>
      <c r="R630" s="38"/>
      <c r="S630" s="38"/>
      <c r="T630" s="38"/>
      <c r="U630" s="38"/>
      <c r="V630" s="38"/>
      <c r="W630" s="38"/>
      <c r="X630" s="38"/>
      <c r="Y630" s="38"/>
      <c r="Z630" s="38"/>
    </row>
    <row r="631" spans="1:26">
      <c r="A631" s="35"/>
      <c r="B631" s="38"/>
      <c r="C631" s="38"/>
      <c r="D631" s="39"/>
      <c r="E631" s="39"/>
      <c r="F631" s="38"/>
      <c r="G631" s="38"/>
      <c r="H631" s="38"/>
      <c r="I631" s="38"/>
      <c r="J631" s="38"/>
      <c r="K631" s="38"/>
      <c r="L631" s="38"/>
      <c r="M631" s="38"/>
      <c r="N631" s="38"/>
      <c r="O631" s="38"/>
      <c r="P631" s="38"/>
      <c r="Q631" s="38"/>
      <c r="R631" s="38"/>
      <c r="S631" s="38"/>
      <c r="T631" s="38"/>
      <c r="U631" s="38"/>
      <c r="V631" s="38"/>
      <c r="W631" s="38"/>
      <c r="X631" s="38"/>
      <c r="Y631" s="38"/>
      <c r="Z631" s="38"/>
    </row>
    <row r="632" spans="1:26">
      <c r="A632" s="35"/>
      <c r="B632" s="38"/>
      <c r="C632" s="38"/>
      <c r="D632" s="39"/>
      <c r="E632" s="39"/>
      <c r="F632" s="38"/>
      <c r="G632" s="38"/>
      <c r="H632" s="38"/>
      <c r="I632" s="38"/>
      <c r="J632" s="38"/>
      <c r="K632" s="38"/>
      <c r="L632" s="38"/>
      <c r="M632" s="38"/>
      <c r="N632" s="38"/>
      <c r="O632" s="38"/>
      <c r="P632" s="38"/>
      <c r="Q632" s="38"/>
      <c r="R632" s="38"/>
      <c r="S632" s="38"/>
      <c r="T632" s="38"/>
      <c r="U632" s="38"/>
      <c r="V632" s="38"/>
      <c r="W632" s="38"/>
      <c r="X632" s="38"/>
      <c r="Y632" s="38"/>
      <c r="Z632" s="38"/>
    </row>
    <row r="633" spans="1:26">
      <c r="A633" s="35"/>
      <c r="B633" s="38"/>
      <c r="C633" s="38"/>
      <c r="D633" s="39"/>
      <c r="E633" s="39"/>
      <c r="F633" s="38"/>
      <c r="G633" s="38"/>
      <c r="H633" s="38"/>
      <c r="I633" s="38"/>
      <c r="J633" s="38"/>
      <c r="K633" s="38"/>
      <c r="L633" s="38"/>
      <c r="M633" s="38"/>
      <c r="N633" s="38"/>
      <c r="O633" s="38"/>
      <c r="P633" s="38"/>
      <c r="Q633" s="38"/>
      <c r="R633" s="38"/>
      <c r="S633" s="38"/>
      <c r="T633" s="38"/>
      <c r="U633" s="38"/>
      <c r="V633" s="38"/>
      <c r="W633" s="38"/>
      <c r="X633" s="38"/>
      <c r="Y633" s="38"/>
      <c r="Z633" s="38"/>
    </row>
    <row r="634" spans="1:26">
      <c r="A634" s="35"/>
      <c r="B634" s="38"/>
      <c r="C634" s="38"/>
      <c r="D634" s="39"/>
      <c r="E634" s="39"/>
      <c r="F634" s="38"/>
      <c r="G634" s="38"/>
      <c r="H634" s="38"/>
      <c r="I634" s="38"/>
      <c r="J634" s="38"/>
      <c r="K634" s="38"/>
      <c r="L634" s="38"/>
      <c r="M634" s="38"/>
      <c r="N634" s="38"/>
      <c r="O634" s="38"/>
      <c r="P634" s="38"/>
      <c r="Q634" s="38"/>
      <c r="R634" s="38"/>
      <c r="S634" s="38"/>
      <c r="T634" s="38"/>
      <c r="U634" s="38"/>
      <c r="V634" s="38"/>
      <c r="W634" s="38"/>
      <c r="X634" s="38"/>
      <c r="Y634" s="38"/>
      <c r="Z634" s="38"/>
    </row>
    <row r="635" spans="1:26">
      <c r="A635" s="35"/>
      <c r="B635" s="38"/>
      <c r="C635" s="38"/>
      <c r="D635" s="39"/>
      <c r="E635" s="39"/>
      <c r="F635" s="38"/>
      <c r="G635" s="38"/>
      <c r="H635" s="38"/>
      <c r="I635" s="38"/>
      <c r="J635" s="38"/>
      <c r="K635" s="38"/>
      <c r="L635" s="38"/>
      <c r="M635" s="38"/>
      <c r="N635" s="38"/>
      <c r="O635" s="38"/>
      <c r="P635" s="38"/>
      <c r="Q635" s="38"/>
      <c r="R635" s="38"/>
      <c r="S635" s="38"/>
      <c r="T635" s="38"/>
      <c r="U635" s="38"/>
      <c r="V635" s="38"/>
      <c r="W635" s="38"/>
      <c r="X635" s="38"/>
      <c r="Y635" s="38"/>
      <c r="Z635" s="38"/>
    </row>
    <row r="636" spans="1:26">
      <c r="A636" s="35"/>
      <c r="B636" s="38"/>
      <c r="C636" s="38"/>
      <c r="D636" s="39"/>
      <c r="E636" s="39"/>
      <c r="F636" s="38"/>
      <c r="G636" s="38"/>
      <c r="H636" s="38"/>
      <c r="I636" s="38"/>
      <c r="J636" s="38"/>
      <c r="K636" s="38"/>
      <c r="L636" s="38"/>
      <c r="M636" s="38"/>
      <c r="N636" s="38"/>
      <c r="O636" s="38"/>
      <c r="P636" s="38"/>
      <c r="Q636" s="38"/>
      <c r="R636" s="38"/>
      <c r="S636" s="38"/>
      <c r="T636" s="38"/>
      <c r="U636" s="38"/>
      <c r="V636" s="38"/>
      <c r="W636" s="38"/>
      <c r="X636" s="38"/>
      <c r="Y636" s="38"/>
      <c r="Z636" s="38"/>
    </row>
    <row r="637" spans="1:26">
      <c r="A637" s="35"/>
      <c r="B637" s="38"/>
      <c r="C637" s="38"/>
      <c r="D637" s="39"/>
      <c r="E637" s="39"/>
      <c r="F637" s="38"/>
      <c r="G637" s="38"/>
      <c r="H637" s="38"/>
      <c r="I637" s="38"/>
      <c r="J637" s="38"/>
      <c r="K637" s="38"/>
      <c r="L637" s="38"/>
      <c r="M637" s="38"/>
      <c r="N637" s="38"/>
      <c r="O637" s="38"/>
      <c r="P637" s="38"/>
      <c r="Q637" s="38"/>
      <c r="R637" s="38"/>
      <c r="S637" s="38"/>
      <c r="T637" s="38"/>
      <c r="U637" s="38"/>
      <c r="V637" s="38"/>
      <c r="W637" s="38"/>
      <c r="X637" s="38"/>
      <c r="Y637" s="38"/>
      <c r="Z637" s="38"/>
    </row>
    <row r="638" spans="1:26">
      <c r="A638" s="35"/>
      <c r="B638" s="38"/>
      <c r="C638" s="38"/>
      <c r="D638" s="39"/>
      <c r="E638" s="39"/>
      <c r="F638" s="38"/>
      <c r="G638" s="38"/>
      <c r="H638" s="38"/>
      <c r="I638" s="38"/>
      <c r="J638" s="38"/>
      <c r="K638" s="38"/>
      <c r="L638" s="38"/>
      <c r="M638" s="38"/>
      <c r="N638" s="38"/>
      <c r="O638" s="38"/>
      <c r="P638" s="38"/>
      <c r="Q638" s="38"/>
      <c r="R638" s="38"/>
      <c r="S638" s="38"/>
      <c r="T638" s="38"/>
      <c r="U638" s="38"/>
      <c r="V638" s="38"/>
      <c r="W638" s="38"/>
      <c r="X638" s="38"/>
      <c r="Y638" s="38"/>
      <c r="Z638" s="38"/>
    </row>
    <row r="639" spans="1:26">
      <c r="A639" s="35"/>
      <c r="B639" s="38"/>
      <c r="C639" s="38"/>
      <c r="D639" s="39"/>
      <c r="E639" s="39"/>
      <c r="F639" s="38"/>
      <c r="G639" s="38"/>
      <c r="H639" s="38"/>
      <c r="I639" s="38"/>
      <c r="J639" s="38"/>
      <c r="K639" s="38"/>
      <c r="L639" s="38"/>
      <c r="M639" s="38"/>
      <c r="N639" s="38"/>
      <c r="O639" s="38"/>
      <c r="P639" s="38"/>
      <c r="Q639" s="38"/>
      <c r="R639" s="38"/>
      <c r="S639" s="38"/>
      <c r="T639" s="38"/>
      <c r="U639" s="38"/>
      <c r="V639" s="38"/>
      <c r="W639" s="38"/>
      <c r="X639" s="38"/>
      <c r="Y639" s="38"/>
      <c r="Z639" s="38"/>
    </row>
    <row r="640" spans="1:26">
      <c r="A640" s="35"/>
      <c r="B640" s="38"/>
      <c r="C640" s="38"/>
      <c r="D640" s="39"/>
      <c r="E640" s="39"/>
      <c r="F640" s="38"/>
      <c r="G640" s="38"/>
      <c r="H640" s="38"/>
      <c r="I640" s="38"/>
      <c r="J640" s="38"/>
      <c r="K640" s="38"/>
      <c r="L640" s="38"/>
      <c r="M640" s="38"/>
      <c r="N640" s="38"/>
      <c r="O640" s="38"/>
      <c r="P640" s="38"/>
      <c r="Q640" s="38"/>
      <c r="R640" s="38"/>
      <c r="S640" s="38"/>
      <c r="T640" s="38"/>
      <c r="U640" s="38"/>
      <c r="V640" s="38"/>
      <c r="W640" s="38"/>
      <c r="X640" s="38"/>
      <c r="Y640" s="38"/>
      <c r="Z640" s="38"/>
    </row>
    <row r="641" spans="1:26">
      <c r="A641" s="35"/>
      <c r="B641" s="38"/>
      <c r="C641" s="38"/>
      <c r="D641" s="39"/>
      <c r="E641" s="39"/>
      <c r="F641" s="38"/>
      <c r="G641" s="38"/>
      <c r="H641" s="38"/>
      <c r="I641" s="38"/>
      <c r="J641" s="38"/>
      <c r="K641" s="38"/>
      <c r="L641" s="38"/>
      <c r="M641" s="38"/>
      <c r="N641" s="38"/>
      <c r="O641" s="38"/>
      <c r="P641" s="38"/>
      <c r="Q641" s="38"/>
      <c r="R641" s="38"/>
      <c r="S641" s="38"/>
      <c r="T641" s="38"/>
      <c r="U641" s="38"/>
      <c r="V641" s="38"/>
      <c r="W641" s="38"/>
      <c r="X641" s="38"/>
      <c r="Y641" s="38"/>
      <c r="Z641" s="38"/>
    </row>
    <row r="642" spans="1:26">
      <c r="A642" s="35"/>
      <c r="B642" s="38"/>
      <c r="C642" s="38"/>
      <c r="D642" s="39"/>
      <c r="E642" s="39"/>
      <c r="F642" s="38"/>
      <c r="G642" s="38"/>
      <c r="H642" s="38"/>
      <c r="I642" s="38"/>
      <c r="J642" s="38"/>
      <c r="K642" s="38"/>
      <c r="L642" s="38"/>
      <c r="M642" s="38"/>
      <c r="N642" s="38"/>
      <c r="O642" s="38"/>
      <c r="P642" s="38"/>
      <c r="Q642" s="38"/>
      <c r="R642" s="38"/>
      <c r="S642" s="38"/>
      <c r="T642" s="38"/>
      <c r="U642" s="38"/>
      <c r="V642" s="38"/>
      <c r="W642" s="38"/>
      <c r="X642" s="38"/>
      <c r="Y642" s="38"/>
      <c r="Z642" s="38"/>
    </row>
    <row r="643" spans="1:26">
      <c r="A643" s="35"/>
      <c r="B643" s="38"/>
      <c r="C643" s="38"/>
      <c r="D643" s="39"/>
      <c r="E643" s="39"/>
      <c r="F643" s="38"/>
      <c r="G643" s="38"/>
      <c r="H643" s="38"/>
      <c r="I643" s="38"/>
      <c r="J643" s="38"/>
      <c r="K643" s="38"/>
      <c r="L643" s="38"/>
      <c r="M643" s="38"/>
      <c r="N643" s="38"/>
      <c r="O643" s="38"/>
      <c r="P643" s="38"/>
      <c r="Q643" s="38"/>
      <c r="R643" s="38"/>
      <c r="S643" s="38"/>
      <c r="T643" s="38"/>
      <c r="U643" s="38"/>
      <c r="V643" s="38"/>
      <c r="W643" s="38"/>
      <c r="X643" s="38"/>
      <c r="Y643" s="38"/>
      <c r="Z643" s="38"/>
    </row>
    <row r="644" spans="1:26">
      <c r="A644" s="35"/>
      <c r="B644" s="38"/>
      <c r="C644" s="38"/>
      <c r="D644" s="39"/>
      <c r="E644" s="39"/>
      <c r="F644" s="38"/>
      <c r="G644" s="38"/>
      <c r="H644" s="38"/>
      <c r="I644" s="38"/>
      <c r="J644" s="38"/>
      <c r="K644" s="38"/>
      <c r="L644" s="38"/>
      <c r="M644" s="38"/>
      <c r="N644" s="38"/>
      <c r="O644" s="38"/>
      <c r="P644" s="38"/>
      <c r="Q644" s="38"/>
      <c r="R644" s="38"/>
      <c r="S644" s="38"/>
      <c r="T644" s="38"/>
      <c r="U644" s="38"/>
      <c r="V644" s="38"/>
      <c r="W644" s="38"/>
      <c r="X644" s="38"/>
      <c r="Y644" s="38"/>
      <c r="Z644" s="38"/>
    </row>
    <row r="645" spans="1:26">
      <c r="A645" s="35"/>
      <c r="B645" s="38"/>
      <c r="C645" s="38"/>
      <c r="D645" s="39"/>
      <c r="E645" s="39"/>
      <c r="F645" s="38"/>
      <c r="G645" s="38"/>
      <c r="H645" s="38"/>
      <c r="I645" s="38"/>
      <c r="J645" s="38"/>
      <c r="K645" s="38"/>
      <c r="L645" s="38"/>
      <c r="M645" s="38"/>
      <c r="N645" s="38"/>
      <c r="O645" s="38"/>
      <c r="P645" s="38"/>
      <c r="Q645" s="38"/>
      <c r="R645" s="38"/>
      <c r="S645" s="38"/>
      <c r="T645" s="38"/>
      <c r="U645" s="38"/>
      <c r="V645" s="38"/>
      <c r="W645" s="38"/>
      <c r="X645" s="38"/>
      <c r="Y645" s="38"/>
      <c r="Z645" s="38"/>
    </row>
    <row r="646" spans="1:26">
      <c r="A646" s="35"/>
      <c r="B646" s="38"/>
      <c r="C646" s="38"/>
      <c r="D646" s="39"/>
      <c r="E646" s="39"/>
      <c r="F646" s="38"/>
      <c r="G646" s="38"/>
      <c r="H646" s="38"/>
      <c r="I646" s="38"/>
      <c r="J646" s="38"/>
      <c r="K646" s="38"/>
      <c r="L646" s="38"/>
      <c r="M646" s="38"/>
      <c r="N646" s="38"/>
      <c r="O646" s="38"/>
      <c r="P646" s="38"/>
      <c r="Q646" s="38"/>
      <c r="R646" s="38"/>
      <c r="S646" s="38"/>
      <c r="T646" s="38"/>
      <c r="U646" s="38"/>
      <c r="V646" s="38"/>
      <c r="W646" s="38"/>
      <c r="X646" s="38"/>
      <c r="Y646" s="38"/>
      <c r="Z646" s="38"/>
    </row>
    <row r="647" spans="1:26">
      <c r="A647" s="35"/>
      <c r="B647" s="38"/>
      <c r="C647" s="38"/>
      <c r="D647" s="39"/>
      <c r="E647" s="39"/>
      <c r="F647" s="38"/>
      <c r="G647" s="38"/>
      <c r="H647" s="38"/>
      <c r="I647" s="38"/>
      <c r="J647" s="38"/>
      <c r="K647" s="38"/>
      <c r="L647" s="38"/>
      <c r="M647" s="38"/>
      <c r="N647" s="38"/>
      <c r="O647" s="38"/>
      <c r="P647" s="38"/>
      <c r="Q647" s="38"/>
      <c r="R647" s="38"/>
      <c r="S647" s="38"/>
      <c r="T647" s="38"/>
      <c r="U647" s="38"/>
      <c r="V647" s="38"/>
      <c r="W647" s="38"/>
      <c r="X647" s="38"/>
      <c r="Y647" s="38"/>
      <c r="Z647" s="38"/>
    </row>
    <row r="648" spans="1:26">
      <c r="A648" s="35"/>
      <c r="B648" s="38"/>
      <c r="C648" s="38"/>
      <c r="D648" s="39"/>
      <c r="E648" s="39"/>
      <c r="F648" s="38"/>
      <c r="G648" s="38"/>
      <c r="H648" s="38"/>
      <c r="I648" s="38"/>
      <c r="J648" s="38"/>
      <c r="K648" s="38"/>
      <c r="L648" s="38"/>
      <c r="M648" s="38"/>
      <c r="N648" s="38"/>
      <c r="O648" s="38"/>
      <c r="P648" s="38"/>
      <c r="Q648" s="38"/>
      <c r="R648" s="38"/>
      <c r="S648" s="38"/>
      <c r="T648" s="38"/>
      <c r="U648" s="38"/>
      <c r="V648" s="38"/>
      <c r="W648" s="38"/>
      <c r="X648" s="38"/>
      <c r="Y648" s="38"/>
      <c r="Z648" s="38"/>
    </row>
    <row r="649" spans="1:26">
      <c r="A649" s="35"/>
      <c r="B649" s="38"/>
      <c r="C649" s="38"/>
      <c r="D649" s="39"/>
      <c r="E649" s="39"/>
      <c r="F649" s="38"/>
      <c r="G649" s="38"/>
      <c r="H649" s="38"/>
      <c r="I649" s="38"/>
      <c r="J649" s="38"/>
      <c r="K649" s="38"/>
      <c r="L649" s="38"/>
      <c r="M649" s="38"/>
      <c r="N649" s="38"/>
      <c r="O649" s="38"/>
      <c r="P649" s="38"/>
      <c r="Q649" s="38"/>
      <c r="R649" s="38"/>
      <c r="S649" s="38"/>
      <c r="T649" s="38"/>
      <c r="U649" s="38"/>
      <c r="V649" s="38"/>
      <c r="W649" s="38"/>
      <c r="X649" s="38"/>
      <c r="Y649" s="38"/>
      <c r="Z649" s="38"/>
    </row>
    <row r="650" spans="1:26">
      <c r="A650" s="35"/>
      <c r="B650" s="38"/>
      <c r="C650" s="38"/>
      <c r="D650" s="39"/>
      <c r="E650" s="39"/>
      <c r="F650" s="38"/>
      <c r="G650" s="38"/>
      <c r="H650" s="38"/>
      <c r="I650" s="38"/>
      <c r="J650" s="38"/>
      <c r="K650" s="38"/>
      <c r="L650" s="38"/>
      <c r="M650" s="38"/>
      <c r="N650" s="38"/>
      <c r="O650" s="38"/>
      <c r="P650" s="38"/>
      <c r="Q650" s="38"/>
      <c r="R650" s="38"/>
      <c r="S650" s="38"/>
      <c r="T650" s="38"/>
      <c r="U650" s="38"/>
      <c r="V650" s="38"/>
      <c r="W650" s="38"/>
      <c r="X650" s="38"/>
      <c r="Y650" s="38"/>
      <c r="Z650" s="38"/>
    </row>
    <row r="651" spans="1:26">
      <c r="A651" s="35"/>
      <c r="B651" s="38"/>
      <c r="C651" s="38"/>
      <c r="D651" s="39"/>
      <c r="E651" s="39"/>
      <c r="F651" s="38"/>
      <c r="G651" s="38"/>
      <c r="H651" s="38"/>
      <c r="I651" s="38"/>
      <c r="J651" s="38"/>
      <c r="K651" s="38"/>
      <c r="L651" s="38"/>
      <c r="M651" s="38"/>
      <c r="N651" s="38"/>
      <c r="O651" s="38"/>
      <c r="P651" s="38"/>
      <c r="Q651" s="38"/>
      <c r="R651" s="38"/>
      <c r="S651" s="38"/>
      <c r="T651" s="38"/>
      <c r="U651" s="38"/>
      <c r="V651" s="38"/>
      <c r="W651" s="38"/>
      <c r="X651" s="38"/>
      <c r="Y651" s="38"/>
      <c r="Z651" s="38"/>
    </row>
    <row r="652" spans="1:26">
      <c r="A652" s="35"/>
      <c r="B652" s="38"/>
      <c r="C652" s="38"/>
      <c r="D652" s="39"/>
      <c r="E652" s="39"/>
      <c r="F652" s="38"/>
      <c r="G652" s="38"/>
      <c r="H652" s="38"/>
      <c r="I652" s="38"/>
      <c r="J652" s="38"/>
      <c r="K652" s="38"/>
      <c r="L652" s="38"/>
      <c r="M652" s="38"/>
      <c r="N652" s="38"/>
      <c r="O652" s="38"/>
      <c r="P652" s="38"/>
      <c r="Q652" s="38"/>
      <c r="R652" s="38"/>
      <c r="S652" s="38"/>
      <c r="T652" s="38"/>
      <c r="U652" s="38"/>
      <c r="V652" s="38"/>
      <c r="W652" s="38"/>
      <c r="X652" s="38"/>
      <c r="Y652" s="38"/>
      <c r="Z652" s="38"/>
    </row>
    <row r="653" spans="1:26">
      <c r="A653" s="35"/>
      <c r="B653" s="38"/>
      <c r="C653" s="38"/>
      <c r="D653" s="39"/>
      <c r="E653" s="39"/>
      <c r="F653" s="38"/>
      <c r="G653" s="38"/>
      <c r="H653" s="38"/>
      <c r="I653" s="38"/>
      <c r="J653" s="38"/>
      <c r="K653" s="38"/>
      <c r="L653" s="38"/>
      <c r="M653" s="38"/>
      <c r="N653" s="38"/>
      <c r="O653" s="38"/>
      <c r="P653" s="38"/>
      <c r="Q653" s="38"/>
      <c r="R653" s="38"/>
      <c r="S653" s="38"/>
      <c r="T653" s="38"/>
      <c r="U653" s="38"/>
      <c r="V653" s="38"/>
      <c r="W653" s="38"/>
      <c r="X653" s="38"/>
      <c r="Y653" s="38"/>
      <c r="Z653" s="38"/>
    </row>
    <row r="654" spans="1:26">
      <c r="A654" s="35"/>
      <c r="B654" s="38"/>
      <c r="C654" s="38"/>
      <c r="D654" s="39"/>
      <c r="E654" s="39"/>
      <c r="F654" s="38"/>
      <c r="G654" s="38"/>
      <c r="H654" s="38"/>
      <c r="I654" s="38"/>
      <c r="J654" s="38"/>
      <c r="K654" s="38"/>
      <c r="L654" s="38"/>
      <c r="M654" s="38"/>
      <c r="N654" s="38"/>
      <c r="O654" s="38"/>
      <c r="P654" s="38"/>
      <c r="Q654" s="38"/>
      <c r="R654" s="38"/>
      <c r="S654" s="38"/>
      <c r="T654" s="38"/>
      <c r="U654" s="38"/>
      <c r="V654" s="38"/>
      <c r="W654" s="38"/>
      <c r="X654" s="38"/>
      <c r="Y654" s="38"/>
      <c r="Z654" s="38"/>
    </row>
    <row r="655" spans="1:26">
      <c r="A655" s="35"/>
      <c r="B655" s="38"/>
      <c r="C655" s="38"/>
      <c r="D655" s="39"/>
      <c r="E655" s="39"/>
      <c r="F655" s="38"/>
      <c r="G655" s="38"/>
      <c r="H655" s="38"/>
      <c r="I655" s="38"/>
      <c r="J655" s="38"/>
      <c r="K655" s="38"/>
      <c r="L655" s="38"/>
      <c r="M655" s="38"/>
      <c r="N655" s="38"/>
      <c r="O655" s="38"/>
      <c r="P655" s="38"/>
      <c r="Q655" s="38"/>
      <c r="R655" s="38"/>
      <c r="S655" s="38"/>
      <c r="T655" s="38"/>
      <c r="U655" s="38"/>
      <c r="V655" s="38"/>
      <c r="W655" s="38"/>
      <c r="X655" s="38"/>
      <c r="Y655" s="38"/>
      <c r="Z655" s="38"/>
    </row>
    <row r="656" spans="1:26">
      <c r="A656" s="35"/>
      <c r="B656" s="38"/>
      <c r="C656" s="38"/>
      <c r="D656" s="39"/>
      <c r="E656" s="39"/>
      <c r="F656" s="38"/>
      <c r="G656" s="38"/>
      <c r="H656" s="38"/>
      <c r="I656" s="38"/>
      <c r="J656" s="38"/>
      <c r="K656" s="38"/>
      <c r="L656" s="38"/>
      <c r="M656" s="38"/>
      <c r="N656" s="38"/>
      <c r="O656" s="38"/>
      <c r="P656" s="38"/>
      <c r="Q656" s="38"/>
      <c r="R656" s="38"/>
      <c r="S656" s="38"/>
      <c r="T656" s="38"/>
      <c r="U656" s="38"/>
      <c r="V656" s="38"/>
      <c r="W656" s="38"/>
      <c r="X656" s="38"/>
      <c r="Y656" s="38"/>
      <c r="Z656" s="38"/>
    </row>
    <row r="657" spans="1:26">
      <c r="A657" s="35"/>
      <c r="B657" s="38"/>
      <c r="C657" s="38"/>
      <c r="D657" s="39"/>
      <c r="E657" s="39"/>
      <c r="F657" s="38"/>
      <c r="G657" s="38"/>
      <c r="H657" s="38"/>
      <c r="I657" s="38"/>
      <c r="J657" s="38"/>
      <c r="K657" s="38"/>
      <c r="L657" s="38"/>
      <c r="M657" s="38"/>
      <c r="N657" s="38"/>
      <c r="O657" s="38"/>
      <c r="P657" s="38"/>
      <c r="Q657" s="38"/>
      <c r="R657" s="38"/>
      <c r="S657" s="38"/>
      <c r="T657" s="38"/>
      <c r="U657" s="38"/>
      <c r="V657" s="38"/>
      <c r="W657" s="38"/>
      <c r="X657" s="38"/>
      <c r="Y657" s="38"/>
      <c r="Z657" s="38"/>
    </row>
    <row r="658" spans="1:26">
      <c r="A658" s="35"/>
      <c r="B658" s="38"/>
      <c r="C658" s="38"/>
      <c r="D658" s="39"/>
      <c r="E658" s="39"/>
      <c r="F658" s="38"/>
      <c r="G658" s="38"/>
      <c r="H658" s="38"/>
      <c r="I658" s="38"/>
      <c r="J658" s="38"/>
      <c r="K658" s="38"/>
      <c r="L658" s="38"/>
      <c r="M658" s="38"/>
      <c r="N658" s="38"/>
      <c r="O658" s="38"/>
      <c r="P658" s="38"/>
      <c r="Q658" s="38"/>
      <c r="R658" s="38"/>
      <c r="S658" s="38"/>
      <c r="T658" s="38"/>
      <c r="U658" s="38"/>
      <c r="V658" s="38"/>
      <c r="W658" s="38"/>
      <c r="X658" s="38"/>
      <c r="Y658" s="38"/>
      <c r="Z658" s="38"/>
    </row>
    <row r="659" spans="1:26">
      <c r="A659" s="35"/>
      <c r="B659" s="38"/>
      <c r="C659" s="38"/>
      <c r="D659" s="39"/>
      <c r="E659" s="39"/>
      <c r="F659" s="38"/>
      <c r="G659" s="38"/>
      <c r="H659" s="38"/>
      <c r="I659" s="38"/>
      <c r="J659" s="38"/>
      <c r="K659" s="38"/>
      <c r="L659" s="38"/>
      <c r="M659" s="38"/>
      <c r="N659" s="38"/>
      <c r="O659" s="38"/>
      <c r="P659" s="38"/>
      <c r="Q659" s="38"/>
      <c r="R659" s="38"/>
      <c r="S659" s="38"/>
      <c r="T659" s="38"/>
      <c r="U659" s="38"/>
      <c r="V659" s="38"/>
      <c r="W659" s="38"/>
      <c r="X659" s="38"/>
      <c r="Y659" s="38"/>
      <c r="Z659" s="38"/>
    </row>
    <row r="660" spans="1:26">
      <c r="A660" s="35"/>
      <c r="B660" s="38"/>
      <c r="C660" s="38"/>
      <c r="D660" s="39"/>
      <c r="E660" s="39"/>
      <c r="F660" s="38"/>
      <c r="G660" s="38"/>
      <c r="H660" s="38"/>
      <c r="I660" s="38"/>
      <c r="J660" s="38"/>
      <c r="K660" s="38"/>
      <c r="L660" s="38"/>
      <c r="M660" s="38"/>
      <c r="N660" s="38"/>
      <c r="O660" s="38"/>
      <c r="P660" s="38"/>
      <c r="Q660" s="38"/>
      <c r="R660" s="38"/>
      <c r="S660" s="38"/>
      <c r="T660" s="38"/>
      <c r="U660" s="38"/>
      <c r="V660" s="38"/>
      <c r="W660" s="38"/>
      <c r="X660" s="38"/>
      <c r="Y660" s="38"/>
      <c r="Z660" s="38"/>
    </row>
    <row r="661" spans="1:26">
      <c r="A661" s="35"/>
      <c r="B661" s="38"/>
      <c r="C661" s="38"/>
      <c r="D661" s="39"/>
      <c r="E661" s="39"/>
      <c r="F661" s="38"/>
      <c r="G661" s="38"/>
      <c r="H661" s="38"/>
      <c r="I661" s="38"/>
      <c r="J661" s="38"/>
      <c r="K661" s="38"/>
      <c r="L661" s="38"/>
      <c r="M661" s="38"/>
      <c r="N661" s="38"/>
      <c r="O661" s="38"/>
      <c r="P661" s="38"/>
      <c r="Q661" s="38"/>
      <c r="R661" s="38"/>
      <c r="S661" s="38"/>
      <c r="T661" s="38"/>
      <c r="U661" s="38"/>
      <c r="V661" s="38"/>
      <c r="W661" s="38"/>
      <c r="X661" s="38"/>
      <c r="Y661" s="38"/>
      <c r="Z661" s="38"/>
    </row>
    <row r="662" spans="1:26">
      <c r="A662" s="35"/>
      <c r="B662" s="38"/>
      <c r="C662" s="38"/>
      <c r="D662" s="39"/>
      <c r="E662" s="39"/>
      <c r="F662" s="38"/>
      <c r="G662" s="38"/>
      <c r="H662" s="38"/>
      <c r="I662" s="38"/>
      <c r="J662" s="38"/>
      <c r="K662" s="38"/>
      <c r="L662" s="38"/>
      <c r="M662" s="38"/>
      <c r="N662" s="38"/>
      <c r="O662" s="38"/>
      <c r="P662" s="38"/>
      <c r="Q662" s="38"/>
      <c r="R662" s="38"/>
      <c r="S662" s="38"/>
      <c r="T662" s="38"/>
      <c r="U662" s="38"/>
      <c r="V662" s="38"/>
      <c r="W662" s="38"/>
      <c r="X662" s="38"/>
      <c r="Y662" s="38"/>
      <c r="Z662" s="38"/>
    </row>
    <row r="663" spans="1:26">
      <c r="A663" s="35"/>
      <c r="B663" s="38"/>
      <c r="C663" s="38"/>
      <c r="D663" s="39"/>
      <c r="E663" s="39"/>
      <c r="F663" s="38"/>
      <c r="G663" s="38"/>
      <c r="H663" s="38"/>
      <c r="I663" s="38"/>
      <c r="J663" s="38"/>
      <c r="K663" s="38"/>
      <c r="L663" s="38"/>
      <c r="M663" s="38"/>
      <c r="N663" s="38"/>
      <c r="O663" s="38"/>
      <c r="P663" s="38"/>
      <c r="Q663" s="38"/>
      <c r="R663" s="38"/>
      <c r="S663" s="38"/>
      <c r="T663" s="38"/>
      <c r="U663" s="38"/>
      <c r="V663" s="38"/>
      <c r="W663" s="38"/>
      <c r="X663" s="38"/>
      <c r="Y663" s="38"/>
      <c r="Z663" s="38"/>
    </row>
    <row r="664" spans="1:26">
      <c r="A664" s="35"/>
      <c r="B664" s="38"/>
      <c r="C664" s="38"/>
      <c r="D664" s="39"/>
      <c r="E664" s="39"/>
      <c r="F664" s="38"/>
      <c r="G664" s="38"/>
      <c r="H664" s="38"/>
      <c r="I664" s="38"/>
      <c r="J664" s="38"/>
      <c r="K664" s="38"/>
      <c r="L664" s="38"/>
      <c r="M664" s="38"/>
      <c r="N664" s="38"/>
      <c r="O664" s="38"/>
      <c r="P664" s="38"/>
      <c r="Q664" s="38"/>
      <c r="R664" s="38"/>
      <c r="S664" s="38"/>
      <c r="T664" s="38"/>
      <c r="U664" s="38"/>
      <c r="V664" s="38"/>
      <c r="W664" s="38"/>
      <c r="X664" s="38"/>
      <c r="Y664" s="38"/>
      <c r="Z664" s="38"/>
    </row>
    <row r="665" spans="1:26">
      <c r="A665" s="35"/>
      <c r="B665" s="38"/>
      <c r="C665" s="38"/>
      <c r="D665" s="39"/>
      <c r="E665" s="39"/>
      <c r="F665" s="38"/>
      <c r="G665" s="38"/>
      <c r="H665" s="38"/>
      <c r="I665" s="38"/>
      <c r="J665" s="38"/>
      <c r="K665" s="38"/>
      <c r="L665" s="38"/>
      <c r="M665" s="38"/>
      <c r="N665" s="38"/>
      <c r="O665" s="38"/>
      <c r="P665" s="38"/>
      <c r="Q665" s="38"/>
      <c r="R665" s="38"/>
      <c r="S665" s="38"/>
      <c r="T665" s="38"/>
      <c r="U665" s="38"/>
      <c r="V665" s="38"/>
      <c r="W665" s="38"/>
      <c r="X665" s="38"/>
      <c r="Y665" s="38"/>
      <c r="Z665" s="38"/>
    </row>
    <row r="666" spans="1:26">
      <c r="A666" s="35"/>
      <c r="B666" s="38"/>
      <c r="C666" s="38"/>
      <c r="D666" s="39"/>
      <c r="E666" s="39"/>
      <c r="F666" s="38"/>
      <c r="G666" s="38"/>
      <c r="H666" s="38"/>
      <c r="I666" s="38"/>
      <c r="J666" s="38"/>
      <c r="K666" s="38"/>
      <c r="L666" s="38"/>
      <c r="M666" s="38"/>
      <c r="N666" s="38"/>
      <c r="O666" s="38"/>
      <c r="P666" s="38"/>
      <c r="Q666" s="38"/>
      <c r="R666" s="38"/>
      <c r="S666" s="38"/>
      <c r="T666" s="38"/>
      <c r="U666" s="38"/>
      <c r="V666" s="38"/>
      <c r="W666" s="38"/>
      <c r="X666" s="38"/>
      <c r="Y666" s="38"/>
      <c r="Z666" s="38"/>
    </row>
    <row r="667" spans="1:26">
      <c r="A667" s="35"/>
      <c r="B667" s="38"/>
      <c r="C667" s="38"/>
      <c r="D667" s="39"/>
      <c r="E667" s="39"/>
      <c r="F667" s="38"/>
      <c r="G667" s="38"/>
      <c r="H667" s="38"/>
      <c r="I667" s="38"/>
      <c r="J667" s="38"/>
      <c r="K667" s="38"/>
      <c r="L667" s="38"/>
      <c r="M667" s="38"/>
      <c r="N667" s="38"/>
      <c r="O667" s="38"/>
      <c r="P667" s="38"/>
      <c r="Q667" s="38"/>
      <c r="R667" s="38"/>
      <c r="S667" s="38"/>
      <c r="T667" s="38"/>
      <c r="U667" s="38"/>
      <c r="V667" s="38"/>
      <c r="W667" s="38"/>
      <c r="X667" s="38"/>
      <c r="Y667" s="38"/>
      <c r="Z667" s="38"/>
    </row>
    <row r="668" spans="1:26">
      <c r="A668" s="35"/>
      <c r="B668" s="38"/>
      <c r="C668" s="38"/>
      <c r="D668" s="39"/>
      <c r="E668" s="39"/>
      <c r="F668" s="38"/>
      <c r="G668" s="38"/>
      <c r="H668" s="38"/>
      <c r="I668" s="38"/>
      <c r="J668" s="38"/>
      <c r="K668" s="38"/>
      <c r="L668" s="38"/>
      <c r="M668" s="38"/>
      <c r="N668" s="38"/>
      <c r="O668" s="38"/>
      <c r="P668" s="38"/>
      <c r="Q668" s="38"/>
      <c r="R668" s="38"/>
      <c r="S668" s="38"/>
      <c r="T668" s="38"/>
      <c r="U668" s="38"/>
      <c r="V668" s="38"/>
      <c r="W668" s="38"/>
      <c r="X668" s="38"/>
      <c r="Y668" s="38"/>
      <c r="Z668" s="38"/>
    </row>
    <row r="669" spans="1:26">
      <c r="A669" s="35"/>
      <c r="B669" s="38"/>
      <c r="C669" s="38"/>
      <c r="D669" s="39"/>
      <c r="E669" s="39"/>
      <c r="F669" s="38"/>
      <c r="G669" s="38"/>
      <c r="H669" s="38"/>
      <c r="I669" s="38"/>
      <c r="J669" s="38"/>
      <c r="K669" s="38"/>
      <c r="L669" s="38"/>
      <c r="M669" s="38"/>
      <c r="N669" s="38"/>
      <c r="O669" s="38"/>
      <c r="P669" s="38"/>
      <c r="Q669" s="38"/>
      <c r="R669" s="38"/>
      <c r="S669" s="38"/>
      <c r="T669" s="38"/>
      <c r="U669" s="38"/>
      <c r="V669" s="38"/>
      <c r="W669" s="38"/>
      <c r="X669" s="38"/>
      <c r="Y669" s="38"/>
      <c r="Z669" s="38"/>
    </row>
    <row r="670" spans="1:26">
      <c r="A670" s="35"/>
      <c r="B670" s="38"/>
      <c r="C670" s="38"/>
      <c r="D670" s="39"/>
      <c r="E670" s="39"/>
      <c r="F670" s="38"/>
      <c r="G670" s="38"/>
      <c r="H670" s="38"/>
      <c r="I670" s="38"/>
      <c r="J670" s="38"/>
      <c r="K670" s="38"/>
      <c r="L670" s="38"/>
      <c r="M670" s="38"/>
      <c r="N670" s="38"/>
      <c r="O670" s="38"/>
      <c r="P670" s="38"/>
      <c r="Q670" s="38"/>
      <c r="R670" s="38"/>
      <c r="S670" s="38"/>
      <c r="T670" s="38"/>
      <c r="U670" s="38"/>
      <c r="V670" s="38"/>
      <c r="W670" s="38"/>
      <c r="X670" s="38"/>
      <c r="Y670" s="38"/>
      <c r="Z670" s="38"/>
    </row>
    <row r="671" spans="1:26">
      <c r="A671" s="35"/>
      <c r="B671" s="38"/>
      <c r="C671" s="38"/>
      <c r="D671" s="39"/>
      <c r="E671" s="39"/>
      <c r="F671" s="38"/>
      <c r="G671" s="38"/>
      <c r="H671" s="38"/>
      <c r="I671" s="38"/>
      <c r="J671" s="38"/>
      <c r="K671" s="38"/>
      <c r="L671" s="38"/>
      <c r="M671" s="38"/>
      <c r="N671" s="38"/>
      <c r="O671" s="38"/>
      <c r="P671" s="38"/>
      <c r="Q671" s="38"/>
      <c r="R671" s="38"/>
      <c r="S671" s="38"/>
      <c r="T671" s="38"/>
      <c r="U671" s="38"/>
      <c r="V671" s="38"/>
      <c r="W671" s="38"/>
      <c r="X671" s="38"/>
      <c r="Y671" s="38"/>
      <c r="Z671" s="38"/>
    </row>
    <row r="672" spans="1:26">
      <c r="A672" s="35"/>
      <c r="B672" s="38"/>
      <c r="C672" s="38"/>
      <c r="D672" s="39"/>
      <c r="E672" s="39"/>
      <c r="F672" s="38"/>
      <c r="G672" s="38"/>
      <c r="H672" s="38"/>
      <c r="I672" s="38"/>
      <c r="J672" s="38"/>
      <c r="K672" s="38"/>
      <c r="L672" s="38"/>
      <c r="M672" s="38"/>
      <c r="N672" s="38"/>
      <c r="O672" s="38"/>
      <c r="P672" s="38"/>
      <c r="Q672" s="38"/>
      <c r="R672" s="38"/>
      <c r="S672" s="38"/>
      <c r="T672" s="38"/>
      <c r="U672" s="38"/>
      <c r="V672" s="38"/>
      <c r="W672" s="38"/>
      <c r="X672" s="38"/>
      <c r="Y672" s="38"/>
      <c r="Z672" s="38"/>
    </row>
    <row r="673" spans="1:26">
      <c r="A673" s="35"/>
      <c r="B673" s="38"/>
      <c r="C673" s="38"/>
      <c r="D673" s="39"/>
      <c r="E673" s="39"/>
      <c r="F673" s="38"/>
      <c r="G673" s="38"/>
      <c r="H673" s="38"/>
      <c r="I673" s="38"/>
      <c r="J673" s="38"/>
      <c r="K673" s="38"/>
      <c r="L673" s="38"/>
      <c r="M673" s="38"/>
      <c r="N673" s="38"/>
      <c r="O673" s="38"/>
      <c r="P673" s="38"/>
      <c r="Q673" s="38"/>
      <c r="R673" s="38"/>
      <c r="S673" s="38"/>
      <c r="T673" s="38"/>
      <c r="U673" s="38"/>
      <c r="V673" s="38"/>
      <c r="W673" s="38"/>
      <c r="X673" s="38"/>
      <c r="Y673" s="38"/>
      <c r="Z673" s="38"/>
    </row>
    <row r="674" spans="1:26">
      <c r="A674" s="35"/>
      <c r="B674" s="38"/>
      <c r="C674" s="38"/>
      <c r="D674" s="39"/>
      <c r="E674" s="39"/>
      <c r="F674" s="38"/>
      <c r="G674" s="38"/>
      <c r="H674" s="38"/>
      <c r="I674" s="38"/>
      <c r="J674" s="38"/>
      <c r="K674" s="38"/>
      <c r="L674" s="38"/>
      <c r="M674" s="38"/>
      <c r="N674" s="38"/>
      <c r="O674" s="38"/>
      <c r="P674" s="38"/>
      <c r="Q674" s="38"/>
      <c r="R674" s="38"/>
      <c r="S674" s="38"/>
      <c r="T674" s="38"/>
      <c r="U674" s="38"/>
      <c r="V674" s="38"/>
      <c r="W674" s="38"/>
      <c r="X674" s="38"/>
      <c r="Y674" s="38"/>
      <c r="Z674" s="38"/>
    </row>
    <row r="675" spans="1:26">
      <c r="A675" s="35"/>
      <c r="B675" s="38"/>
      <c r="C675" s="38"/>
      <c r="D675" s="39"/>
      <c r="E675" s="39"/>
      <c r="F675" s="38"/>
      <c r="G675" s="38"/>
      <c r="H675" s="38"/>
      <c r="I675" s="38"/>
      <c r="J675" s="38"/>
      <c r="K675" s="38"/>
      <c r="L675" s="38"/>
      <c r="M675" s="38"/>
      <c r="N675" s="38"/>
      <c r="O675" s="38"/>
      <c r="P675" s="38"/>
      <c r="Q675" s="38"/>
      <c r="R675" s="38"/>
      <c r="S675" s="38"/>
      <c r="T675" s="38"/>
      <c r="U675" s="38"/>
      <c r="V675" s="38"/>
      <c r="W675" s="38"/>
      <c r="X675" s="38"/>
      <c r="Y675" s="38"/>
      <c r="Z675" s="38"/>
    </row>
    <row r="676" spans="1:26">
      <c r="A676" s="35"/>
      <c r="B676" s="38"/>
      <c r="C676" s="38"/>
      <c r="D676" s="39"/>
      <c r="E676" s="39"/>
      <c r="F676" s="38"/>
      <c r="G676" s="38"/>
      <c r="H676" s="38"/>
      <c r="I676" s="38"/>
      <c r="J676" s="38"/>
      <c r="K676" s="38"/>
      <c r="L676" s="38"/>
      <c r="M676" s="38"/>
      <c r="N676" s="38"/>
      <c r="O676" s="38"/>
      <c r="P676" s="38"/>
      <c r="Q676" s="38"/>
      <c r="R676" s="38"/>
      <c r="S676" s="38"/>
      <c r="T676" s="38"/>
      <c r="U676" s="38"/>
      <c r="V676" s="38"/>
      <c r="W676" s="38"/>
      <c r="X676" s="38"/>
      <c r="Y676" s="38"/>
      <c r="Z676" s="38"/>
    </row>
    <row r="677" spans="1:26">
      <c r="A677" s="35"/>
      <c r="B677" s="38"/>
      <c r="C677" s="38"/>
      <c r="D677" s="39"/>
      <c r="E677" s="39"/>
      <c r="F677" s="38"/>
      <c r="G677" s="38"/>
      <c r="H677" s="38"/>
      <c r="I677" s="38"/>
      <c r="J677" s="38"/>
      <c r="K677" s="38"/>
      <c r="L677" s="38"/>
      <c r="M677" s="38"/>
      <c r="N677" s="38"/>
      <c r="O677" s="38"/>
      <c r="P677" s="38"/>
      <c r="Q677" s="38"/>
      <c r="R677" s="38"/>
      <c r="S677" s="38"/>
      <c r="T677" s="38"/>
      <c r="U677" s="38"/>
      <c r="V677" s="38"/>
      <c r="W677" s="38"/>
      <c r="X677" s="38"/>
      <c r="Y677" s="38"/>
      <c r="Z677" s="38"/>
    </row>
    <row r="678" spans="1:26">
      <c r="A678" s="35"/>
      <c r="B678" s="38"/>
      <c r="C678" s="38"/>
      <c r="D678" s="39"/>
      <c r="E678" s="39"/>
      <c r="F678" s="38"/>
      <c r="G678" s="38"/>
      <c r="H678" s="38"/>
      <c r="I678" s="38"/>
      <c r="J678" s="38"/>
      <c r="K678" s="38"/>
      <c r="L678" s="38"/>
      <c r="M678" s="38"/>
      <c r="N678" s="38"/>
      <c r="O678" s="38"/>
      <c r="P678" s="38"/>
      <c r="Q678" s="38"/>
      <c r="R678" s="38"/>
      <c r="S678" s="38"/>
      <c r="T678" s="38"/>
      <c r="U678" s="38"/>
      <c r="V678" s="38"/>
      <c r="W678" s="38"/>
      <c r="X678" s="38"/>
      <c r="Y678" s="38"/>
      <c r="Z678" s="38"/>
    </row>
    <row r="679" spans="1:26">
      <c r="A679" s="35"/>
      <c r="B679" s="38"/>
      <c r="C679" s="38"/>
      <c r="D679" s="39"/>
      <c r="E679" s="39"/>
      <c r="F679" s="38"/>
      <c r="G679" s="38"/>
      <c r="H679" s="38"/>
      <c r="I679" s="38"/>
      <c r="J679" s="38"/>
      <c r="K679" s="38"/>
      <c r="L679" s="38"/>
      <c r="M679" s="38"/>
      <c r="N679" s="38"/>
      <c r="O679" s="38"/>
      <c r="P679" s="38"/>
      <c r="Q679" s="38"/>
      <c r="R679" s="38"/>
      <c r="S679" s="38"/>
      <c r="T679" s="38"/>
      <c r="U679" s="38"/>
      <c r="V679" s="38"/>
      <c r="W679" s="38"/>
      <c r="X679" s="38"/>
      <c r="Y679" s="38"/>
      <c r="Z679" s="38"/>
    </row>
    <row r="680" spans="1:26">
      <c r="A680" s="35"/>
      <c r="B680" s="38"/>
      <c r="C680" s="38"/>
      <c r="D680" s="39"/>
      <c r="E680" s="39"/>
      <c r="F680" s="38"/>
      <c r="G680" s="38"/>
      <c r="H680" s="38"/>
      <c r="I680" s="38"/>
      <c r="J680" s="38"/>
      <c r="K680" s="38"/>
      <c r="L680" s="38"/>
      <c r="M680" s="38"/>
      <c r="N680" s="38"/>
      <c r="O680" s="38"/>
      <c r="P680" s="38"/>
      <c r="Q680" s="38"/>
      <c r="R680" s="38"/>
      <c r="S680" s="38"/>
      <c r="T680" s="38"/>
      <c r="U680" s="38"/>
      <c r="V680" s="38"/>
      <c r="W680" s="38"/>
      <c r="X680" s="38"/>
      <c r="Y680" s="38"/>
      <c r="Z680" s="38"/>
    </row>
    <row r="681" spans="1:26">
      <c r="A681" s="35"/>
      <c r="B681" s="38"/>
      <c r="C681" s="38"/>
      <c r="D681" s="39"/>
      <c r="E681" s="39"/>
      <c r="F681" s="38"/>
      <c r="G681" s="38"/>
      <c r="H681" s="38"/>
      <c r="I681" s="38"/>
      <c r="J681" s="38"/>
      <c r="K681" s="38"/>
      <c r="L681" s="38"/>
      <c r="M681" s="38"/>
      <c r="N681" s="38"/>
      <c r="O681" s="38"/>
      <c r="P681" s="38"/>
      <c r="Q681" s="38"/>
      <c r="R681" s="38"/>
      <c r="S681" s="38"/>
      <c r="T681" s="38"/>
      <c r="U681" s="38"/>
      <c r="V681" s="38"/>
      <c r="W681" s="38"/>
      <c r="X681" s="38"/>
      <c r="Y681" s="38"/>
      <c r="Z681" s="38"/>
    </row>
    <row r="682" spans="1:26">
      <c r="A682" s="35"/>
      <c r="B682" s="38"/>
      <c r="C682" s="38"/>
      <c r="D682" s="39"/>
      <c r="E682" s="39"/>
      <c r="F682" s="38"/>
      <c r="G682" s="38"/>
      <c r="H682" s="38"/>
      <c r="I682" s="38"/>
      <c r="J682" s="38"/>
      <c r="K682" s="38"/>
      <c r="L682" s="38"/>
      <c r="M682" s="38"/>
      <c r="N682" s="38"/>
      <c r="O682" s="38"/>
      <c r="P682" s="38"/>
      <c r="Q682" s="38"/>
      <c r="R682" s="38"/>
      <c r="S682" s="38"/>
      <c r="T682" s="38"/>
      <c r="U682" s="38"/>
      <c r="V682" s="38"/>
      <c r="W682" s="38"/>
      <c r="X682" s="38"/>
      <c r="Y682" s="38"/>
      <c r="Z682" s="38"/>
    </row>
    <row r="683" spans="1:26">
      <c r="A683" s="35"/>
      <c r="B683" s="38"/>
      <c r="C683" s="38"/>
      <c r="D683" s="39"/>
      <c r="E683" s="39"/>
      <c r="F683" s="38"/>
      <c r="G683" s="38"/>
      <c r="H683" s="38"/>
      <c r="I683" s="38"/>
      <c r="J683" s="38"/>
      <c r="K683" s="38"/>
      <c r="L683" s="38"/>
      <c r="M683" s="38"/>
      <c r="N683" s="38"/>
      <c r="O683" s="38"/>
      <c r="P683" s="38"/>
      <c r="Q683" s="38"/>
      <c r="R683" s="38"/>
      <c r="S683" s="38"/>
      <c r="T683" s="38"/>
      <c r="U683" s="38"/>
      <c r="V683" s="38"/>
      <c r="W683" s="38"/>
      <c r="X683" s="38"/>
      <c r="Y683" s="38"/>
      <c r="Z683" s="38"/>
    </row>
    <row r="684" spans="1:26">
      <c r="A684" s="35"/>
      <c r="B684" s="38"/>
      <c r="C684" s="38"/>
      <c r="D684" s="39"/>
      <c r="E684" s="39"/>
      <c r="F684" s="38"/>
      <c r="G684" s="38"/>
      <c r="H684" s="38"/>
      <c r="I684" s="38"/>
      <c r="J684" s="38"/>
      <c r="K684" s="38"/>
      <c r="L684" s="38"/>
      <c r="M684" s="38"/>
      <c r="N684" s="38"/>
      <c r="O684" s="38"/>
      <c r="P684" s="38"/>
      <c r="Q684" s="38"/>
      <c r="R684" s="38"/>
      <c r="S684" s="38"/>
      <c r="T684" s="38"/>
      <c r="U684" s="38"/>
      <c r="V684" s="38"/>
      <c r="W684" s="38"/>
      <c r="X684" s="38"/>
      <c r="Y684" s="38"/>
      <c r="Z684" s="38"/>
    </row>
    <row r="685" spans="1:26">
      <c r="A685" s="35"/>
      <c r="B685" s="38"/>
      <c r="C685" s="38"/>
      <c r="D685" s="39"/>
      <c r="E685" s="39"/>
      <c r="F685" s="38"/>
      <c r="G685" s="38"/>
      <c r="H685" s="38"/>
      <c r="I685" s="38"/>
      <c r="J685" s="38"/>
      <c r="K685" s="38"/>
      <c r="L685" s="38"/>
      <c r="M685" s="38"/>
      <c r="N685" s="38"/>
      <c r="O685" s="38"/>
      <c r="P685" s="38"/>
      <c r="Q685" s="38"/>
      <c r="R685" s="38"/>
      <c r="S685" s="38"/>
      <c r="T685" s="38"/>
      <c r="U685" s="38"/>
      <c r="V685" s="38"/>
      <c r="W685" s="38"/>
      <c r="X685" s="38"/>
      <c r="Y685" s="38"/>
      <c r="Z685" s="38"/>
    </row>
    <row r="686" spans="1:26">
      <c r="A686" s="35"/>
      <c r="B686" s="38"/>
      <c r="C686" s="38"/>
      <c r="D686" s="39"/>
      <c r="E686" s="39"/>
      <c r="F686" s="38"/>
      <c r="G686" s="38"/>
      <c r="H686" s="38"/>
      <c r="I686" s="38"/>
      <c r="J686" s="38"/>
      <c r="K686" s="38"/>
      <c r="L686" s="38"/>
      <c r="M686" s="38"/>
      <c r="N686" s="38"/>
      <c r="O686" s="38"/>
      <c r="P686" s="38"/>
      <c r="Q686" s="38"/>
      <c r="R686" s="38"/>
      <c r="S686" s="38"/>
      <c r="T686" s="38"/>
      <c r="U686" s="38"/>
      <c r="V686" s="38"/>
      <c r="W686" s="38"/>
      <c r="X686" s="38"/>
      <c r="Y686" s="38"/>
      <c r="Z686" s="38"/>
    </row>
    <row r="687" spans="1:26">
      <c r="A687" s="35"/>
      <c r="B687" s="38"/>
      <c r="C687" s="38"/>
      <c r="D687" s="39"/>
      <c r="E687" s="39"/>
      <c r="F687" s="38"/>
      <c r="G687" s="38"/>
      <c r="H687" s="38"/>
      <c r="I687" s="38"/>
      <c r="J687" s="38"/>
      <c r="K687" s="38"/>
      <c r="L687" s="38"/>
      <c r="M687" s="38"/>
      <c r="N687" s="38"/>
      <c r="O687" s="38"/>
      <c r="P687" s="38"/>
      <c r="Q687" s="38"/>
      <c r="R687" s="38"/>
      <c r="S687" s="38"/>
      <c r="T687" s="38"/>
      <c r="U687" s="38"/>
      <c r="V687" s="38"/>
      <c r="W687" s="38"/>
      <c r="X687" s="38"/>
      <c r="Y687" s="38"/>
      <c r="Z687" s="38"/>
    </row>
    <row r="688" spans="1:26">
      <c r="A688" s="35"/>
      <c r="B688" s="38"/>
      <c r="C688" s="38"/>
      <c r="D688" s="39"/>
      <c r="E688" s="39"/>
      <c r="F688" s="38"/>
      <c r="G688" s="38"/>
      <c r="H688" s="38"/>
      <c r="I688" s="38"/>
      <c r="J688" s="38"/>
      <c r="K688" s="38"/>
      <c r="L688" s="38"/>
      <c r="M688" s="38"/>
      <c r="N688" s="38"/>
      <c r="O688" s="38"/>
      <c r="P688" s="38"/>
      <c r="Q688" s="38"/>
      <c r="R688" s="38"/>
      <c r="S688" s="38"/>
      <c r="T688" s="38"/>
      <c r="U688" s="38"/>
      <c r="V688" s="38"/>
      <c r="W688" s="38"/>
      <c r="X688" s="38"/>
      <c r="Y688" s="38"/>
      <c r="Z688" s="38"/>
    </row>
    <row r="689" spans="1:26">
      <c r="A689" s="35"/>
      <c r="B689" s="38"/>
      <c r="C689" s="38"/>
      <c r="D689" s="39"/>
      <c r="E689" s="39"/>
      <c r="F689" s="38"/>
      <c r="G689" s="38"/>
      <c r="H689" s="38"/>
      <c r="I689" s="38"/>
      <c r="J689" s="38"/>
      <c r="K689" s="38"/>
      <c r="L689" s="38"/>
      <c r="M689" s="38"/>
      <c r="N689" s="38"/>
      <c r="O689" s="38"/>
      <c r="P689" s="38"/>
      <c r="Q689" s="38"/>
      <c r="R689" s="38"/>
      <c r="S689" s="38"/>
      <c r="T689" s="38"/>
      <c r="U689" s="38"/>
      <c r="V689" s="38"/>
      <c r="W689" s="38"/>
      <c r="X689" s="38"/>
      <c r="Y689" s="38"/>
      <c r="Z689" s="38"/>
    </row>
    <row r="690" spans="1:26">
      <c r="A690" s="35"/>
      <c r="B690" s="38"/>
      <c r="C690" s="38"/>
      <c r="D690" s="39"/>
      <c r="E690" s="39"/>
      <c r="F690" s="38"/>
      <c r="G690" s="38"/>
      <c r="H690" s="38"/>
      <c r="I690" s="38"/>
      <c r="J690" s="38"/>
      <c r="K690" s="38"/>
      <c r="L690" s="38"/>
      <c r="M690" s="38"/>
      <c r="N690" s="38"/>
      <c r="O690" s="38"/>
      <c r="P690" s="38"/>
      <c r="Q690" s="38"/>
      <c r="R690" s="38"/>
      <c r="S690" s="38"/>
      <c r="T690" s="38"/>
      <c r="U690" s="38"/>
      <c r="V690" s="38"/>
      <c r="W690" s="38"/>
      <c r="X690" s="38"/>
      <c r="Y690" s="38"/>
      <c r="Z690" s="38"/>
    </row>
    <row r="691" spans="1:26">
      <c r="A691" s="35"/>
      <c r="B691" s="38"/>
      <c r="C691" s="38"/>
      <c r="D691" s="39"/>
      <c r="E691" s="39"/>
      <c r="F691" s="38"/>
      <c r="G691" s="38"/>
      <c r="H691" s="38"/>
      <c r="I691" s="38"/>
      <c r="J691" s="38"/>
      <c r="K691" s="38"/>
      <c r="L691" s="38"/>
      <c r="M691" s="38"/>
      <c r="N691" s="38"/>
      <c r="O691" s="38"/>
      <c r="P691" s="38"/>
      <c r="Q691" s="38"/>
      <c r="R691" s="38"/>
      <c r="S691" s="38"/>
      <c r="T691" s="38"/>
      <c r="U691" s="38"/>
      <c r="V691" s="38"/>
      <c r="W691" s="38"/>
      <c r="X691" s="38"/>
      <c r="Y691" s="38"/>
      <c r="Z691" s="38"/>
    </row>
    <row r="692" spans="1:26">
      <c r="A692" s="35"/>
      <c r="B692" s="38"/>
      <c r="C692" s="38"/>
      <c r="D692" s="39"/>
      <c r="E692" s="39"/>
      <c r="F692" s="38"/>
      <c r="G692" s="38"/>
      <c r="H692" s="38"/>
      <c r="I692" s="38"/>
      <c r="J692" s="38"/>
      <c r="K692" s="38"/>
      <c r="L692" s="38"/>
      <c r="M692" s="38"/>
      <c r="N692" s="38"/>
      <c r="O692" s="38"/>
      <c r="P692" s="38"/>
      <c r="Q692" s="38"/>
      <c r="R692" s="38"/>
      <c r="S692" s="38"/>
      <c r="T692" s="38"/>
      <c r="U692" s="38"/>
      <c r="V692" s="38"/>
      <c r="W692" s="38"/>
      <c r="X692" s="38"/>
      <c r="Y692" s="38"/>
      <c r="Z692" s="38"/>
    </row>
    <row r="693" spans="1:26">
      <c r="A693" s="35"/>
      <c r="B693" s="38"/>
      <c r="C693" s="38"/>
      <c r="D693" s="39"/>
      <c r="E693" s="39"/>
      <c r="F693" s="38"/>
      <c r="G693" s="38"/>
      <c r="H693" s="38"/>
      <c r="I693" s="38"/>
      <c r="J693" s="38"/>
      <c r="K693" s="38"/>
      <c r="L693" s="38"/>
      <c r="M693" s="38"/>
      <c r="N693" s="38"/>
      <c r="O693" s="38"/>
      <c r="P693" s="38"/>
      <c r="Q693" s="38"/>
      <c r="R693" s="38"/>
      <c r="S693" s="38"/>
      <c r="T693" s="38"/>
      <c r="U693" s="38"/>
      <c r="V693" s="38"/>
      <c r="W693" s="38"/>
      <c r="X693" s="38"/>
      <c r="Y693" s="38"/>
      <c r="Z693" s="38"/>
    </row>
    <row r="694" spans="1:26">
      <c r="A694" s="35"/>
      <c r="B694" s="38"/>
      <c r="C694" s="38"/>
      <c r="D694" s="39"/>
      <c r="E694" s="39"/>
      <c r="F694" s="38"/>
      <c r="G694" s="38"/>
      <c r="H694" s="38"/>
      <c r="I694" s="38"/>
      <c r="J694" s="38"/>
      <c r="K694" s="38"/>
      <c r="L694" s="38"/>
      <c r="M694" s="38"/>
      <c r="N694" s="38"/>
      <c r="O694" s="38"/>
      <c r="P694" s="38"/>
      <c r="Q694" s="38"/>
      <c r="R694" s="38"/>
      <c r="S694" s="38"/>
      <c r="T694" s="38"/>
      <c r="U694" s="38"/>
      <c r="V694" s="38"/>
      <c r="W694" s="38"/>
      <c r="X694" s="38"/>
      <c r="Y694" s="38"/>
      <c r="Z694" s="38"/>
    </row>
    <row r="695" spans="1:26">
      <c r="A695" s="35"/>
      <c r="B695" s="38"/>
      <c r="C695" s="38"/>
      <c r="D695" s="39"/>
      <c r="E695" s="39"/>
      <c r="F695" s="38"/>
      <c r="G695" s="38"/>
      <c r="H695" s="38"/>
      <c r="I695" s="38"/>
      <c r="J695" s="38"/>
      <c r="K695" s="38"/>
      <c r="L695" s="38"/>
      <c r="M695" s="38"/>
      <c r="N695" s="38"/>
      <c r="O695" s="38"/>
      <c r="P695" s="38"/>
      <c r="Q695" s="38"/>
      <c r="R695" s="38"/>
      <c r="S695" s="38"/>
      <c r="T695" s="38"/>
      <c r="U695" s="38"/>
      <c r="V695" s="38"/>
      <c r="W695" s="38"/>
      <c r="X695" s="38"/>
      <c r="Y695" s="38"/>
      <c r="Z695" s="38"/>
    </row>
    <row r="696" spans="1:26">
      <c r="A696" s="35"/>
      <c r="B696" s="38"/>
      <c r="C696" s="38"/>
      <c r="D696" s="39"/>
      <c r="E696" s="39"/>
      <c r="F696" s="38"/>
      <c r="G696" s="38"/>
      <c r="H696" s="38"/>
      <c r="I696" s="38"/>
      <c r="J696" s="38"/>
      <c r="K696" s="38"/>
      <c r="L696" s="38"/>
      <c r="M696" s="38"/>
      <c r="N696" s="38"/>
      <c r="O696" s="38"/>
      <c r="P696" s="38"/>
      <c r="Q696" s="38"/>
      <c r="R696" s="38"/>
      <c r="S696" s="38"/>
      <c r="T696" s="38"/>
      <c r="U696" s="38"/>
      <c r="V696" s="38"/>
      <c r="W696" s="38"/>
      <c r="X696" s="38"/>
      <c r="Y696" s="38"/>
      <c r="Z696" s="38"/>
    </row>
    <row r="697" spans="1:26">
      <c r="A697" s="35"/>
      <c r="B697" s="38"/>
      <c r="C697" s="38"/>
      <c r="D697" s="39"/>
      <c r="E697" s="39"/>
      <c r="F697" s="38"/>
      <c r="G697" s="38"/>
      <c r="H697" s="38"/>
      <c r="I697" s="38"/>
      <c r="J697" s="38"/>
      <c r="K697" s="38"/>
      <c r="L697" s="38"/>
      <c r="M697" s="38"/>
      <c r="N697" s="38"/>
      <c r="O697" s="38"/>
      <c r="P697" s="38"/>
      <c r="Q697" s="38"/>
      <c r="R697" s="38"/>
      <c r="S697" s="38"/>
      <c r="T697" s="38"/>
      <c r="U697" s="38"/>
      <c r="V697" s="38"/>
      <c r="W697" s="38"/>
      <c r="X697" s="38"/>
      <c r="Y697" s="38"/>
      <c r="Z697" s="38"/>
    </row>
    <row r="698" spans="1:26">
      <c r="A698" s="35"/>
      <c r="B698" s="38"/>
      <c r="C698" s="38"/>
      <c r="D698" s="39"/>
      <c r="E698" s="39"/>
      <c r="F698" s="38"/>
      <c r="G698" s="38"/>
      <c r="H698" s="38"/>
      <c r="I698" s="38"/>
      <c r="J698" s="38"/>
      <c r="K698" s="38"/>
      <c r="L698" s="38"/>
      <c r="M698" s="38"/>
      <c r="N698" s="38"/>
      <c r="O698" s="38"/>
      <c r="P698" s="38"/>
      <c r="Q698" s="38"/>
      <c r="R698" s="38"/>
      <c r="S698" s="38"/>
      <c r="T698" s="38"/>
      <c r="U698" s="38"/>
      <c r="V698" s="38"/>
      <c r="W698" s="38"/>
      <c r="X698" s="38"/>
      <c r="Y698" s="38"/>
      <c r="Z698" s="38"/>
    </row>
    <row r="699" spans="1:26">
      <c r="A699" s="35"/>
      <c r="B699" s="38"/>
      <c r="C699" s="38"/>
      <c r="D699" s="39"/>
      <c r="E699" s="39"/>
      <c r="F699" s="38"/>
      <c r="G699" s="38"/>
      <c r="H699" s="38"/>
      <c r="I699" s="38"/>
      <c r="J699" s="38"/>
      <c r="K699" s="38"/>
      <c r="L699" s="38"/>
      <c r="M699" s="38"/>
      <c r="N699" s="38"/>
      <c r="O699" s="38"/>
      <c r="P699" s="38"/>
      <c r="Q699" s="38"/>
      <c r="R699" s="38"/>
      <c r="S699" s="38"/>
      <c r="T699" s="38"/>
      <c r="U699" s="38"/>
      <c r="V699" s="38"/>
      <c r="W699" s="38"/>
      <c r="X699" s="38"/>
      <c r="Y699" s="38"/>
      <c r="Z699" s="38"/>
    </row>
    <row r="700" spans="1:26">
      <c r="A700" s="35"/>
      <c r="B700" s="38"/>
      <c r="C700" s="38"/>
      <c r="D700" s="39"/>
      <c r="E700" s="39"/>
      <c r="F700" s="38"/>
      <c r="G700" s="38"/>
      <c r="H700" s="38"/>
      <c r="I700" s="38"/>
      <c r="J700" s="38"/>
      <c r="K700" s="38"/>
      <c r="L700" s="38"/>
      <c r="M700" s="38"/>
      <c r="N700" s="38"/>
      <c r="O700" s="38"/>
      <c r="P700" s="38"/>
      <c r="Q700" s="38"/>
      <c r="R700" s="38"/>
      <c r="S700" s="38"/>
      <c r="T700" s="38"/>
      <c r="U700" s="38"/>
      <c r="V700" s="38"/>
      <c r="W700" s="38"/>
      <c r="X700" s="38"/>
      <c r="Y700" s="38"/>
      <c r="Z700" s="38"/>
    </row>
    <row r="701" spans="1:26">
      <c r="A701" s="35"/>
      <c r="B701" s="38"/>
      <c r="C701" s="38"/>
      <c r="D701" s="39"/>
      <c r="E701" s="39"/>
      <c r="F701" s="38"/>
      <c r="G701" s="38"/>
      <c r="H701" s="38"/>
      <c r="I701" s="38"/>
      <c r="J701" s="38"/>
      <c r="K701" s="38"/>
      <c r="L701" s="38"/>
      <c r="M701" s="38"/>
      <c r="N701" s="38"/>
      <c r="O701" s="38"/>
      <c r="P701" s="38"/>
      <c r="Q701" s="38"/>
      <c r="R701" s="38"/>
      <c r="S701" s="38"/>
      <c r="T701" s="38"/>
      <c r="U701" s="38"/>
      <c r="V701" s="38"/>
      <c r="W701" s="38"/>
      <c r="X701" s="38"/>
      <c r="Y701" s="38"/>
      <c r="Z701" s="38"/>
    </row>
    <row r="702" spans="1:26">
      <c r="A702" s="35"/>
      <c r="B702" s="38"/>
      <c r="C702" s="38"/>
      <c r="D702" s="39"/>
      <c r="E702" s="39"/>
      <c r="F702" s="38"/>
      <c r="G702" s="38"/>
      <c r="H702" s="38"/>
      <c r="I702" s="38"/>
      <c r="J702" s="38"/>
      <c r="K702" s="38"/>
      <c r="L702" s="38"/>
      <c r="M702" s="38"/>
      <c r="N702" s="38"/>
      <c r="O702" s="38"/>
      <c r="P702" s="38"/>
      <c r="Q702" s="38"/>
      <c r="R702" s="38"/>
      <c r="S702" s="38"/>
      <c r="T702" s="38"/>
      <c r="U702" s="38"/>
      <c r="V702" s="38"/>
      <c r="W702" s="38"/>
      <c r="X702" s="38"/>
      <c r="Y702" s="38"/>
      <c r="Z702" s="38"/>
    </row>
    <row r="703" spans="1:26">
      <c r="A703" s="35"/>
      <c r="B703" s="38"/>
      <c r="C703" s="38"/>
      <c r="D703" s="39"/>
      <c r="E703" s="39"/>
      <c r="F703" s="38"/>
      <c r="G703" s="38"/>
      <c r="H703" s="38"/>
      <c r="I703" s="38"/>
      <c r="J703" s="38"/>
      <c r="K703" s="38"/>
      <c r="L703" s="38"/>
      <c r="M703" s="38"/>
      <c r="N703" s="38"/>
      <c r="O703" s="38"/>
      <c r="P703" s="38"/>
      <c r="Q703" s="38"/>
      <c r="R703" s="38"/>
      <c r="S703" s="38"/>
      <c r="T703" s="38"/>
      <c r="U703" s="38"/>
      <c r="V703" s="38"/>
      <c r="W703" s="38"/>
      <c r="X703" s="38"/>
      <c r="Y703" s="38"/>
      <c r="Z703" s="38"/>
    </row>
    <row r="704" spans="1:26">
      <c r="A704" s="35"/>
      <c r="B704" s="38"/>
      <c r="C704" s="38"/>
      <c r="D704" s="39"/>
      <c r="E704" s="39"/>
      <c r="F704" s="38"/>
      <c r="G704" s="38"/>
      <c r="H704" s="38"/>
      <c r="I704" s="38"/>
      <c r="J704" s="38"/>
      <c r="K704" s="38"/>
      <c r="L704" s="38"/>
      <c r="M704" s="38"/>
      <c r="N704" s="38"/>
      <c r="O704" s="38"/>
      <c r="P704" s="38"/>
      <c r="Q704" s="38"/>
      <c r="R704" s="38"/>
      <c r="S704" s="38"/>
      <c r="T704" s="38"/>
      <c r="U704" s="38"/>
      <c r="V704" s="38"/>
      <c r="W704" s="38"/>
      <c r="X704" s="38"/>
      <c r="Y704" s="38"/>
      <c r="Z704" s="38"/>
    </row>
    <row r="705" spans="1:26">
      <c r="A705" s="35"/>
      <c r="B705" s="38"/>
      <c r="C705" s="38"/>
      <c r="D705" s="39"/>
      <c r="E705" s="39"/>
      <c r="F705" s="38"/>
      <c r="G705" s="38"/>
      <c r="H705" s="38"/>
      <c r="I705" s="38"/>
      <c r="J705" s="38"/>
      <c r="K705" s="38"/>
      <c r="L705" s="38"/>
      <c r="M705" s="38"/>
      <c r="N705" s="38"/>
      <c r="O705" s="38"/>
      <c r="P705" s="38"/>
      <c r="Q705" s="38"/>
      <c r="R705" s="38"/>
      <c r="S705" s="38"/>
      <c r="T705" s="38"/>
      <c r="U705" s="38"/>
      <c r="V705" s="38"/>
      <c r="W705" s="38"/>
      <c r="X705" s="38"/>
      <c r="Y705" s="38"/>
      <c r="Z705" s="38"/>
    </row>
    <row r="706" spans="1:26">
      <c r="A706" s="35"/>
      <c r="B706" s="38"/>
      <c r="C706" s="38"/>
      <c r="D706" s="39"/>
      <c r="E706" s="39"/>
      <c r="F706" s="38"/>
      <c r="G706" s="38"/>
      <c r="H706" s="38"/>
      <c r="I706" s="38"/>
      <c r="J706" s="38"/>
      <c r="K706" s="38"/>
      <c r="L706" s="38"/>
      <c r="M706" s="38"/>
      <c r="N706" s="38"/>
      <c r="O706" s="38"/>
      <c r="P706" s="38"/>
      <c r="Q706" s="38"/>
      <c r="R706" s="38"/>
      <c r="S706" s="38"/>
      <c r="T706" s="38"/>
      <c r="U706" s="38"/>
      <c r="V706" s="38"/>
      <c r="W706" s="38"/>
      <c r="X706" s="38"/>
      <c r="Y706" s="38"/>
      <c r="Z706" s="38"/>
    </row>
    <row r="707" spans="1:26">
      <c r="A707" s="35"/>
      <c r="B707" s="38"/>
      <c r="C707" s="38"/>
      <c r="D707" s="39"/>
      <c r="E707" s="39"/>
      <c r="F707" s="38"/>
      <c r="G707" s="38"/>
      <c r="H707" s="38"/>
      <c r="I707" s="38"/>
      <c r="J707" s="38"/>
      <c r="K707" s="38"/>
      <c r="L707" s="38"/>
      <c r="M707" s="38"/>
      <c r="N707" s="38"/>
      <c r="O707" s="38"/>
      <c r="P707" s="38"/>
      <c r="Q707" s="38"/>
      <c r="R707" s="38"/>
      <c r="S707" s="38"/>
      <c r="T707" s="38"/>
      <c r="U707" s="38"/>
      <c r="V707" s="38"/>
      <c r="W707" s="38"/>
      <c r="X707" s="38"/>
      <c r="Y707" s="38"/>
      <c r="Z707" s="38"/>
    </row>
    <row r="708" spans="1:26">
      <c r="A708" s="35"/>
      <c r="B708" s="38"/>
      <c r="C708" s="38"/>
      <c r="D708" s="39"/>
      <c r="E708" s="39"/>
      <c r="F708" s="38"/>
      <c r="G708" s="38"/>
      <c r="H708" s="38"/>
      <c r="I708" s="38"/>
      <c r="J708" s="38"/>
      <c r="K708" s="38"/>
      <c r="L708" s="38"/>
      <c r="M708" s="38"/>
      <c r="N708" s="38"/>
      <c r="O708" s="38"/>
      <c r="P708" s="38"/>
      <c r="Q708" s="38"/>
      <c r="R708" s="38"/>
      <c r="S708" s="38"/>
      <c r="T708" s="38"/>
      <c r="U708" s="38"/>
      <c r="V708" s="38"/>
      <c r="W708" s="38"/>
      <c r="X708" s="38"/>
      <c r="Y708" s="38"/>
      <c r="Z708" s="38"/>
    </row>
    <row r="709" spans="1:26">
      <c r="A709" s="35"/>
      <c r="B709" s="38"/>
      <c r="C709" s="38"/>
      <c r="D709" s="39"/>
      <c r="E709" s="39"/>
      <c r="F709" s="38"/>
      <c r="G709" s="38"/>
      <c r="H709" s="38"/>
      <c r="I709" s="38"/>
      <c r="J709" s="38"/>
      <c r="K709" s="38"/>
      <c r="L709" s="38"/>
      <c r="M709" s="38"/>
      <c r="N709" s="38"/>
      <c r="O709" s="38"/>
      <c r="P709" s="38"/>
      <c r="Q709" s="38"/>
      <c r="R709" s="38"/>
      <c r="S709" s="38"/>
      <c r="T709" s="38"/>
      <c r="U709" s="38"/>
      <c r="V709" s="38"/>
      <c r="W709" s="38"/>
      <c r="X709" s="38"/>
      <c r="Y709" s="38"/>
      <c r="Z709" s="38"/>
    </row>
    <row r="710" spans="1:26">
      <c r="A710" s="35"/>
      <c r="B710" s="38"/>
      <c r="C710" s="38"/>
      <c r="D710" s="39"/>
      <c r="E710" s="39"/>
      <c r="F710" s="38"/>
      <c r="G710" s="38"/>
      <c r="H710" s="38"/>
      <c r="I710" s="38"/>
      <c r="J710" s="38"/>
      <c r="K710" s="38"/>
      <c r="L710" s="38"/>
      <c r="M710" s="38"/>
      <c r="N710" s="38"/>
      <c r="O710" s="38"/>
      <c r="P710" s="38"/>
      <c r="Q710" s="38"/>
      <c r="R710" s="38"/>
      <c r="S710" s="38"/>
      <c r="T710" s="38"/>
      <c r="U710" s="38"/>
      <c r="V710" s="38"/>
      <c r="W710" s="38"/>
      <c r="X710" s="38"/>
      <c r="Y710" s="38"/>
      <c r="Z710" s="38"/>
    </row>
    <row r="711" spans="1:26">
      <c r="A711" s="35"/>
      <c r="B711" s="38"/>
      <c r="C711" s="38"/>
      <c r="D711" s="39"/>
      <c r="E711" s="39"/>
      <c r="F711" s="38"/>
      <c r="G711" s="38"/>
      <c r="H711" s="38"/>
      <c r="I711" s="38"/>
      <c r="J711" s="38"/>
      <c r="K711" s="38"/>
      <c r="L711" s="38"/>
      <c r="M711" s="38"/>
      <c r="N711" s="38"/>
      <c r="O711" s="38"/>
      <c r="P711" s="38"/>
      <c r="Q711" s="38"/>
      <c r="R711" s="38"/>
      <c r="S711" s="38"/>
      <c r="T711" s="38"/>
      <c r="U711" s="38"/>
      <c r="V711" s="38"/>
      <c r="W711" s="38"/>
      <c r="X711" s="38"/>
      <c r="Y711" s="38"/>
      <c r="Z711" s="38"/>
    </row>
    <row r="712" spans="1:26">
      <c r="A712" s="35"/>
      <c r="B712" s="38"/>
      <c r="C712" s="38"/>
      <c r="D712" s="39"/>
      <c r="E712" s="39"/>
      <c r="F712" s="38"/>
      <c r="G712" s="38"/>
      <c r="H712" s="38"/>
      <c r="I712" s="38"/>
      <c r="J712" s="38"/>
      <c r="K712" s="38"/>
      <c r="L712" s="38"/>
      <c r="M712" s="38"/>
      <c r="N712" s="38"/>
      <c r="O712" s="38"/>
      <c r="P712" s="38"/>
      <c r="Q712" s="38"/>
      <c r="R712" s="38"/>
      <c r="S712" s="38"/>
      <c r="T712" s="38"/>
      <c r="U712" s="38"/>
      <c r="V712" s="38"/>
      <c r="W712" s="38"/>
      <c r="X712" s="38"/>
      <c r="Y712" s="38"/>
      <c r="Z712" s="38"/>
    </row>
    <row r="713" spans="1:26">
      <c r="A713" s="35"/>
      <c r="B713" s="38"/>
      <c r="C713" s="38"/>
      <c r="D713" s="39"/>
      <c r="E713" s="39"/>
      <c r="F713" s="38"/>
      <c r="G713" s="38"/>
      <c r="H713" s="38"/>
      <c r="I713" s="38"/>
      <c r="J713" s="38"/>
      <c r="K713" s="38"/>
      <c r="L713" s="38"/>
      <c r="M713" s="38"/>
      <c r="N713" s="38"/>
      <c r="O713" s="38"/>
      <c r="P713" s="38"/>
      <c r="Q713" s="38"/>
      <c r="R713" s="38"/>
      <c r="S713" s="38"/>
      <c r="T713" s="38"/>
      <c r="U713" s="38"/>
      <c r="V713" s="38"/>
      <c r="W713" s="38"/>
      <c r="X713" s="38"/>
      <c r="Y713" s="38"/>
      <c r="Z713" s="38"/>
    </row>
    <row r="714" spans="1:26">
      <c r="A714" s="35"/>
      <c r="B714" s="38"/>
      <c r="C714" s="38"/>
      <c r="D714" s="39"/>
      <c r="E714" s="39"/>
      <c r="F714" s="38"/>
      <c r="G714" s="38"/>
      <c r="H714" s="38"/>
      <c r="I714" s="38"/>
      <c r="J714" s="38"/>
      <c r="K714" s="38"/>
      <c r="L714" s="38"/>
      <c r="M714" s="38"/>
      <c r="N714" s="38"/>
      <c r="O714" s="38"/>
      <c r="P714" s="38"/>
      <c r="Q714" s="38"/>
      <c r="R714" s="38"/>
      <c r="S714" s="38"/>
      <c r="T714" s="38"/>
      <c r="U714" s="38"/>
      <c r="V714" s="38"/>
      <c r="W714" s="38"/>
      <c r="X714" s="38"/>
      <c r="Y714" s="38"/>
      <c r="Z714" s="38"/>
    </row>
    <row r="715" spans="1:26">
      <c r="A715" s="35"/>
      <c r="B715" s="38"/>
      <c r="C715" s="38"/>
      <c r="D715" s="39"/>
      <c r="E715" s="39"/>
      <c r="F715" s="38"/>
      <c r="G715" s="38"/>
      <c r="H715" s="38"/>
      <c r="I715" s="38"/>
      <c r="J715" s="38"/>
      <c r="K715" s="38"/>
      <c r="L715" s="38"/>
      <c r="M715" s="38"/>
      <c r="N715" s="38"/>
      <c r="O715" s="38"/>
      <c r="P715" s="38"/>
      <c r="Q715" s="38"/>
      <c r="R715" s="38"/>
      <c r="S715" s="38"/>
      <c r="T715" s="38"/>
      <c r="U715" s="38"/>
      <c r="V715" s="38"/>
      <c r="W715" s="38"/>
      <c r="X715" s="38"/>
      <c r="Y715" s="38"/>
      <c r="Z715" s="38"/>
    </row>
    <row r="716" spans="1:26">
      <c r="A716" s="35"/>
      <c r="B716" s="38"/>
      <c r="C716" s="38"/>
      <c r="D716" s="39"/>
      <c r="E716" s="39"/>
      <c r="F716" s="38"/>
      <c r="G716" s="38"/>
      <c r="H716" s="38"/>
      <c r="I716" s="38"/>
      <c r="J716" s="38"/>
      <c r="K716" s="38"/>
      <c r="L716" s="38"/>
      <c r="M716" s="38"/>
      <c r="N716" s="38"/>
      <c r="O716" s="38"/>
      <c r="P716" s="38"/>
      <c r="Q716" s="38"/>
      <c r="R716" s="38"/>
      <c r="S716" s="38"/>
      <c r="T716" s="38"/>
      <c r="U716" s="38"/>
      <c r="V716" s="38"/>
      <c r="W716" s="38"/>
      <c r="X716" s="38"/>
      <c r="Y716" s="38"/>
      <c r="Z716" s="38"/>
    </row>
    <row r="717" spans="1:26">
      <c r="A717" s="35"/>
      <c r="B717" s="38"/>
      <c r="C717" s="38"/>
      <c r="D717" s="39"/>
      <c r="E717" s="39"/>
      <c r="F717" s="38"/>
      <c r="G717" s="38"/>
      <c r="H717" s="38"/>
      <c r="I717" s="38"/>
      <c r="J717" s="38"/>
      <c r="K717" s="38"/>
      <c r="L717" s="38"/>
      <c r="M717" s="38"/>
      <c r="N717" s="38"/>
      <c r="O717" s="38"/>
      <c r="P717" s="38"/>
      <c r="Q717" s="38"/>
      <c r="R717" s="38"/>
      <c r="S717" s="38"/>
      <c r="T717" s="38"/>
      <c r="U717" s="38"/>
      <c r="V717" s="38"/>
      <c r="W717" s="38"/>
      <c r="X717" s="38"/>
      <c r="Y717" s="38"/>
      <c r="Z717" s="38"/>
    </row>
    <row r="718" spans="1:26">
      <c r="A718" s="35"/>
      <c r="B718" s="38"/>
      <c r="C718" s="38"/>
      <c r="D718" s="39"/>
      <c r="E718" s="39"/>
      <c r="F718" s="38"/>
      <c r="G718" s="38"/>
      <c r="H718" s="38"/>
      <c r="I718" s="38"/>
      <c r="J718" s="38"/>
      <c r="K718" s="38"/>
      <c r="L718" s="38"/>
      <c r="M718" s="38"/>
      <c r="N718" s="38"/>
      <c r="O718" s="38"/>
      <c r="P718" s="38"/>
      <c r="Q718" s="38"/>
      <c r="R718" s="38"/>
      <c r="S718" s="38"/>
      <c r="T718" s="38"/>
      <c r="U718" s="38"/>
      <c r="V718" s="38"/>
      <c r="W718" s="38"/>
      <c r="X718" s="38"/>
      <c r="Y718" s="38"/>
      <c r="Z718" s="38"/>
    </row>
    <row r="719" spans="1:26">
      <c r="A719" s="35"/>
      <c r="B719" s="38"/>
      <c r="C719" s="38"/>
      <c r="D719" s="39"/>
      <c r="E719" s="39"/>
      <c r="F719" s="38"/>
      <c r="G719" s="38"/>
      <c r="H719" s="38"/>
      <c r="I719" s="38"/>
      <c r="J719" s="38"/>
      <c r="K719" s="38"/>
      <c r="L719" s="38"/>
      <c r="M719" s="38"/>
      <c r="N719" s="38"/>
      <c r="O719" s="38"/>
      <c r="P719" s="38"/>
      <c r="Q719" s="38"/>
      <c r="R719" s="38"/>
      <c r="S719" s="38"/>
      <c r="T719" s="38"/>
      <c r="U719" s="38"/>
      <c r="V719" s="38"/>
      <c r="W719" s="38"/>
      <c r="X719" s="38"/>
      <c r="Y719" s="38"/>
      <c r="Z719" s="38"/>
    </row>
    <row r="720" spans="1:26">
      <c r="A720" s="35"/>
      <c r="B720" s="38"/>
      <c r="C720" s="38"/>
      <c r="D720" s="39"/>
      <c r="E720" s="39"/>
      <c r="F720" s="38"/>
      <c r="G720" s="38"/>
      <c r="H720" s="38"/>
      <c r="I720" s="38"/>
      <c r="J720" s="38"/>
      <c r="K720" s="38"/>
      <c r="L720" s="38"/>
      <c r="M720" s="38"/>
      <c r="N720" s="38"/>
      <c r="O720" s="38"/>
      <c r="P720" s="38"/>
      <c r="Q720" s="38"/>
      <c r="R720" s="38"/>
      <c r="S720" s="38"/>
      <c r="T720" s="38"/>
      <c r="U720" s="38"/>
      <c r="V720" s="38"/>
      <c r="W720" s="38"/>
      <c r="X720" s="38"/>
      <c r="Y720" s="38"/>
      <c r="Z720" s="38"/>
    </row>
    <row r="721" spans="1:26">
      <c r="A721" s="35"/>
      <c r="B721" s="38"/>
      <c r="C721" s="38"/>
      <c r="D721" s="39"/>
      <c r="E721" s="39"/>
      <c r="F721" s="38"/>
      <c r="G721" s="38"/>
      <c r="H721" s="38"/>
      <c r="I721" s="38"/>
      <c r="J721" s="38"/>
      <c r="K721" s="38"/>
      <c r="L721" s="38"/>
      <c r="M721" s="38"/>
      <c r="N721" s="38"/>
      <c r="O721" s="38"/>
      <c r="P721" s="38"/>
      <c r="Q721" s="38"/>
      <c r="R721" s="38"/>
      <c r="S721" s="38"/>
      <c r="T721" s="38"/>
      <c r="U721" s="38"/>
      <c r="V721" s="38"/>
      <c r="W721" s="38"/>
      <c r="X721" s="38"/>
      <c r="Y721" s="38"/>
      <c r="Z721" s="38"/>
    </row>
    <row r="722" spans="1:26">
      <c r="A722" s="35"/>
      <c r="B722" s="38"/>
      <c r="C722" s="38"/>
      <c r="D722" s="39"/>
      <c r="E722" s="39"/>
      <c r="F722" s="38"/>
      <c r="G722" s="38"/>
      <c r="H722" s="38"/>
      <c r="I722" s="38"/>
      <c r="J722" s="38"/>
      <c r="K722" s="38"/>
      <c r="L722" s="38"/>
      <c r="M722" s="38"/>
      <c r="N722" s="38"/>
      <c r="O722" s="38"/>
      <c r="P722" s="38"/>
      <c r="Q722" s="38"/>
      <c r="R722" s="38"/>
      <c r="S722" s="38"/>
      <c r="T722" s="38"/>
      <c r="U722" s="38"/>
      <c r="V722" s="38"/>
      <c r="W722" s="38"/>
      <c r="X722" s="38"/>
      <c r="Y722" s="38"/>
      <c r="Z722" s="38"/>
    </row>
    <row r="723" spans="1:26">
      <c r="A723" s="35"/>
      <c r="B723" s="38"/>
      <c r="C723" s="38"/>
      <c r="D723" s="39"/>
      <c r="E723" s="39"/>
      <c r="F723" s="38"/>
      <c r="G723" s="38"/>
      <c r="H723" s="38"/>
      <c r="I723" s="38"/>
      <c r="J723" s="38"/>
      <c r="K723" s="38"/>
      <c r="L723" s="38"/>
      <c r="M723" s="38"/>
      <c r="N723" s="38"/>
      <c r="O723" s="38"/>
      <c r="P723" s="38"/>
      <c r="Q723" s="38"/>
      <c r="R723" s="38"/>
      <c r="S723" s="38"/>
      <c r="T723" s="38"/>
      <c r="U723" s="38"/>
      <c r="V723" s="38"/>
      <c r="W723" s="38"/>
      <c r="X723" s="38"/>
      <c r="Y723" s="38"/>
      <c r="Z723" s="38"/>
    </row>
    <row r="724" spans="1:26">
      <c r="A724" s="35"/>
      <c r="B724" s="38"/>
      <c r="C724" s="38"/>
      <c r="D724" s="39"/>
      <c r="E724" s="39"/>
      <c r="F724" s="38"/>
      <c r="G724" s="38"/>
      <c r="H724" s="38"/>
      <c r="I724" s="38"/>
      <c r="J724" s="38"/>
      <c r="K724" s="38"/>
      <c r="L724" s="38"/>
      <c r="M724" s="38"/>
      <c r="N724" s="38"/>
      <c r="O724" s="38"/>
      <c r="P724" s="38"/>
      <c r="Q724" s="38"/>
      <c r="R724" s="38"/>
      <c r="S724" s="38"/>
      <c r="T724" s="38"/>
      <c r="U724" s="38"/>
      <c r="V724" s="38"/>
      <c r="W724" s="38"/>
      <c r="X724" s="38"/>
      <c r="Y724" s="38"/>
      <c r="Z724" s="38"/>
    </row>
    <row r="725" spans="1:26">
      <c r="A725" s="35"/>
      <c r="B725" s="38"/>
      <c r="C725" s="38"/>
      <c r="D725" s="39"/>
      <c r="E725" s="39"/>
      <c r="F725" s="38"/>
      <c r="G725" s="38"/>
      <c r="H725" s="38"/>
      <c r="I725" s="38"/>
      <c r="J725" s="38"/>
      <c r="K725" s="38"/>
      <c r="L725" s="38"/>
      <c r="M725" s="38"/>
      <c r="N725" s="38"/>
      <c r="O725" s="38"/>
      <c r="P725" s="38"/>
      <c r="Q725" s="38"/>
      <c r="R725" s="38"/>
      <c r="S725" s="38"/>
      <c r="T725" s="38"/>
      <c r="U725" s="38"/>
      <c r="V725" s="38"/>
      <c r="W725" s="38"/>
      <c r="X725" s="38"/>
      <c r="Y725" s="38"/>
      <c r="Z725" s="38"/>
    </row>
    <row r="726" spans="1:26">
      <c r="A726" s="35"/>
      <c r="B726" s="38"/>
      <c r="C726" s="38"/>
      <c r="D726" s="39"/>
      <c r="E726" s="39"/>
      <c r="F726" s="38"/>
      <c r="G726" s="38"/>
      <c r="H726" s="38"/>
      <c r="I726" s="38"/>
      <c r="J726" s="38"/>
      <c r="K726" s="38"/>
      <c r="L726" s="38"/>
      <c r="M726" s="38"/>
      <c r="N726" s="38"/>
      <c r="O726" s="38"/>
      <c r="P726" s="38"/>
      <c r="Q726" s="38"/>
      <c r="R726" s="38"/>
      <c r="S726" s="38"/>
      <c r="T726" s="38"/>
      <c r="U726" s="38"/>
      <c r="V726" s="38"/>
      <c r="W726" s="38"/>
      <c r="X726" s="38"/>
      <c r="Y726" s="38"/>
      <c r="Z726" s="38"/>
    </row>
    <row r="727" spans="1:26">
      <c r="A727" s="35"/>
      <c r="B727" s="38"/>
      <c r="C727" s="38"/>
      <c r="D727" s="39"/>
      <c r="E727" s="39"/>
      <c r="F727" s="38"/>
      <c r="G727" s="38"/>
      <c r="H727" s="38"/>
      <c r="I727" s="38"/>
      <c r="J727" s="38"/>
      <c r="K727" s="38"/>
      <c r="L727" s="38"/>
      <c r="M727" s="38"/>
      <c r="N727" s="38"/>
      <c r="O727" s="38"/>
      <c r="P727" s="38"/>
      <c r="Q727" s="38"/>
      <c r="R727" s="38"/>
      <c r="S727" s="38"/>
      <c r="T727" s="38"/>
      <c r="U727" s="38"/>
      <c r="V727" s="38"/>
      <c r="W727" s="38"/>
      <c r="X727" s="38"/>
      <c r="Y727" s="38"/>
      <c r="Z727" s="38"/>
    </row>
    <row r="728" spans="1:26">
      <c r="A728" s="35"/>
      <c r="B728" s="38"/>
      <c r="C728" s="38"/>
      <c r="D728" s="39"/>
      <c r="E728" s="39"/>
      <c r="F728" s="38"/>
      <c r="G728" s="38"/>
      <c r="H728" s="38"/>
      <c r="I728" s="38"/>
      <c r="J728" s="38"/>
      <c r="K728" s="38"/>
      <c r="L728" s="38"/>
      <c r="M728" s="38"/>
      <c r="N728" s="38"/>
      <c r="O728" s="38"/>
      <c r="P728" s="38"/>
      <c r="Q728" s="38"/>
      <c r="R728" s="38"/>
      <c r="S728" s="38"/>
      <c r="T728" s="38"/>
      <c r="U728" s="38"/>
      <c r="V728" s="38"/>
      <c r="W728" s="38"/>
      <c r="X728" s="38"/>
      <c r="Y728" s="38"/>
      <c r="Z728" s="38"/>
    </row>
    <row r="729" spans="1:26">
      <c r="A729" s="35"/>
      <c r="B729" s="38"/>
      <c r="C729" s="38"/>
      <c r="D729" s="39"/>
      <c r="E729" s="39"/>
      <c r="F729" s="38"/>
      <c r="G729" s="38"/>
      <c r="H729" s="38"/>
      <c r="I729" s="38"/>
      <c r="J729" s="38"/>
      <c r="K729" s="38"/>
      <c r="L729" s="38"/>
      <c r="M729" s="38"/>
      <c r="N729" s="38"/>
      <c r="O729" s="38"/>
      <c r="P729" s="38"/>
      <c r="Q729" s="38"/>
      <c r="R729" s="38"/>
      <c r="S729" s="38"/>
      <c r="T729" s="38"/>
      <c r="U729" s="38"/>
      <c r="V729" s="38"/>
      <c r="W729" s="38"/>
      <c r="X729" s="38"/>
      <c r="Y729" s="38"/>
      <c r="Z729" s="38"/>
    </row>
    <row r="730" spans="1:26">
      <c r="A730" s="35"/>
      <c r="B730" s="38"/>
      <c r="C730" s="38"/>
      <c r="D730" s="39"/>
      <c r="E730" s="39"/>
      <c r="F730" s="38"/>
      <c r="G730" s="38"/>
      <c r="H730" s="38"/>
      <c r="I730" s="38"/>
      <c r="J730" s="38"/>
      <c r="K730" s="38"/>
      <c r="L730" s="38"/>
      <c r="M730" s="38"/>
      <c r="N730" s="38"/>
      <c r="O730" s="38"/>
      <c r="P730" s="38"/>
      <c r="Q730" s="38"/>
      <c r="R730" s="38"/>
      <c r="S730" s="38"/>
      <c r="T730" s="38"/>
      <c r="U730" s="38"/>
      <c r="V730" s="38"/>
      <c r="W730" s="38"/>
      <c r="X730" s="38"/>
      <c r="Y730" s="38"/>
      <c r="Z730" s="38"/>
    </row>
    <row r="731" spans="1:26">
      <c r="A731" s="35"/>
      <c r="B731" s="38"/>
      <c r="C731" s="38"/>
      <c r="D731" s="39"/>
      <c r="E731" s="39"/>
      <c r="F731" s="38"/>
      <c r="G731" s="38"/>
      <c r="H731" s="38"/>
      <c r="I731" s="38"/>
      <c r="J731" s="38"/>
      <c r="K731" s="38"/>
      <c r="L731" s="38"/>
      <c r="M731" s="38"/>
      <c r="N731" s="38"/>
      <c r="O731" s="38"/>
      <c r="P731" s="38"/>
      <c r="Q731" s="38"/>
      <c r="R731" s="38"/>
      <c r="S731" s="38"/>
      <c r="T731" s="38"/>
      <c r="U731" s="38"/>
      <c r="V731" s="38"/>
      <c r="W731" s="38"/>
      <c r="X731" s="38"/>
      <c r="Y731" s="38"/>
      <c r="Z731" s="38"/>
    </row>
    <row r="732" spans="1:26">
      <c r="A732" s="35"/>
      <c r="B732" s="38"/>
      <c r="C732" s="38"/>
      <c r="D732" s="39"/>
      <c r="E732" s="39"/>
      <c r="F732" s="38"/>
      <c r="G732" s="38"/>
      <c r="H732" s="38"/>
      <c r="I732" s="38"/>
      <c r="J732" s="38"/>
      <c r="K732" s="38"/>
      <c r="L732" s="38"/>
      <c r="M732" s="38"/>
      <c r="N732" s="38"/>
      <c r="O732" s="38"/>
      <c r="P732" s="38"/>
      <c r="Q732" s="38"/>
      <c r="R732" s="38"/>
      <c r="S732" s="38"/>
      <c r="T732" s="38"/>
      <c r="U732" s="38"/>
      <c r="V732" s="38"/>
      <c r="W732" s="38"/>
      <c r="X732" s="38"/>
      <c r="Y732" s="38"/>
      <c r="Z732" s="38"/>
    </row>
    <row r="733" spans="1:26">
      <c r="A733" s="35"/>
      <c r="B733" s="38"/>
      <c r="C733" s="38"/>
      <c r="D733" s="39"/>
      <c r="E733" s="39"/>
      <c r="F733" s="38"/>
      <c r="G733" s="38"/>
      <c r="H733" s="38"/>
      <c r="I733" s="38"/>
      <c r="J733" s="38"/>
      <c r="K733" s="38"/>
      <c r="L733" s="38"/>
      <c r="M733" s="38"/>
      <c r="N733" s="38"/>
      <c r="O733" s="38"/>
      <c r="P733" s="38"/>
      <c r="Q733" s="38"/>
      <c r="R733" s="38"/>
      <c r="S733" s="38"/>
      <c r="T733" s="38"/>
      <c r="U733" s="38"/>
      <c r="V733" s="38"/>
      <c r="W733" s="38"/>
      <c r="X733" s="38"/>
      <c r="Y733" s="38"/>
      <c r="Z733" s="38"/>
    </row>
    <row r="734" spans="1:26">
      <c r="A734" s="35"/>
      <c r="B734" s="38"/>
      <c r="C734" s="38"/>
      <c r="D734" s="39"/>
      <c r="E734" s="39"/>
      <c r="F734" s="38"/>
      <c r="G734" s="38"/>
      <c r="H734" s="38"/>
      <c r="I734" s="38"/>
      <c r="J734" s="38"/>
      <c r="K734" s="38"/>
      <c r="L734" s="38"/>
      <c r="M734" s="38"/>
      <c r="N734" s="38"/>
      <c r="O734" s="38"/>
      <c r="P734" s="38"/>
      <c r="Q734" s="38"/>
      <c r="R734" s="38"/>
      <c r="S734" s="38"/>
      <c r="T734" s="38"/>
      <c r="U734" s="38"/>
      <c r="V734" s="38"/>
      <c r="W734" s="38"/>
      <c r="X734" s="38"/>
      <c r="Y734" s="38"/>
      <c r="Z734" s="38"/>
    </row>
    <row r="735" spans="1:26">
      <c r="A735" s="35"/>
      <c r="B735" s="38"/>
      <c r="C735" s="38"/>
      <c r="D735" s="39"/>
      <c r="E735" s="39"/>
      <c r="F735" s="38"/>
      <c r="G735" s="38"/>
      <c r="H735" s="38"/>
      <c r="I735" s="38"/>
      <c r="J735" s="38"/>
      <c r="K735" s="38"/>
      <c r="L735" s="38"/>
      <c r="M735" s="38"/>
      <c r="N735" s="38"/>
      <c r="O735" s="38"/>
      <c r="P735" s="38"/>
      <c r="Q735" s="38"/>
      <c r="R735" s="38"/>
      <c r="S735" s="38"/>
      <c r="T735" s="38"/>
      <c r="U735" s="38"/>
      <c r="V735" s="38"/>
      <c r="W735" s="38"/>
      <c r="X735" s="38"/>
      <c r="Y735" s="38"/>
      <c r="Z735" s="38"/>
    </row>
    <row r="736" spans="1:26">
      <c r="A736" s="35"/>
      <c r="B736" s="38"/>
      <c r="C736" s="38"/>
      <c r="D736" s="39"/>
      <c r="E736" s="39"/>
      <c r="F736" s="38"/>
      <c r="G736" s="38"/>
      <c r="H736" s="38"/>
      <c r="I736" s="38"/>
      <c r="J736" s="38"/>
      <c r="K736" s="38"/>
      <c r="L736" s="38"/>
      <c r="M736" s="38"/>
      <c r="N736" s="38"/>
      <c r="O736" s="38"/>
      <c r="P736" s="38"/>
      <c r="Q736" s="38"/>
      <c r="R736" s="38"/>
      <c r="S736" s="38"/>
      <c r="T736" s="38"/>
      <c r="U736" s="38"/>
      <c r="V736" s="38"/>
      <c r="W736" s="38"/>
      <c r="X736" s="38"/>
      <c r="Y736" s="38"/>
      <c r="Z736" s="38"/>
    </row>
    <row r="737" spans="1:26">
      <c r="A737" s="35"/>
      <c r="B737" s="38"/>
      <c r="C737" s="38"/>
      <c r="D737" s="39"/>
      <c r="E737" s="39"/>
      <c r="F737" s="38"/>
      <c r="G737" s="38"/>
      <c r="H737" s="38"/>
      <c r="I737" s="38"/>
      <c r="J737" s="38"/>
      <c r="K737" s="38"/>
      <c r="L737" s="38"/>
      <c r="M737" s="38"/>
      <c r="N737" s="38"/>
      <c r="O737" s="38"/>
      <c r="P737" s="38"/>
      <c r="Q737" s="38"/>
      <c r="R737" s="38"/>
      <c r="S737" s="38"/>
      <c r="T737" s="38"/>
      <c r="U737" s="38"/>
      <c r="V737" s="38"/>
      <c r="W737" s="38"/>
      <c r="X737" s="38"/>
      <c r="Y737" s="38"/>
      <c r="Z737" s="38"/>
    </row>
    <row r="738" spans="1:26">
      <c r="A738" s="35"/>
      <c r="B738" s="38"/>
      <c r="C738" s="38"/>
      <c r="D738" s="39"/>
      <c r="E738" s="39"/>
      <c r="F738" s="38"/>
      <c r="G738" s="38"/>
      <c r="H738" s="38"/>
      <c r="I738" s="38"/>
      <c r="J738" s="38"/>
      <c r="K738" s="38"/>
      <c r="L738" s="38"/>
      <c r="M738" s="38"/>
      <c r="N738" s="38"/>
      <c r="O738" s="38"/>
      <c r="P738" s="38"/>
      <c r="Q738" s="38"/>
      <c r="R738" s="38"/>
      <c r="S738" s="38"/>
      <c r="T738" s="38"/>
      <c r="U738" s="38"/>
      <c r="V738" s="38"/>
      <c r="W738" s="38"/>
      <c r="X738" s="38"/>
      <c r="Y738" s="38"/>
      <c r="Z738" s="38"/>
    </row>
    <row r="739" spans="1:26">
      <c r="A739" s="35"/>
      <c r="B739" s="38"/>
      <c r="C739" s="38"/>
      <c r="D739" s="39"/>
      <c r="E739" s="39"/>
      <c r="F739" s="38"/>
      <c r="G739" s="38"/>
      <c r="H739" s="38"/>
      <c r="I739" s="38"/>
      <c r="J739" s="38"/>
      <c r="K739" s="38"/>
      <c r="L739" s="38"/>
      <c r="M739" s="38"/>
      <c r="N739" s="38"/>
      <c r="O739" s="38"/>
      <c r="P739" s="38"/>
      <c r="Q739" s="38"/>
      <c r="R739" s="38"/>
      <c r="S739" s="38"/>
      <c r="T739" s="38"/>
      <c r="U739" s="38"/>
      <c r="V739" s="38"/>
      <c r="W739" s="38"/>
      <c r="X739" s="38"/>
      <c r="Y739" s="38"/>
      <c r="Z739" s="38"/>
    </row>
    <row r="740" spans="1:26">
      <c r="A740" s="35"/>
      <c r="B740" s="38"/>
      <c r="C740" s="38"/>
      <c r="D740" s="39"/>
      <c r="E740" s="39"/>
      <c r="F740" s="38"/>
      <c r="G740" s="38"/>
      <c r="H740" s="38"/>
      <c r="I740" s="38"/>
      <c r="J740" s="38"/>
      <c r="K740" s="38"/>
      <c r="L740" s="38"/>
      <c r="M740" s="38"/>
      <c r="N740" s="38"/>
      <c r="O740" s="38"/>
      <c r="P740" s="38"/>
      <c r="Q740" s="38"/>
      <c r="R740" s="38"/>
      <c r="S740" s="38"/>
      <c r="T740" s="38"/>
      <c r="U740" s="38"/>
      <c r="V740" s="38"/>
      <c r="W740" s="38"/>
      <c r="X740" s="38"/>
      <c r="Y740" s="38"/>
      <c r="Z740" s="38"/>
    </row>
    <row r="741" spans="1:26">
      <c r="A741" s="35"/>
      <c r="B741" s="38"/>
      <c r="C741" s="38"/>
      <c r="D741" s="39"/>
      <c r="E741" s="39"/>
      <c r="F741" s="38"/>
      <c r="G741" s="38"/>
      <c r="H741" s="38"/>
      <c r="I741" s="38"/>
      <c r="J741" s="38"/>
      <c r="K741" s="38"/>
      <c r="L741" s="38"/>
      <c r="M741" s="38"/>
      <c r="N741" s="38"/>
      <c r="O741" s="38"/>
      <c r="P741" s="38"/>
      <c r="Q741" s="38"/>
      <c r="R741" s="38"/>
      <c r="S741" s="38"/>
      <c r="T741" s="38"/>
      <c r="U741" s="38"/>
      <c r="V741" s="38"/>
      <c r="W741" s="38"/>
      <c r="X741" s="38"/>
      <c r="Y741" s="38"/>
      <c r="Z741" s="38"/>
    </row>
    <row r="742" spans="1:26">
      <c r="A742" s="35"/>
      <c r="B742" s="38"/>
      <c r="C742" s="38"/>
      <c r="D742" s="39"/>
      <c r="E742" s="39"/>
      <c r="F742" s="38"/>
      <c r="G742" s="38"/>
      <c r="H742" s="38"/>
      <c r="I742" s="38"/>
      <c r="J742" s="38"/>
      <c r="K742" s="38"/>
      <c r="L742" s="38"/>
      <c r="M742" s="38"/>
      <c r="N742" s="38"/>
      <c r="O742" s="38"/>
      <c r="P742" s="38"/>
      <c r="Q742" s="38"/>
      <c r="R742" s="38"/>
      <c r="S742" s="38"/>
      <c r="T742" s="38"/>
      <c r="U742" s="38"/>
      <c r="V742" s="38"/>
      <c r="W742" s="38"/>
      <c r="X742" s="38"/>
      <c r="Y742" s="38"/>
      <c r="Z742" s="38"/>
    </row>
    <row r="743" spans="1:26">
      <c r="A743" s="35"/>
      <c r="B743" s="38"/>
      <c r="C743" s="38"/>
      <c r="D743" s="39"/>
      <c r="E743" s="39"/>
      <c r="F743" s="38"/>
      <c r="G743" s="38"/>
      <c r="H743" s="38"/>
      <c r="I743" s="38"/>
      <c r="J743" s="38"/>
      <c r="K743" s="38"/>
      <c r="L743" s="38"/>
      <c r="M743" s="38"/>
      <c r="N743" s="38"/>
      <c r="O743" s="38"/>
      <c r="P743" s="38"/>
      <c r="Q743" s="38"/>
      <c r="R743" s="38"/>
      <c r="S743" s="38"/>
      <c r="T743" s="38"/>
      <c r="U743" s="38"/>
      <c r="V743" s="38"/>
      <c r="W743" s="38"/>
      <c r="X743" s="38"/>
      <c r="Y743" s="38"/>
      <c r="Z743" s="38"/>
    </row>
    <row r="744" spans="1:26">
      <c r="A744" s="35"/>
      <c r="B744" s="38"/>
      <c r="C744" s="38"/>
      <c r="D744" s="39"/>
      <c r="E744" s="39"/>
      <c r="F744" s="38"/>
      <c r="G744" s="38"/>
      <c r="H744" s="38"/>
      <c r="I744" s="38"/>
      <c r="J744" s="38"/>
      <c r="K744" s="38"/>
      <c r="L744" s="38"/>
      <c r="M744" s="38"/>
      <c r="N744" s="38"/>
      <c r="O744" s="38"/>
      <c r="P744" s="38"/>
      <c r="Q744" s="38"/>
      <c r="R744" s="38"/>
      <c r="S744" s="38"/>
      <c r="T744" s="38"/>
      <c r="U744" s="38"/>
      <c r="V744" s="38"/>
      <c r="W744" s="38"/>
      <c r="X744" s="38"/>
      <c r="Y744" s="38"/>
      <c r="Z744" s="38"/>
    </row>
    <row r="745" spans="1:26">
      <c r="A745" s="35"/>
      <c r="B745" s="38"/>
      <c r="C745" s="38"/>
      <c r="D745" s="39"/>
      <c r="E745" s="39"/>
      <c r="F745" s="38"/>
      <c r="G745" s="38"/>
      <c r="H745" s="38"/>
      <c r="I745" s="38"/>
      <c r="J745" s="38"/>
      <c r="K745" s="38"/>
      <c r="L745" s="38"/>
      <c r="M745" s="38"/>
      <c r="N745" s="38"/>
      <c r="O745" s="38"/>
      <c r="P745" s="38"/>
      <c r="Q745" s="38"/>
      <c r="R745" s="38"/>
      <c r="S745" s="38"/>
      <c r="T745" s="38"/>
      <c r="U745" s="38"/>
      <c r="V745" s="38"/>
      <c r="W745" s="38"/>
      <c r="X745" s="38"/>
      <c r="Y745" s="38"/>
      <c r="Z745" s="38"/>
    </row>
    <row r="746" spans="1:26">
      <c r="A746" s="35"/>
      <c r="B746" s="38"/>
      <c r="C746" s="38"/>
      <c r="D746" s="39"/>
      <c r="E746" s="39"/>
      <c r="F746" s="38"/>
      <c r="G746" s="38"/>
      <c r="H746" s="38"/>
      <c r="I746" s="38"/>
      <c r="J746" s="38"/>
      <c r="K746" s="38"/>
      <c r="L746" s="38"/>
      <c r="M746" s="38"/>
      <c r="N746" s="38"/>
      <c r="O746" s="38"/>
      <c r="P746" s="38"/>
      <c r="Q746" s="38"/>
      <c r="R746" s="38"/>
      <c r="S746" s="38"/>
      <c r="T746" s="38"/>
      <c r="U746" s="38"/>
      <c r="V746" s="38"/>
      <c r="W746" s="38"/>
      <c r="X746" s="38"/>
      <c r="Y746" s="38"/>
      <c r="Z746" s="38"/>
    </row>
    <row r="747" spans="1:26">
      <c r="A747" s="35"/>
      <c r="B747" s="38"/>
      <c r="C747" s="38"/>
      <c r="D747" s="39"/>
      <c r="E747" s="39"/>
      <c r="F747" s="38"/>
      <c r="G747" s="38"/>
      <c r="H747" s="38"/>
      <c r="I747" s="38"/>
      <c r="J747" s="38"/>
      <c r="K747" s="38"/>
      <c r="L747" s="38"/>
      <c r="M747" s="38"/>
      <c r="N747" s="38"/>
      <c r="O747" s="38"/>
      <c r="P747" s="38"/>
      <c r="Q747" s="38"/>
      <c r="R747" s="38"/>
      <c r="S747" s="38"/>
      <c r="T747" s="38"/>
      <c r="U747" s="38"/>
      <c r="V747" s="38"/>
      <c r="W747" s="38"/>
      <c r="X747" s="38"/>
      <c r="Y747" s="38"/>
      <c r="Z747" s="38"/>
    </row>
    <row r="748" spans="1:26">
      <c r="A748" s="35"/>
      <c r="B748" s="38"/>
      <c r="C748" s="38"/>
      <c r="D748" s="39"/>
      <c r="E748" s="39"/>
      <c r="F748" s="38"/>
      <c r="G748" s="38"/>
      <c r="H748" s="38"/>
      <c r="I748" s="38"/>
      <c r="J748" s="38"/>
      <c r="K748" s="38"/>
      <c r="L748" s="38"/>
      <c r="M748" s="38"/>
      <c r="N748" s="38"/>
      <c r="O748" s="38"/>
      <c r="P748" s="38"/>
      <c r="Q748" s="38"/>
      <c r="R748" s="38"/>
      <c r="S748" s="38"/>
      <c r="T748" s="38"/>
      <c r="U748" s="38"/>
      <c r="V748" s="38"/>
      <c r="W748" s="38"/>
      <c r="X748" s="38"/>
      <c r="Y748" s="38"/>
      <c r="Z748" s="38"/>
    </row>
    <row r="749" spans="1:26">
      <c r="A749" s="35"/>
      <c r="B749" s="38"/>
      <c r="C749" s="38"/>
      <c r="D749" s="39"/>
      <c r="E749" s="39"/>
      <c r="F749" s="38"/>
      <c r="G749" s="38"/>
      <c r="H749" s="38"/>
      <c r="I749" s="38"/>
      <c r="J749" s="38"/>
      <c r="K749" s="38"/>
      <c r="L749" s="38"/>
      <c r="M749" s="38"/>
      <c r="N749" s="38"/>
      <c r="O749" s="38"/>
      <c r="P749" s="38"/>
      <c r="Q749" s="38"/>
      <c r="R749" s="38"/>
      <c r="S749" s="38"/>
      <c r="T749" s="38"/>
      <c r="U749" s="38"/>
      <c r="V749" s="38"/>
      <c r="W749" s="38"/>
      <c r="X749" s="38"/>
      <c r="Y749" s="38"/>
      <c r="Z749" s="38"/>
    </row>
    <row r="750" spans="1:26">
      <c r="A750" s="35"/>
      <c r="B750" s="38"/>
      <c r="C750" s="38"/>
      <c r="D750" s="39"/>
      <c r="E750" s="39"/>
      <c r="F750" s="38"/>
      <c r="G750" s="38"/>
      <c r="H750" s="38"/>
      <c r="I750" s="38"/>
      <c r="J750" s="38"/>
      <c r="K750" s="38"/>
      <c r="L750" s="38"/>
      <c r="M750" s="38"/>
      <c r="N750" s="38"/>
      <c r="O750" s="38"/>
      <c r="P750" s="38"/>
      <c r="Q750" s="38"/>
      <c r="R750" s="38"/>
      <c r="S750" s="38"/>
      <c r="T750" s="38"/>
      <c r="U750" s="38"/>
      <c r="V750" s="38"/>
      <c r="W750" s="38"/>
      <c r="X750" s="38"/>
      <c r="Y750" s="38"/>
      <c r="Z750" s="38"/>
    </row>
    <row r="751" spans="1:26">
      <c r="A751" s="35"/>
      <c r="B751" s="38"/>
      <c r="C751" s="38"/>
      <c r="D751" s="39"/>
      <c r="E751" s="39"/>
      <c r="F751" s="38"/>
      <c r="G751" s="38"/>
      <c r="H751" s="38"/>
      <c r="I751" s="38"/>
      <c r="J751" s="38"/>
      <c r="K751" s="38"/>
      <c r="L751" s="38"/>
      <c r="M751" s="38"/>
      <c r="N751" s="38"/>
      <c r="O751" s="38"/>
      <c r="P751" s="38"/>
      <c r="Q751" s="38"/>
      <c r="R751" s="38"/>
      <c r="S751" s="38"/>
      <c r="T751" s="38"/>
      <c r="U751" s="38"/>
      <c r="V751" s="38"/>
      <c r="W751" s="38"/>
      <c r="X751" s="38"/>
      <c r="Y751" s="38"/>
      <c r="Z751" s="38"/>
    </row>
    <row r="752" spans="1:26">
      <c r="A752" s="35"/>
      <c r="B752" s="38"/>
      <c r="C752" s="38"/>
      <c r="D752" s="39"/>
      <c r="E752" s="39"/>
      <c r="F752" s="38"/>
      <c r="G752" s="38"/>
      <c r="H752" s="38"/>
      <c r="I752" s="38"/>
      <c r="J752" s="38"/>
      <c r="K752" s="38"/>
      <c r="L752" s="38"/>
      <c r="M752" s="38"/>
      <c r="N752" s="38"/>
      <c r="O752" s="38"/>
      <c r="P752" s="38"/>
      <c r="Q752" s="38"/>
      <c r="R752" s="38"/>
      <c r="S752" s="38"/>
      <c r="T752" s="38"/>
      <c r="U752" s="38"/>
      <c r="V752" s="38"/>
      <c r="W752" s="38"/>
      <c r="X752" s="38"/>
      <c r="Y752" s="38"/>
      <c r="Z752" s="38"/>
    </row>
    <row r="753" spans="1:26">
      <c r="A753" s="35"/>
      <c r="B753" s="38"/>
      <c r="C753" s="38"/>
      <c r="D753" s="39"/>
      <c r="E753" s="39"/>
      <c r="F753" s="38"/>
      <c r="G753" s="38"/>
      <c r="H753" s="38"/>
      <c r="I753" s="38"/>
      <c r="J753" s="38"/>
      <c r="K753" s="38"/>
      <c r="L753" s="38"/>
      <c r="M753" s="38"/>
      <c r="N753" s="38"/>
      <c r="O753" s="38"/>
      <c r="P753" s="38"/>
      <c r="Q753" s="38"/>
      <c r="R753" s="38"/>
      <c r="S753" s="38"/>
      <c r="T753" s="38"/>
      <c r="U753" s="38"/>
      <c r="V753" s="38"/>
      <c r="W753" s="38"/>
      <c r="X753" s="38"/>
      <c r="Y753" s="38"/>
      <c r="Z753" s="38"/>
    </row>
    <row r="754" spans="1:26">
      <c r="A754" s="35"/>
      <c r="B754" s="38"/>
      <c r="C754" s="38"/>
      <c r="D754" s="39"/>
      <c r="E754" s="39"/>
      <c r="F754" s="38"/>
      <c r="G754" s="38"/>
      <c r="H754" s="38"/>
      <c r="I754" s="38"/>
      <c r="J754" s="38"/>
      <c r="K754" s="38"/>
      <c r="L754" s="38"/>
      <c r="M754" s="38"/>
      <c r="N754" s="38"/>
      <c r="O754" s="38"/>
      <c r="P754" s="38"/>
      <c r="Q754" s="38"/>
      <c r="R754" s="38"/>
      <c r="S754" s="38"/>
      <c r="T754" s="38"/>
      <c r="U754" s="38"/>
      <c r="V754" s="38"/>
      <c r="W754" s="38"/>
      <c r="X754" s="38"/>
      <c r="Y754" s="38"/>
      <c r="Z754" s="38"/>
    </row>
    <row r="755" spans="1:26">
      <c r="A755" s="35"/>
      <c r="B755" s="38"/>
      <c r="C755" s="38"/>
      <c r="D755" s="39"/>
      <c r="E755" s="39"/>
      <c r="F755" s="38"/>
      <c r="G755" s="38"/>
      <c r="H755" s="38"/>
      <c r="I755" s="38"/>
      <c r="J755" s="38"/>
      <c r="K755" s="38"/>
      <c r="L755" s="38"/>
      <c r="M755" s="38"/>
      <c r="N755" s="38"/>
      <c r="O755" s="38"/>
      <c r="P755" s="38"/>
      <c r="Q755" s="38"/>
      <c r="R755" s="38"/>
      <c r="S755" s="38"/>
      <c r="T755" s="38"/>
      <c r="U755" s="38"/>
      <c r="V755" s="38"/>
      <c r="W755" s="38"/>
      <c r="X755" s="38"/>
      <c r="Y755" s="38"/>
      <c r="Z755" s="38"/>
    </row>
    <row r="756" spans="1:26">
      <c r="A756" s="35"/>
      <c r="B756" s="38"/>
      <c r="C756" s="38"/>
      <c r="D756" s="39"/>
      <c r="E756" s="39"/>
      <c r="F756" s="38"/>
      <c r="G756" s="38"/>
      <c r="H756" s="38"/>
      <c r="I756" s="38"/>
      <c r="J756" s="38"/>
      <c r="K756" s="38"/>
      <c r="L756" s="38"/>
      <c r="M756" s="38"/>
      <c r="N756" s="38"/>
      <c r="O756" s="38"/>
      <c r="P756" s="38"/>
      <c r="Q756" s="38"/>
      <c r="R756" s="38"/>
      <c r="S756" s="38"/>
      <c r="T756" s="38"/>
      <c r="U756" s="38"/>
      <c r="V756" s="38"/>
      <c r="W756" s="38"/>
      <c r="X756" s="38"/>
      <c r="Y756" s="38"/>
      <c r="Z756" s="38"/>
    </row>
    <row r="757" spans="1:26">
      <c r="A757" s="35"/>
      <c r="B757" s="38"/>
      <c r="C757" s="38"/>
      <c r="D757" s="39"/>
      <c r="E757" s="39"/>
      <c r="F757" s="38"/>
      <c r="G757" s="38"/>
      <c r="H757" s="38"/>
      <c r="I757" s="38"/>
      <c r="J757" s="38"/>
      <c r="K757" s="38"/>
      <c r="L757" s="38"/>
      <c r="M757" s="38"/>
      <c r="N757" s="38"/>
      <c r="O757" s="38"/>
      <c r="P757" s="38"/>
      <c r="Q757" s="38"/>
      <c r="R757" s="38"/>
      <c r="S757" s="38"/>
      <c r="T757" s="38"/>
      <c r="U757" s="38"/>
      <c r="V757" s="38"/>
      <c r="W757" s="38"/>
      <c r="X757" s="38"/>
      <c r="Y757" s="38"/>
      <c r="Z757" s="38"/>
    </row>
    <row r="758" spans="1:26">
      <c r="A758" s="35"/>
      <c r="B758" s="38"/>
      <c r="C758" s="38"/>
      <c r="D758" s="39"/>
      <c r="E758" s="39"/>
      <c r="F758" s="38"/>
      <c r="G758" s="38"/>
      <c r="H758" s="38"/>
      <c r="I758" s="38"/>
      <c r="J758" s="38"/>
      <c r="K758" s="38"/>
      <c r="L758" s="38"/>
      <c r="M758" s="38"/>
      <c r="N758" s="38"/>
      <c r="O758" s="38"/>
      <c r="P758" s="38"/>
      <c r="Q758" s="38"/>
      <c r="R758" s="38"/>
      <c r="S758" s="38"/>
      <c r="T758" s="38"/>
      <c r="U758" s="38"/>
      <c r="V758" s="38"/>
      <c r="W758" s="38"/>
      <c r="X758" s="38"/>
      <c r="Y758" s="38"/>
      <c r="Z758" s="38"/>
    </row>
    <row r="759" spans="1:26">
      <c r="A759" s="35"/>
      <c r="B759" s="38"/>
      <c r="C759" s="38"/>
      <c r="D759" s="39"/>
      <c r="E759" s="39"/>
      <c r="F759" s="38"/>
      <c r="G759" s="38"/>
      <c r="H759" s="38"/>
      <c r="I759" s="38"/>
      <c r="J759" s="38"/>
      <c r="K759" s="38"/>
      <c r="L759" s="38"/>
      <c r="M759" s="38"/>
      <c r="N759" s="38"/>
      <c r="O759" s="38"/>
      <c r="P759" s="38"/>
      <c r="Q759" s="38"/>
      <c r="R759" s="38"/>
      <c r="S759" s="38"/>
      <c r="T759" s="38"/>
      <c r="U759" s="38"/>
      <c r="V759" s="38"/>
      <c r="W759" s="38"/>
      <c r="X759" s="38"/>
      <c r="Y759" s="38"/>
      <c r="Z759" s="38"/>
    </row>
    <row r="760" spans="1:26">
      <c r="A760" s="35"/>
      <c r="B760" s="38"/>
      <c r="C760" s="38"/>
      <c r="D760" s="39"/>
      <c r="E760" s="39"/>
      <c r="F760" s="38"/>
      <c r="G760" s="38"/>
      <c r="H760" s="38"/>
      <c r="I760" s="38"/>
      <c r="J760" s="38"/>
      <c r="K760" s="38"/>
      <c r="L760" s="38"/>
      <c r="M760" s="38"/>
      <c r="N760" s="38"/>
      <c r="O760" s="38"/>
      <c r="P760" s="38"/>
      <c r="Q760" s="38"/>
      <c r="R760" s="38"/>
      <c r="S760" s="38"/>
      <c r="T760" s="38"/>
      <c r="U760" s="38"/>
      <c r="V760" s="38"/>
      <c r="W760" s="38"/>
      <c r="X760" s="38"/>
      <c r="Y760" s="38"/>
      <c r="Z760" s="38"/>
    </row>
    <row r="761" spans="1:26">
      <c r="A761" s="35"/>
      <c r="B761" s="38"/>
      <c r="C761" s="38"/>
      <c r="D761" s="39"/>
      <c r="E761" s="39"/>
      <c r="F761" s="38"/>
      <c r="G761" s="38"/>
      <c r="H761" s="38"/>
      <c r="I761" s="38"/>
      <c r="J761" s="38"/>
      <c r="K761" s="38"/>
      <c r="L761" s="38"/>
      <c r="M761" s="38"/>
      <c r="N761" s="38"/>
      <c r="O761" s="38"/>
      <c r="P761" s="38"/>
      <c r="Q761" s="38"/>
      <c r="R761" s="38"/>
      <c r="S761" s="38"/>
      <c r="T761" s="38"/>
      <c r="U761" s="38"/>
      <c r="V761" s="38"/>
      <c r="W761" s="38"/>
      <c r="X761" s="38"/>
      <c r="Y761" s="38"/>
      <c r="Z761" s="38"/>
    </row>
    <row r="762" spans="1:26">
      <c r="A762" s="35"/>
      <c r="B762" s="38"/>
      <c r="C762" s="38"/>
      <c r="D762" s="39"/>
      <c r="E762" s="39"/>
      <c r="F762" s="38"/>
      <c r="G762" s="38"/>
      <c r="H762" s="38"/>
      <c r="I762" s="38"/>
      <c r="J762" s="38"/>
      <c r="K762" s="38"/>
      <c r="L762" s="38"/>
      <c r="M762" s="38"/>
      <c r="N762" s="38"/>
      <c r="O762" s="38"/>
      <c r="P762" s="38"/>
      <c r="Q762" s="38"/>
      <c r="R762" s="38"/>
      <c r="S762" s="38"/>
      <c r="T762" s="38"/>
      <c r="U762" s="38"/>
      <c r="V762" s="38"/>
      <c r="W762" s="38"/>
      <c r="X762" s="38"/>
      <c r="Y762" s="38"/>
      <c r="Z762" s="38"/>
    </row>
    <row r="763" spans="1:26">
      <c r="A763" s="35"/>
      <c r="B763" s="38"/>
      <c r="C763" s="38"/>
      <c r="D763" s="39"/>
      <c r="E763" s="39"/>
      <c r="F763" s="38"/>
      <c r="G763" s="38"/>
      <c r="H763" s="38"/>
      <c r="I763" s="38"/>
      <c r="J763" s="38"/>
      <c r="K763" s="38"/>
      <c r="L763" s="38"/>
      <c r="M763" s="38"/>
      <c r="N763" s="38"/>
      <c r="O763" s="38"/>
      <c r="P763" s="38"/>
      <c r="Q763" s="38"/>
      <c r="R763" s="38"/>
      <c r="S763" s="38"/>
      <c r="T763" s="38"/>
      <c r="U763" s="38"/>
      <c r="V763" s="38"/>
      <c r="W763" s="38"/>
      <c r="X763" s="38"/>
      <c r="Y763" s="38"/>
      <c r="Z763" s="38"/>
    </row>
    <row r="764" spans="1:26">
      <c r="A764" s="35"/>
      <c r="B764" s="38"/>
      <c r="C764" s="38"/>
      <c r="D764" s="39"/>
      <c r="E764" s="39"/>
      <c r="F764" s="38"/>
      <c r="G764" s="38"/>
      <c r="H764" s="38"/>
      <c r="I764" s="38"/>
      <c r="J764" s="38"/>
      <c r="K764" s="38"/>
      <c r="L764" s="38"/>
      <c r="M764" s="38"/>
      <c r="N764" s="38"/>
      <c r="O764" s="38"/>
      <c r="P764" s="38"/>
      <c r="Q764" s="38"/>
      <c r="R764" s="38"/>
      <c r="S764" s="38"/>
      <c r="T764" s="38"/>
      <c r="U764" s="38"/>
      <c r="V764" s="38"/>
      <c r="W764" s="38"/>
      <c r="X764" s="38"/>
      <c r="Y764" s="38"/>
      <c r="Z764" s="38"/>
    </row>
    <row r="765" spans="1:26">
      <c r="A765" s="35"/>
      <c r="B765" s="38"/>
      <c r="C765" s="38"/>
      <c r="D765" s="39"/>
      <c r="E765" s="39"/>
      <c r="F765" s="38"/>
      <c r="G765" s="38"/>
      <c r="H765" s="38"/>
      <c r="I765" s="38"/>
      <c r="J765" s="38"/>
      <c r="K765" s="38"/>
      <c r="L765" s="38"/>
      <c r="M765" s="38"/>
      <c r="N765" s="38"/>
      <c r="O765" s="38"/>
      <c r="P765" s="38"/>
      <c r="Q765" s="38"/>
      <c r="R765" s="38"/>
      <c r="S765" s="38"/>
      <c r="T765" s="38"/>
      <c r="U765" s="38"/>
      <c r="V765" s="38"/>
      <c r="W765" s="38"/>
      <c r="X765" s="38"/>
      <c r="Y765" s="38"/>
      <c r="Z765" s="38"/>
    </row>
    <row r="766" spans="1:26">
      <c r="A766" s="35"/>
      <c r="B766" s="38"/>
      <c r="C766" s="38"/>
      <c r="D766" s="39"/>
      <c r="E766" s="39"/>
      <c r="F766" s="38"/>
      <c r="G766" s="38"/>
      <c r="H766" s="38"/>
      <c r="I766" s="38"/>
      <c r="J766" s="38"/>
      <c r="K766" s="38"/>
      <c r="L766" s="38"/>
      <c r="M766" s="38"/>
      <c r="N766" s="38"/>
      <c r="O766" s="38"/>
      <c r="P766" s="38"/>
      <c r="Q766" s="38"/>
      <c r="R766" s="38"/>
      <c r="S766" s="38"/>
      <c r="T766" s="38"/>
      <c r="U766" s="38"/>
      <c r="V766" s="38"/>
      <c r="W766" s="38"/>
      <c r="X766" s="38"/>
      <c r="Y766" s="38"/>
      <c r="Z766" s="38"/>
    </row>
    <row r="767" spans="1:26">
      <c r="A767" s="35"/>
      <c r="B767" s="38"/>
      <c r="C767" s="38"/>
      <c r="D767" s="39"/>
      <c r="E767" s="39"/>
      <c r="F767" s="38"/>
      <c r="G767" s="38"/>
      <c r="H767" s="38"/>
      <c r="I767" s="38"/>
      <c r="J767" s="38"/>
      <c r="K767" s="38"/>
      <c r="L767" s="38"/>
      <c r="M767" s="38"/>
      <c r="N767" s="38"/>
      <c r="O767" s="38"/>
      <c r="P767" s="38"/>
      <c r="Q767" s="38"/>
      <c r="R767" s="38"/>
      <c r="S767" s="38"/>
      <c r="T767" s="38"/>
      <c r="U767" s="38"/>
      <c r="V767" s="38"/>
      <c r="W767" s="38"/>
      <c r="X767" s="38"/>
      <c r="Y767" s="38"/>
      <c r="Z767" s="38"/>
    </row>
    <row r="768" spans="1:26">
      <c r="A768" s="35"/>
      <c r="B768" s="38"/>
      <c r="C768" s="38"/>
      <c r="D768" s="39"/>
      <c r="E768" s="39"/>
      <c r="F768" s="38"/>
      <c r="G768" s="38"/>
      <c r="H768" s="38"/>
      <c r="I768" s="38"/>
      <c r="J768" s="38"/>
      <c r="K768" s="38"/>
      <c r="L768" s="38"/>
      <c r="M768" s="38"/>
      <c r="N768" s="38"/>
      <c r="O768" s="38"/>
      <c r="P768" s="38"/>
      <c r="Q768" s="38"/>
      <c r="R768" s="38"/>
      <c r="S768" s="38"/>
      <c r="T768" s="38"/>
      <c r="U768" s="38"/>
      <c r="V768" s="38"/>
      <c r="W768" s="38"/>
      <c r="X768" s="38"/>
      <c r="Y768" s="38"/>
      <c r="Z768" s="38"/>
    </row>
    <row r="769" spans="1:26">
      <c r="A769" s="35"/>
      <c r="B769" s="38"/>
      <c r="C769" s="38"/>
      <c r="D769" s="39"/>
      <c r="E769" s="39"/>
      <c r="F769" s="38"/>
      <c r="G769" s="38"/>
      <c r="H769" s="38"/>
      <c r="I769" s="38"/>
      <c r="J769" s="38"/>
      <c r="K769" s="38"/>
      <c r="L769" s="38"/>
      <c r="M769" s="38"/>
      <c r="N769" s="38"/>
      <c r="O769" s="38"/>
      <c r="P769" s="38"/>
      <c r="Q769" s="38"/>
      <c r="R769" s="38"/>
      <c r="S769" s="38"/>
      <c r="T769" s="38"/>
      <c r="U769" s="38"/>
      <c r="V769" s="38"/>
      <c r="W769" s="38"/>
      <c r="X769" s="38"/>
      <c r="Y769" s="38"/>
      <c r="Z769" s="38"/>
    </row>
    <row r="770" spans="1:26">
      <c r="A770" s="35"/>
      <c r="B770" s="38"/>
      <c r="C770" s="38"/>
      <c r="D770" s="39"/>
      <c r="E770" s="39"/>
      <c r="F770" s="38"/>
      <c r="G770" s="38"/>
      <c r="H770" s="38"/>
      <c r="I770" s="38"/>
      <c r="J770" s="38"/>
      <c r="K770" s="38"/>
      <c r="L770" s="38"/>
      <c r="M770" s="38"/>
      <c r="N770" s="38"/>
      <c r="O770" s="38"/>
      <c r="P770" s="38"/>
      <c r="Q770" s="38"/>
      <c r="R770" s="38"/>
      <c r="S770" s="38"/>
      <c r="T770" s="38"/>
      <c r="U770" s="38"/>
      <c r="V770" s="38"/>
      <c r="W770" s="38"/>
      <c r="X770" s="38"/>
      <c r="Y770" s="38"/>
      <c r="Z770" s="38"/>
    </row>
    <row r="771" spans="1:26">
      <c r="A771" s="35"/>
      <c r="B771" s="38"/>
      <c r="C771" s="38"/>
      <c r="D771" s="39"/>
      <c r="E771" s="39"/>
      <c r="F771" s="38"/>
      <c r="G771" s="38"/>
      <c r="H771" s="38"/>
      <c r="I771" s="38"/>
      <c r="J771" s="38"/>
      <c r="K771" s="38"/>
      <c r="L771" s="38"/>
      <c r="M771" s="38"/>
      <c r="N771" s="38"/>
      <c r="O771" s="38"/>
      <c r="P771" s="38"/>
      <c r="Q771" s="38"/>
      <c r="R771" s="38"/>
      <c r="S771" s="38"/>
      <c r="T771" s="38"/>
      <c r="U771" s="38"/>
      <c r="V771" s="38"/>
      <c r="W771" s="38"/>
      <c r="X771" s="38"/>
      <c r="Y771" s="38"/>
      <c r="Z771" s="38"/>
    </row>
    <row r="772" spans="1:26">
      <c r="A772" s="35"/>
      <c r="B772" s="38"/>
      <c r="C772" s="38"/>
      <c r="D772" s="39"/>
      <c r="E772" s="39"/>
      <c r="F772" s="38"/>
      <c r="G772" s="38"/>
      <c r="H772" s="38"/>
      <c r="I772" s="38"/>
      <c r="J772" s="38"/>
      <c r="K772" s="38"/>
      <c r="L772" s="38"/>
      <c r="M772" s="38"/>
      <c r="N772" s="38"/>
      <c r="O772" s="38"/>
      <c r="P772" s="38"/>
      <c r="Q772" s="38"/>
      <c r="R772" s="38"/>
      <c r="S772" s="38"/>
      <c r="T772" s="38"/>
      <c r="U772" s="38"/>
      <c r="V772" s="38"/>
      <c r="W772" s="38"/>
      <c r="X772" s="38"/>
      <c r="Y772" s="38"/>
      <c r="Z772" s="38"/>
    </row>
    <row r="773" spans="1:26">
      <c r="A773" s="35"/>
      <c r="B773" s="38"/>
      <c r="C773" s="38"/>
      <c r="D773" s="39"/>
      <c r="E773" s="39"/>
      <c r="F773" s="38"/>
      <c r="G773" s="38"/>
      <c r="H773" s="38"/>
      <c r="I773" s="38"/>
      <c r="J773" s="38"/>
      <c r="K773" s="38"/>
      <c r="L773" s="38"/>
      <c r="M773" s="38"/>
      <c r="N773" s="38"/>
      <c r="O773" s="38"/>
      <c r="P773" s="38"/>
      <c r="Q773" s="38"/>
      <c r="R773" s="38"/>
      <c r="S773" s="38"/>
      <c r="T773" s="38"/>
      <c r="U773" s="38"/>
      <c r="V773" s="38"/>
      <c r="W773" s="38"/>
      <c r="X773" s="38"/>
      <c r="Y773" s="38"/>
      <c r="Z773" s="38"/>
    </row>
    <row r="774" spans="1:26">
      <c r="A774" s="35"/>
      <c r="B774" s="38"/>
      <c r="C774" s="38"/>
      <c r="D774" s="39"/>
      <c r="E774" s="39"/>
      <c r="F774" s="38"/>
      <c r="G774" s="38"/>
      <c r="H774" s="38"/>
      <c r="I774" s="38"/>
      <c r="J774" s="38"/>
      <c r="K774" s="38"/>
      <c r="L774" s="38"/>
      <c r="M774" s="38"/>
      <c r="N774" s="38"/>
      <c r="O774" s="38"/>
      <c r="P774" s="38"/>
      <c r="Q774" s="38"/>
      <c r="R774" s="38"/>
      <c r="S774" s="38"/>
      <c r="T774" s="38"/>
      <c r="U774" s="38"/>
      <c r="V774" s="38"/>
      <c r="W774" s="38"/>
      <c r="X774" s="38"/>
      <c r="Y774" s="38"/>
      <c r="Z774" s="38"/>
    </row>
    <row r="775" spans="1:26">
      <c r="A775" s="35"/>
      <c r="B775" s="38"/>
      <c r="C775" s="38"/>
      <c r="D775" s="39"/>
      <c r="E775" s="39"/>
      <c r="F775" s="38"/>
      <c r="G775" s="38"/>
      <c r="H775" s="38"/>
      <c r="I775" s="38"/>
      <c r="J775" s="38"/>
      <c r="K775" s="38"/>
      <c r="L775" s="38"/>
      <c r="M775" s="38"/>
      <c r="N775" s="38"/>
      <c r="O775" s="38"/>
      <c r="P775" s="38"/>
      <c r="Q775" s="38"/>
      <c r="R775" s="38"/>
      <c r="S775" s="38"/>
      <c r="T775" s="38"/>
      <c r="U775" s="38"/>
      <c r="V775" s="38"/>
      <c r="W775" s="38"/>
      <c r="X775" s="38"/>
      <c r="Y775" s="38"/>
      <c r="Z775" s="38"/>
    </row>
    <row r="776" spans="1:26">
      <c r="A776" s="35"/>
      <c r="B776" s="38"/>
      <c r="C776" s="38"/>
      <c r="D776" s="39"/>
      <c r="E776" s="39"/>
      <c r="F776" s="38"/>
      <c r="G776" s="38"/>
      <c r="H776" s="38"/>
      <c r="I776" s="38"/>
      <c r="J776" s="38"/>
      <c r="K776" s="38"/>
      <c r="L776" s="38"/>
      <c r="M776" s="38"/>
      <c r="N776" s="38"/>
      <c r="O776" s="38"/>
      <c r="P776" s="38"/>
      <c r="Q776" s="38"/>
      <c r="R776" s="38"/>
      <c r="S776" s="38"/>
      <c r="T776" s="38"/>
      <c r="U776" s="38"/>
      <c r="V776" s="38"/>
      <c r="W776" s="38"/>
      <c r="X776" s="38"/>
      <c r="Y776" s="38"/>
      <c r="Z776" s="38"/>
    </row>
    <row r="777" spans="1:26">
      <c r="A777" s="35"/>
      <c r="B777" s="38"/>
      <c r="C777" s="38"/>
      <c r="D777" s="39"/>
      <c r="E777" s="39"/>
      <c r="F777" s="38"/>
      <c r="G777" s="38"/>
      <c r="H777" s="38"/>
      <c r="I777" s="38"/>
      <c r="J777" s="38"/>
      <c r="K777" s="38"/>
      <c r="L777" s="38"/>
      <c r="M777" s="38"/>
      <c r="N777" s="38"/>
      <c r="O777" s="38"/>
      <c r="P777" s="38"/>
      <c r="Q777" s="38"/>
      <c r="R777" s="38"/>
      <c r="S777" s="38"/>
      <c r="T777" s="38"/>
      <c r="U777" s="38"/>
      <c r="V777" s="38"/>
      <c r="W777" s="38"/>
      <c r="X777" s="38"/>
      <c r="Y777" s="38"/>
      <c r="Z777" s="38"/>
    </row>
    <row r="778" spans="1:26">
      <c r="A778" s="35"/>
      <c r="B778" s="38"/>
      <c r="C778" s="38"/>
      <c r="D778" s="39"/>
      <c r="E778" s="39"/>
      <c r="F778" s="38"/>
      <c r="G778" s="38"/>
      <c r="H778" s="38"/>
      <c r="I778" s="38"/>
      <c r="J778" s="38"/>
      <c r="K778" s="38"/>
      <c r="L778" s="38"/>
      <c r="M778" s="38"/>
      <c r="N778" s="38"/>
      <c r="O778" s="38"/>
      <c r="P778" s="38"/>
      <c r="Q778" s="38"/>
      <c r="R778" s="38"/>
      <c r="S778" s="38"/>
      <c r="T778" s="38"/>
      <c r="U778" s="38"/>
      <c r="V778" s="38"/>
      <c r="W778" s="38"/>
      <c r="X778" s="38"/>
      <c r="Y778" s="38"/>
      <c r="Z778" s="38"/>
    </row>
    <row r="779" spans="1:26">
      <c r="A779" s="35"/>
      <c r="B779" s="38"/>
      <c r="C779" s="38"/>
      <c r="D779" s="39"/>
      <c r="E779" s="39"/>
      <c r="F779" s="38"/>
      <c r="G779" s="38"/>
      <c r="H779" s="38"/>
      <c r="I779" s="38"/>
      <c r="J779" s="38"/>
      <c r="K779" s="38"/>
      <c r="L779" s="38"/>
      <c r="M779" s="38"/>
      <c r="N779" s="38"/>
      <c r="O779" s="38"/>
      <c r="P779" s="38"/>
      <c r="Q779" s="38"/>
      <c r="R779" s="38"/>
      <c r="S779" s="38"/>
      <c r="T779" s="38"/>
      <c r="U779" s="38"/>
      <c r="V779" s="38"/>
      <c r="W779" s="38"/>
      <c r="X779" s="38"/>
      <c r="Y779" s="38"/>
      <c r="Z779" s="38"/>
    </row>
    <row r="780" spans="1:26">
      <c r="A780" s="35"/>
      <c r="B780" s="38"/>
      <c r="C780" s="38"/>
      <c r="D780" s="39"/>
      <c r="E780" s="39"/>
      <c r="F780" s="38"/>
      <c r="G780" s="38"/>
      <c r="H780" s="38"/>
      <c r="I780" s="38"/>
      <c r="J780" s="38"/>
      <c r="K780" s="38"/>
      <c r="L780" s="38"/>
      <c r="M780" s="38"/>
      <c r="N780" s="38"/>
      <c r="O780" s="38"/>
      <c r="P780" s="38"/>
      <c r="Q780" s="38"/>
      <c r="R780" s="38"/>
      <c r="S780" s="38"/>
      <c r="T780" s="38"/>
      <c r="U780" s="38"/>
      <c r="V780" s="38"/>
      <c r="W780" s="38"/>
      <c r="X780" s="38"/>
      <c r="Y780" s="38"/>
      <c r="Z780" s="38"/>
    </row>
    <row r="781" spans="1:26">
      <c r="A781" s="35"/>
      <c r="B781" s="38"/>
      <c r="C781" s="38"/>
      <c r="D781" s="39"/>
      <c r="E781" s="39"/>
      <c r="F781" s="38"/>
      <c r="G781" s="38"/>
      <c r="H781" s="38"/>
      <c r="I781" s="38"/>
      <c r="J781" s="38"/>
      <c r="K781" s="38"/>
      <c r="L781" s="38"/>
      <c r="M781" s="38"/>
      <c r="N781" s="38"/>
      <c r="O781" s="38"/>
      <c r="P781" s="38"/>
      <c r="Q781" s="38"/>
      <c r="R781" s="38"/>
      <c r="S781" s="38"/>
      <c r="T781" s="38"/>
      <c r="U781" s="38"/>
      <c r="V781" s="38"/>
      <c r="W781" s="38"/>
      <c r="X781" s="38"/>
      <c r="Y781" s="38"/>
      <c r="Z781" s="38"/>
    </row>
    <row r="782" spans="1:26">
      <c r="A782" s="35"/>
      <c r="B782" s="38"/>
      <c r="C782" s="38"/>
      <c r="D782" s="39"/>
      <c r="E782" s="39"/>
      <c r="F782" s="38"/>
      <c r="G782" s="38"/>
      <c r="H782" s="38"/>
      <c r="I782" s="38"/>
      <c r="J782" s="38"/>
      <c r="K782" s="38"/>
      <c r="L782" s="38"/>
      <c r="M782" s="38"/>
      <c r="N782" s="38"/>
      <c r="O782" s="38"/>
      <c r="P782" s="38"/>
      <c r="Q782" s="38"/>
      <c r="R782" s="38"/>
      <c r="S782" s="38"/>
      <c r="T782" s="38"/>
      <c r="U782" s="38"/>
      <c r="V782" s="38"/>
      <c r="W782" s="38"/>
      <c r="X782" s="38"/>
      <c r="Y782" s="38"/>
      <c r="Z782" s="38"/>
    </row>
    <row r="783" spans="1:26">
      <c r="A783" s="35"/>
      <c r="B783" s="38"/>
      <c r="C783" s="38"/>
      <c r="D783" s="39"/>
      <c r="E783" s="39"/>
      <c r="F783" s="38"/>
      <c r="G783" s="38"/>
      <c r="H783" s="38"/>
      <c r="I783" s="38"/>
      <c r="J783" s="38"/>
      <c r="K783" s="38"/>
      <c r="L783" s="38"/>
      <c r="M783" s="38"/>
      <c r="N783" s="38"/>
      <c r="O783" s="38"/>
      <c r="P783" s="38"/>
      <c r="Q783" s="38"/>
      <c r="R783" s="38"/>
      <c r="S783" s="38"/>
      <c r="T783" s="38"/>
      <c r="U783" s="38"/>
      <c r="V783" s="38"/>
      <c r="W783" s="38"/>
      <c r="X783" s="38"/>
      <c r="Y783" s="38"/>
      <c r="Z783" s="38"/>
    </row>
    <row r="784" spans="1:26">
      <c r="A784" s="35"/>
      <c r="B784" s="38"/>
      <c r="C784" s="38"/>
      <c r="D784" s="39"/>
      <c r="E784" s="39"/>
      <c r="F784" s="38"/>
      <c r="G784" s="38"/>
      <c r="H784" s="38"/>
      <c r="I784" s="38"/>
      <c r="J784" s="38"/>
      <c r="K784" s="38"/>
      <c r="L784" s="38"/>
      <c r="M784" s="38"/>
      <c r="N784" s="38"/>
      <c r="O784" s="38"/>
      <c r="P784" s="38"/>
      <c r="Q784" s="38"/>
      <c r="R784" s="38"/>
      <c r="S784" s="38"/>
      <c r="T784" s="38"/>
      <c r="U784" s="38"/>
      <c r="V784" s="38"/>
      <c r="W784" s="38"/>
      <c r="X784" s="38"/>
      <c r="Y784" s="38"/>
      <c r="Z784" s="38"/>
    </row>
    <row r="785" spans="1:26">
      <c r="A785" s="35"/>
      <c r="B785" s="38"/>
      <c r="C785" s="38"/>
      <c r="D785" s="39"/>
      <c r="E785" s="39"/>
      <c r="F785" s="38"/>
      <c r="G785" s="38"/>
      <c r="H785" s="38"/>
      <c r="I785" s="38"/>
      <c r="J785" s="38"/>
      <c r="K785" s="38"/>
      <c r="L785" s="38"/>
      <c r="M785" s="38"/>
      <c r="N785" s="38"/>
      <c r="O785" s="38"/>
      <c r="P785" s="38"/>
      <c r="Q785" s="38"/>
      <c r="R785" s="38"/>
      <c r="S785" s="38"/>
      <c r="T785" s="38"/>
      <c r="U785" s="38"/>
      <c r="V785" s="38"/>
      <c r="W785" s="38"/>
      <c r="X785" s="38"/>
      <c r="Y785" s="38"/>
      <c r="Z785" s="38"/>
    </row>
    <row r="786" spans="1:26">
      <c r="A786" s="35"/>
      <c r="B786" s="38"/>
      <c r="C786" s="38"/>
      <c r="D786" s="39"/>
      <c r="E786" s="39"/>
      <c r="F786" s="38"/>
      <c r="G786" s="38"/>
      <c r="H786" s="38"/>
      <c r="I786" s="38"/>
      <c r="J786" s="38"/>
      <c r="K786" s="38"/>
      <c r="L786" s="38"/>
      <c r="M786" s="38"/>
      <c r="N786" s="38"/>
      <c r="O786" s="38"/>
      <c r="P786" s="38"/>
      <c r="Q786" s="38"/>
      <c r="R786" s="38"/>
      <c r="S786" s="38"/>
      <c r="T786" s="38"/>
      <c r="U786" s="38"/>
      <c r="V786" s="38"/>
      <c r="W786" s="38"/>
      <c r="X786" s="38"/>
      <c r="Y786" s="38"/>
      <c r="Z786" s="38"/>
    </row>
    <row r="787" spans="1:26">
      <c r="A787" s="35"/>
      <c r="B787" s="38"/>
      <c r="C787" s="38"/>
      <c r="D787" s="39"/>
      <c r="E787" s="39"/>
      <c r="F787" s="38"/>
      <c r="G787" s="38"/>
      <c r="H787" s="38"/>
      <c r="I787" s="38"/>
      <c r="J787" s="38"/>
      <c r="K787" s="38"/>
      <c r="L787" s="38"/>
      <c r="M787" s="38"/>
      <c r="N787" s="38"/>
      <c r="O787" s="38"/>
      <c r="P787" s="38"/>
      <c r="Q787" s="38"/>
      <c r="R787" s="38"/>
      <c r="S787" s="38"/>
      <c r="T787" s="38"/>
      <c r="U787" s="38"/>
      <c r="V787" s="38"/>
      <c r="W787" s="38"/>
      <c r="X787" s="38"/>
      <c r="Y787" s="38"/>
      <c r="Z787" s="38"/>
    </row>
    <row r="788" spans="1:26">
      <c r="A788" s="35"/>
      <c r="B788" s="38"/>
      <c r="C788" s="38"/>
      <c r="D788" s="39"/>
      <c r="E788" s="39"/>
      <c r="F788" s="38"/>
      <c r="G788" s="38"/>
      <c r="H788" s="38"/>
      <c r="I788" s="38"/>
      <c r="J788" s="38"/>
      <c r="K788" s="38"/>
      <c r="L788" s="38"/>
      <c r="M788" s="38"/>
      <c r="N788" s="38"/>
      <c r="O788" s="38"/>
      <c r="P788" s="38"/>
      <c r="Q788" s="38"/>
      <c r="R788" s="38"/>
      <c r="S788" s="38"/>
      <c r="T788" s="38"/>
      <c r="U788" s="38"/>
      <c r="V788" s="38"/>
      <c r="W788" s="38"/>
      <c r="X788" s="38"/>
      <c r="Y788" s="38"/>
      <c r="Z788" s="38"/>
    </row>
    <row r="789" spans="1:26">
      <c r="A789" s="35"/>
      <c r="B789" s="38"/>
      <c r="C789" s="38"/>
      <c r="D789" s="39"/>
      <c r="E789" s="39"/>
      <c r="F789" s="38"/>
      <c r="G789" s="38"/>
      <c r="H789" s="38"/>
      <c r="I789" s="38"/>
      <c r="J789" s="38"/>
      <c r="K789" s="38"/>
      <c r="L789" s="38"/>
      <c r="M789" s="38"/>
      <c r="N789" s="38"/>
      <c r="O789" s="38"/>
      <c r="P789" s="38"/>
      <c r="Q789" s="38"/>
      <c r="R789" s="38"/>
      <c r="S789" s="38"/>
      <c r="T789" s="38"/>
      <c r="U789" s="38"/>
      <c r="V789" s="38"/>
      <c r="W789" s="38"/>
      <c r="X789" s="38"/>
      <c r="Y789" s="38"/>
      <c r="Z789" s="38"/>
    </row>
    <row r="790" spans="1:26">
      <c r="A790" s="35"/>
      <c r="B790" s="38"/>
      <c r="C790" s="38"/>
      <c r="D790" s="39"/>
      <c r="E790" s="39"/>
      <c r="F790" s="38"/>
      <c r="G790" s="38"/>
      <c r="H790" s="38"/>
      <c r="I790" s="38"/>
      <c r="J790" s="38"/>
      <c r="K790" s="38"/>
      <c r="L790" s="38"/>
      <c r="M790" s="38"/>
      <c r="N790" s="38"/>
      <c r="O790" s="38"/>
      <c r="P790" s="38"/>
      <c r="Q790" s="38"/>
      <c r="R790" s="38"/>
      <c r="S790" s="38"/>
      <c r="T790" s="38"/>
      <c r="U790" s="38"/>
      <c r="V790" s="38"/>
      <c r="W790" s="38"/>
      <c r="X790" s="38"/>
      <c r="Y790" s="38"/>
      <c r="Z790" s="38"/>
    </row>
    <row r="791" spans="1:26">
      <c r="A791" s="35"/>
      <c r="B791" s="38"/>
      <c r="C791" s="38"/>
      <c r="D791" s="39"/>
      <c r="E791" s="39"/>
      <c r="F791" s="38"/>
      <c r="G791" s="38"/>
      <c r="H791" s="38"/>
      <c r="I791" s="38"/>
      <c r="J791" s="38"/>
      <c r="K791" s="38"/>
      <c r="L791" s="38"/>
      <c r="M791" s="38"/>
      <c r="N791" s="38"/>
      <c r="O791" s="38"/>
      <c r="P791" s="38"/>
      <c r="Q791" s="38"/>
      <c r="R791" s="38"/>
      <c r="S791" s="38"/>
      <c r="T791" s="38"/>
      <c r="U791" s="38"/>
      <c r="V791" s="38"/>
      <c r="W791" s="38"/>
      <c r="X791" s="38"/>
      <c r="Y791" s="38"/>
      <c r="Z791" s="38"/>
    </row>
    <row r="792" spans="1:26">
      <c r="A792" s="35"/>
      <c r="B792" s="38"/>
      <c r="C792" s="38"/>
      <c r="D792" s="39"/>
      <c r="E792" s="39"/>
      <c r="F792" s="38"/>
      <c r="G792" s="38"/>
      <c r="H792" s="38"/>
      <c r="I792" s="38"/>
      <c r="J792" s="38"/>
      <c r="K792" s="38"/>
      <c r="L792" s="38"/>
      <c r="M792" s="38"/>
      <c r="N792" s="38"/>
      <c r="O792" s="38"/>
      <c r="P792" s="38"/>
      <c r="Q792" s="38"/>
      <c r="R792" s="38"/>
      <c r="S792" s="38"/>
      <c r="T792" s="38"/>
      <c r="U792" s="38"/>
      <c r="V792" s="38"/>
      <c r="W792" s="38"/>
      <c r="X792" s="38"/>
      <c r="Y792" s="38"/>
      <c r="Z792" s="38"/>
    </row>
    <row r="793" spans="1:26">
      <c r="A793" s="35"/>
      <c r="B793" s="38"/>
      <c r="C793" s="38"/>
      <c r="D793" s="39"/>
      <c r="E793" s="39"/>
      <c r="F793" s="38"/>
      <c r="G793" s="38"/>
      <c r="H793" s="38"/>
      <c r="I793" s="38"/>
      <c r="J793" s="38"/>
      <c r="K793" s="38"/>
      <c r="L793" s="38"/>
      <c r="M793" s="38"/>
      <c r="N793" s="38"/>
      <c r="O793" s="38"/>
      <c r="P793" s="38"/>
      <c r="Q793" s="38"/>
      <c r="R793" s="38"/>
      <c r="S793" s="38"/>
      <c r="T793" s="38"/>
      <c r="U793" s="38"/>
      <c r="V793" s="38"/>
      <c r="W793" s="38"/>
      <c r="X793" s="38"/>
      <c r="Y793" s="38"/>
      <c r="Z793" s="38"/>
    </row>
    <row r="794" spans="1:26">
      <c r="A794" s="35"/>
      <c r="B794" s="38"/>
      <c r="C794" s="38"/>
      <c r="D794" s="39"/>
      <c r="E794" s="39"/>
      <c r="F794" s="38"/>
      <c r="G794" s="38"/>
      <c r="H794" s="38"/>
      <c r="I794" s="38"/>
      <c r="J794" s="38"/>
      <c r="K794" s="38"/>
      <c r="L794" s="38"/>
      <c r="M794" s="38"/>
      <c r="N794" s="38"/>
      <c r="O794" s="38"/>
      <c r="P794" s="38"/>
      <c r="Q794" s="38"/>
      <c r="R794" s="38"/>
      <c r="S794" s="38"/>
      <c r="T794" s="38"/>
      <c r="U794" s="38"/>
      <c r="V794" s="38"/>
      <c r="W794" s="38"/>
      <c r="X794" s="38"/>
      <c r="Y794" s="38"/>
      <c r="Z794" s="38"/>
    </row>
    <row r="795" spans="1:26">
      <c r="A795" s="35"/>
      <c r="B795" s="38"/>
      <c r="C795" s="38"/>
      <c r="D795" s="39"/>
      <c r="E795" s="39"/>
      <c r="F795" s="38"/>
      <c r="G795" s="38"/>
      <c r="H795" s="38"/>
      <c r="I795" s="38"/>
      <c r="J795" s="38"/>
      <c r="K795" s="38"/>
      <c r="L795" s="38"/>
      <c r="M795" s="38"/>
      <c r="N795" s="38"/>
      <c r="O795" s="38"/>
      <c r="P795" s="38"/>
      <c r="Q795" s="38"/>
      <c r="R795" s="38"/>
      <c r="S795" s="38"/>
      <c r="T795" s="38"/>
      <c r="U795" s="38"/>
      <c r="V795" s="38"/>
      <c r="W795" s="38"/>
      <c r="X795" s="38"/>
      <c r="Y795" s="38"/>
      <c r="Z795" s="38"/>
    </row>
    <row r="796" spans="1:26">
      <c r="A796" s="35"/>
      <c r="B796" s="38"/>
      <c r="C796" s="38"/>
      <c r="D796" s="39"/>
      <c r="E796" s="39"/>
      <c r="F796" s="38"/>
      <c r="G796" s="38"/>
      <c r="H796" s="38"/>
      <c r="I796" s="38"/>
      <c r="J796" s="38"/>
      <c r="K796" s="38"/>
      <c r="L796" s="38"/>
      <c r="M796" s="38"/>
      <c r="N796" s="38"/>
      <c r="O796" s="38"/>
      <c r="P796" s="38"/>
      <c r="Q796" s="38"/>
      <c r="R796" s="38"/>
      <c r="S796" s="38"/>
      <c r="T796" s="38"/>
      <c r="U796" s="38"/>
      <c r="V796" s="38"/>
      <c r="W796" s="38"/>
      <c r="X796" s="38"/>
      <c r="Y796" s="38"/>
      <c r="Z796" s="38"/>
    </row>
    <row r="797" spans="1:26">
      <c r="A797" s="35"/>
      <c r="B797" s="38"/>
      <c r="C797" s="38"/>
      <c r="D797" s="39"/>
      <c r="E797" s="39"/>
      <c r="F797" s="38"/>
      <c r="G797" s="38"/>
      <c r="H797" s="38"/>
      <c r="I797" s="38"/>
      <c r="J797" s="38"/>
      <c r="K797" s="38"/>
      <c r="L797" s="38"/>
      <c r="M797" s="38"/>
      <c r="N797" s="38"/>
      <c r="O797" s="38"/>
      <c r="P797" s="38"/>
      <c r="Q797" s="38"/>
      <c r="R797" s="38"/>
      <c r="S797" s="38"/>
      <c r="T797" s="38"/>
      <c r="U797" s="38"/>
      <c r="V797" s="38"/>
      <c r="W797" s="38"/>
      <c r="X797" s="38"/>
      <c r="Y797" s="38"/>
      <c r="Z797" s="38"/>
    </row>
    <row r="798" spans="1:26">
      <c r="A798" s="35"/>
      <c r="B798" s="38"/>
      <c r="C798" s="38"/>
      <c r="D798" s="39"/>
      <c r="E798" s="39"/>
      <c r="F798" s="38"/>
      <c r="G798" s="38"/>
      <c r="H798" s="38"/>
      <c r="I798" s="38"/>
      <c r="J798" s="38"/>
      <c r="K798" s="38"/>
      <c r="L798" s="38"/>
      <c r="M798" s="38"/>
      <c r="N798" s="38"/>
      <c r="O798" s="38"/>
      <c r="P798" s="38"/>
      <c r="Q798" s="38"/>
      <c r="R798" s="38"/>
      <c r="S798" s="38"/>
      <c r="T798" s="38"/>
      <c r="U798" s="38"/>
      <c r="V798" s="38"/>
      <c r="W798" s="38"/>
      <c r="X798" s="38"/>
      <c r="Y798" s="38"/>
      <c r="Z798" s="38"/>
    </row>
    <row r="799" spans="1:26">
      <c r="A799" s="35"/>
      <c r="B799" s="38"/>
      <c r="C799" s="38"/>
      <c r="D799" s="39"/>
      <c r="E799" s="39"/>
      <c r="F799" s="38"/>
      <c r="G799" s="38"/>
      <c r="H799" s="38"/>
      <c r="I799" s="38"/>
      <c r="J799" s="38"/>
      <c r="K799" s="38"/>
      <c r="L799" s="38"/>
      <c r="M799" s="38"/>
      <c r="N799" s="38"/>
      <c r="O799" s="38"/>
      <c r="P799" s="38"/>
      <c r="Q799" s="38"/>
      <c r="R799" s="38"/>
      <c r="S799" s="38"/>
      <c r="T799" s="38"/>
      <c r="U799" s="38"/>
      <c r="V799" s="38"/>
      <c r="W799" s="38"/>
      <c r="X799" s="38"/>
      <c r="Y799" s="38"/>
      <c r="Z799" s="38"/>
    </row>
    <row r="800" spans="1:26">
      <c r="A800" s="35"/>
      <c r="B800" s="38"/>
      <c r="C800" s="38"/>
      <c r="D800" s="39"/>
      <c r="E800" s="39"/>
      <c r="F800" s="38"/>
      <c r="G800" s="38"/>
      <c r="H800" s="38"/>
      <c r="I800" s="38"/>
      <c r="J800" s="38"/>
      <c r="K800" s="38"/>
      <c r="L800" s="38"/>
      <c r="M800" s="38"/>
      <c r="N800" s="38"/>
      <c r="O800" s="38"/>
      <c r="P800" s="38"/>
      <c r="Q800" s="38"/>
      <c r="R800" s="38"/>
      <c r="S800" s="38"/>
      <c r="T800" s="38"/>
      <c r="U800" s="38"/>
      <c r="V800" s="38"/>
      <c r="W800" s="38"/>
      <c r="X800" s="38"/>
      <c r="Y800" s="38"/>
      <c r="Z800" s="38"/>
    </row>
    <row r="801" spans="1:26">
      <c r="A801" s="35"/>
      <c r="B801" s="38"/>
      <c r="C801" s="38"/>
      <c r="D801" s="39"/>
      <c r="E801" s="39"/>
      <c r="F801" s="38"/>
      <c r="G801" s="38"/>
      <c r="H801" s="38"/>
      <c r="I801" s="38"/>
      <c r="J801" s="38"/>
      <c r="K801" s="38"/>
      <c r="L801" s="38"/>
      <c r="M801" s="38"/>
      <c r="N801" s="38"/>
      <c r="O801" s="38"/>
      <c r="P801" s="38"/>
      <c r="Q801" s="38"/>
      <c r="R801" s="38"/>
      <c r="S801" s="38"/>
      <c r="T801" s="38"/>
      <c r="U801" s="38"/>
      <c r="V801" s="38"/>
      <c r="W801" s="38"/>
      <c r="X801" s="38"/>
      <c r="Y801" s="38"/>
      <c r="Z801" s="38"/>
    </row>
    <row r="802" spans="1:26">
      <c r="A802" s="35"/>
      <c r="B802" s="38"/>
      <c r="C802" s="38"/>
      <c r="D802" s="39"/>
      <c r="E802" s="39"/>
      <c r="F802" s="38"/>
      <c r="G802" s="38"/>
      <c r="H802" s="38"/>
      <c r="I802" s="38"/>
      <c r="J802" s="38"/>
      <c r="K802" s="38"/>
      <c r="L802" s="38"/>
      <c r="M802" s="38"/>
      <c r="N802" s="38"/>
      <c r="O802" s="38"/>
      <c r="P802" s="38"/>
      <c r="Q802" s="38"/>
      <c r="R802" s="38"/>
      <c r="S802" s="38"/>
      <c r="T802" s="38"/>
      <c r="U802" s="38"/>
      <c r="V802" s="38"/>
      <c r="W802" s="38"/>
      <c r="X802" s="38"/>
      <c r="Y802" s="38"/>
      <c r="Z802" s="38"/>
    </row>
    <row r="803" spans="1:26">
      <c r="A803" s="35"/>
      <c r="B803" s="38"/>
      <c r="C803" s="38"/>
      <c r="D803" s="39"/>
      <c r="E803" s="39"/>
      <c r="F803" s="38"/>
      <c r="G803" s="38"/>
      <c r="H803" s="38"/>
      <c r="I803" s="38"/>
      <c r="J803" s="38"/>
      <c r="K803" s="38"/>
      <c r="L803" s="38"/>
      <c r="M803" s="38"/>
      <c r="N803" s="38"/>
      <c r="O803" s="38"/>
      <c r="P803" s="38"/>
      <c r="Q803" s="38"/>
      <c r="R803" s="38"/>
      <c r="S803" s="38"/>
      <c r="T803" s="38"/>
      <c r="U803" s="38"/>
      <c r="V803" s="38"/>
      <c r="W803" s="38"/>
      <c r="X803" s="38"/>
      <c r="Y803" s="38"/>
      <c r="Z803" s="38"/>
    </row>
    <row r="804" spans="1:26">
      <c r="A804" s="35"/>
      <c r="B804" s="38"/>
      <c r="C804" s="38"/>
      <c r="D804" s="39"/>
      <c r="E804" s="39"/>
      <c r="F804" s="38"/>
      <c r="G804" s="38"/>
      <c r="H804" s="38"/>
      <c r="I804" s="38"/>
      <c r="J804" s="38"/>
      <c r="K804" s="38"/>
      <c r="L804" s="38"/>
      <c r="M804" s="38"/>
      <c r="N804" s="38"/>
      <c r="O804" s="38"/>
      <c r="P804" s="38"/>
      <c r="Q804" s="38"/>
      <c r="R804" s="38"/>
      <c r="S804" s="38"/>
      <c r="T804" s="38"/>
      <c r="U804" s="38"/>
      <c r="V804" s="38"/>
      <c r="W804" s="38"/>
      <c r="X804" s="38"/>
      <c r="Y804" s="38"/>
      <c r="Z804" s="38"/>
    </row>
    <row r="805" spans="1:26">
      <c r="A805" s="35"/>
      <c r="B805" s="38"/>
      <c r="C805" s="38"/>
      <c r="D805" s="39"/>
      <c r="E805" s="39"/>
      <c r="F805" s="38"/>
      <c r="G805" s="38"/>
      <c r="H805" s="38"/>
      <c r="I805" s="38"/>
      <c r="J805" s="38"/>
      <c r="K805" s="38"/>
      <c r="L805" s="38"/>
      <c r="M805" s="38"/>
      <c r="N805" s="38"/>
      <c r="O805" s="38"/>
      <c r="P805" s="38"/>
      <c r="Q805" s="38"/>
      <c r="R805" s="38"/>
      <c r="S805" s="38"/>
      <c r="T805" s="38"/>
      <c r="U805" s="38"/>
      <c r="V805" s="38"/>
      <c r="W805" s="38"/>
      <c r="X805" s="38"/>
      <c r="Y805" s="38"/>
      <c r="Z805" s="38"/>
    </row>
    <row r="806" spans="1:26">
      <c r="A806" s="35"/>
      <c r="B806" s="38"/>
      <c r="C806" s="38"/>
      <c r="D806" s="39"/>
      <c r="E806" s="39"/>
      <c r="F806" s="38"/>
      <c r="G806" s="38"/>
      <c r="H806" s="38"/>
      <c r="I806" s="38"/>
      <c r="J806" s="38"/>
      <c r="K806" s="38"/>
      <c r="L806" s="38"/>
      <c r="M806" s="38"/>
      <c r="N806" s="38"/>
      <c r="O806" s="38"/>
      <c r="P806" s="38"/>
      <c r="Q806" s="38"/>
      <c r="R806" s="38"/>
      <c r="S806" s="38"/>
      <c r="T806" s="38"/>
      <c r="U806" s="38"/>
      <c r="V806" s="38"/>
      <c r="W806" s="38"/>
      <c r="X806" s="38"/>
      <c r="Y806" s="38"/>
      <c r="Z806" s="38"/>
    </row>
    <row r="807" spans="1:26">
      <c r="A807" s="35"/>
      <c r="B807" s="38"/>
      <c r="C807" s="38"/>
      <c r="D807" s="39"/>
      <c r="E807" s="39"/>
      <c r="F807" s="38"/>
      <c r="G807" s="38"/>
      <c r="H807" s="38"/>
      <c r="I807" s="38"/>
      <c r="J807" s="38"/>
      <c r="K807" s="38"/>
      <c r="L807" s="38"/>
      <c r="M807" s="38"/>
      <c r="N807" s="38"/>
      <c r="O807" s="38"/>
      <c r="P807" s="38"/>
      <c r="Q807" s="38"/>
      <c r="R807" s="38"/>
      <c r="S807" s="38"/>
      <c r="T807" s="38"/>
      <c r="U807" s="38"/>
      <c r="V807" s="38"/>
      <c r="W807" s="38"/>
      <c r="X807" s="38"/>
      <c r="Y807" s="38"/>
      <c r="Z807" s="38"/>
    </row>
    <row r="808" spans="1:26">
      <c r="A808" s="35"/>
      <c r="B808" s="38"/>
      <c r="C808" s="38"/>
      <c r="D808" s="39"/>
      <c r="E808" s="39"/>
      <c r="F808" s="38"/>
      <c r="G808" s="38"/>
      <c r="H808" s="38"/>
      <c r="I808" s="38"/>
      <c r="J808" s="38"/>
      <c r="K808" s="38"/>
      <c r="L808" s="38"/>
      <c r="M808" s="38"/>
      <c r="N808" s="38"/>
      <c r="O808" s="38"/>
      <c r="P808" s="38"/>
      <c r="Q808" s="38"/>
      <c r="R808" s="38"/>
      <c r="S808" s="38"/>
      <c r="T808" s="38"/>
      <c r="U808" s="38"/>
      <c r="V808" s="38"/>
      <c r="W808" s="38"/>
      <c r="X808" s="38"/>
      <c r="Y808" s="38"/>
      <c r="Z808" s="38"/>
    </row>
    <row r="809" spans="1:26">
      <c r="A809" s="35"/>
      <c r="B809" s="38"/>
      <c r="C809" s="38"/>
      <c r="D809" s="39"/>
      <c r="E809" s="39"/>
      <c r="F809" s="38"/>
      <c r="G809" s="38"/>
      <c r="H809" s="38"/>
      <c r="I809" s="38"/>
      <c r="J809" s="38"/>
      <c r="K809" s="38"/>
      <c r="L809" s="38"/>
      <c r="M809" s="38"/>
      <c r="N809" s="38"/>
      <c r="O809" s="38"/>
      <c r="P809" s="38"/>
      <c r="Q809" s="38"/>
      <c r="R809" s="38"/>
      <c r="S809" s="38"/>
      <c r="T809" s="38"/>
      <c r="U809" s="38"/>
      <c r="V809" s="38"/>
      <c r="W809" s="38"/>
      <c r="X809" s="38"/>
      <c r="Y809" s="38"/>
      <c r="Z809" s="38"/>
    </row>
    <row r="810" spans="1:26">
      <c r="A810" s="35"/>
      <c r="B810" s="38"/>
      <c r="C810" s="38"/>
      <c r="D810" s="39"/>
      <c r="E810" s="39"/>
      <c r="F810" s="38"/>
      <c r="G810" s="38"/>
      <c r="H810" s="38"/>
      <c r="I810" s="38"/>
      <c r="J810" s="38"/>
      <c r="K810" s="38"/>
      <c r="L810" s="38"/>
      <c r="M810" s="38"/>
      <c r="N810" s="38"/>
      <c r="O810" s="38"/>
      <c r="P810" s="38"/>
      <c r="Q810" s="38"/>
      <c r="R810" s="38"/>
      <c r="S810" s="38"/>
      <c r="T810" s="38"/>
      <c r="U810" s="38"/>
      <c r="V810" s="38"/>
      <c r="W810" s="38"/>
      <c r="X810" s="38"/>
      <c r="Y810" s="38"/>
      <c r="Z810" s="38"/>
    </row>
    <row r="811" spans="1:26">
      <c r="A811" s="35"/>
      <c r="B811" s="38"/>
      <c r="C811" s="38"/>
      <c r="D811" s="39"/>
      <c r="E811" s="39"/>
      <c r="F811" s="38"/>
      <c r="G811" s="38"/>
      <c r="H811" s="38"/>
      <c r="I811" s="38"/>
      <c r="J811" s="38"/>
      <c r="K811" s="38"/>
      <c r="L811" s="38"/>
      <c r="M811" s="38"/>
      <c r="N811" s="38"/>
      <c r="O811" s="38"/>
      <c r="P811" s="38"/>
      <c r="Q811" s="38"/>
      <c r="R811" s="38"/>
      <c r="S811" s="38"/>
      <c r="T811" s="38"/>
      <c r="U811" s="38"/>
      <c r="V811" s="38"/>
      <c r="W811" s="38"/>
      <c r="X811" s="38"/>
      <c r="Y811" s="38"/>
      <c r="Z811" s="38"/>
    </row>
    <row r="812" spans="1:26">
      <c r="A812" s="35"/>
      <c r="B812" s="38"/>
      <c r="C812" s="38"/>
      <c r="D812" s="39"/>
      <c r="E812" s="39"/>
      <c r="F812" s="38"/>
      <c r="G812" s="38"/>
      <c r="H812" s="38"/>
      <c r="I812" s="38"/>
      <c r="J812" s="38"/>
      <c r="K812" s="38"/>
      <c r="L812" s="38"/>
      <c r="M812" s="38"/>
      <c r="N812" s="38"/>
      <c r="O812" s="38"/>
      <c r="P812" s="38"/>
      <c r="Q812" s="38"/>
      <c r="R812" s="38"/>
      <c r="S812" s="38"/>
      <c r="T812" s="38"/>
      <c r="U812" s="38"/>
      <c r="V812" s="38"/>
      <c r="W812" s="38"/>
      <c r="X812" s="38"/>
      <c r="Y812" s="38"/>
      <c r="Z812" s="38"/>
    </row>
    <row r="813" spans="1:26">
      <c r="A813" s="35"/>
      <c r="B813" s="38"/>
      <c r="C813" s="38"/>
      <c r="D813" s="39"/>
      <c r="E813" s="39"/>
      <c r="F813" s="38"/>
      <c r="G813" s="38"/>
      <c r="H813" s="38"/>
      <c r="I813" s="38"/>
      <c r="J813" s="38"/>
      <c r="K813" s="38"/>
      <c r="L813" s="38"/>
      <c r="M813" s="38"/>
      <c r="N813" s="38"/>
      <c r="O813" s="38"/>
      <c r="P813" s="38"/>
      <c r="Q813" s="38"/>
      <c r="R813" s="38"/>
      <c r="S813" s="38"/>
      <c r="T813" s="38"/>
      <c r="U813" s="38"/>
      <c r="V813" s="38"/>
      <c r="W813" s="38"/>
      <c r="X813" s="38"/>
      <c r="Y813" s="38"/>
      <c r="Z813" s="38"/>
    </row>
    <row r="814" spans="1:26">
      <c r="A814" s="35"/>
      <c r="B814" s="38"/>
      <c r="C814" s="38"/>
      <c r="D814" s="39"/>
      <c r="E814" s="39"/>
      <c r="F814" s="38"/>
      <c r="G814" s="38"/>
      <c r="H814" s="38"/>
      <c r="I814" s="38"/>
      <c r="J814" s="38"/>
      <c r="K814" s="38"/>
      <c r="L814" s="38"/>
      <c r="M814" s="38"/>
      <c r="N814" s="38"/>
      <c r="O814" s="38"/>
      <c r="P814" s="38"/>
      <c r="Q814" s="38"/>
      <c r="R814" s="38"/>
      <c r="S814" s="38"/>
      <c r="T814" s="38"/>
      <c r="U814" s="38"/>
      <c r="V814" s="38"/>
      <c r="W814" s="38"/>
      <c r="X814" s="38"/>
      <c r="Y814" s="38"/>
      <c r="Z814" s="38"/>
    </row>
    <row r="815" spans="1:26">
      <c r="A815" s="35"/>
      <c r="B815" s="38"/>
      <c r="C815" s="38"/>
      <c r="D815" s="39"/>
      <c r="E815" s="39"/>
      <c r="F815" s="38"/>
      <c r="G815" s="38"/>
      <c r="H815" s="38"/>
      <c r="I815" s="38"/>
      <c r="J815" s="38"/>
      <c r="K815" s="38"/>
      <c r="L815" s="38"/>
      <c r="M815" s="38"/>
      <c r="N815" s="38"/>
      <c r="O815" s="38"/>
      <c r="P815" s="38"/>
      <c r="Q815" s="38"/>
      <c r="R815" s="38"/>
      <c r="S815" s="38"/>
      <c r="T815" s="38"/>
      <c r="U815" s="38"/>
      <c r="V815" s="38"/>
      <c r="W815" s="38"/>
      <c r="X815" s="38"/>
      <c r="Y815" s="38"/>
      <c r="Z815" s="38"/>
    </row>
    <row r="816" spans="1:26">
      <c r="A816" s="35"/>
      <c r="B816" s="38"/>
      <c r="C816" s="38"/>
      <c r="D816" s="39"/>
      <c r="E816" s="39"/>
      <c r="F816" s="38"/>
      <c r="G816" s="38"/>
      <c r="H816" s="38"/>
      <c r="I816" s="38"/>
      <c r="J816" s="38"/>
      <c r="K816" s="38"/>
      <c r="L816" s="38"/>
      <c r="M816" s="38"/>
      <c r="N816" s="38"/>
      <c r="O816" s="38"/>
      <c r="P816" s="38"/>
      <c r="Q816" s="38"/>
      <c r="R816" s="38"/>
      <c r="S816" s="38"/>
      <c r="T816" s="38"/>
      <c r="U816" s="38"/>
      <c r="V816" s="38"/>
      <c r="W816" s="38"/>
      <c r="X816" s="38"/>
      <c r="Y816" s="38"/>
      <c r="Z816" s="38"/>
    </row>
    <row r="817" spans="1:26">
      <c r="A817" s="35"/>
      <c r="B817" s="38"/>
      <c r="C817" s="38"/>
      <c r="D817" s="39"/>
      <c r="E817" s="39"/>
      <c r="F817" s="38"/>
      <c r="G817" s="38"/>
      <c r="H817" s="38"/>
      <c r="I817" s="38"/>
      <c r="J817" s="38"/>
      <c r="K817" s="38"/>
      <c r="L817" s="38"/>
      <c r="M817" s="38"/>
      <c r="N817" s="38"/>
      <c r="O817" s="38"/>
      <c r="P817" s="38"/>
      <c r="Q817" s="38"/>
      <c r="R817" s="38"/>
      <c r="S817" s="38"/>
      <c r="T817" s="38"/>
      <c r="U817" s="38"/>
      <c r="V817" s="38"/>
      <c r="W817" s="38"/>
      <c r="X817" s="38"/>
      <c r="Y817" s="38"/>
      <c r="Z817" s="38"/>
    </row>
    <row r="818" spans="1:26">
      <c r="A818" s="35"/>
      <c r="B818" s="38"/>
      <c r="C818" s="38"/>
      <c r="D818" s="39"/>
      <c r="E818" s="39"/>
      <c r="F818" s="38"/>
      <c r="G818" s="38"/>
      <c r="H818" s="38"/>
      <c r="I818" s="38"/>
      <c r="J818" s="38"/>
      <c r="K818" s="38"/>
      <c r="L818" s="38"/>
      <c r="M818" s="38"/>
      <c r="N818" s="38"/>
      <c r="O818" s="38"/>
      <c r="P818" s="38"/>
      <c r="Q818" s="38"/>
      <c r="R818" s="38"/>
      <c r="S818" s="38"/>
      <c r="T818" s="38"/>
      <c r="U818" s="38"/>
      <c r="V818" s="38"/>
      <c r="W818" s="38"/>
      <c r="X818" s="38"/>
      <c r="Y818" s="38"/>
      <c r="Z818" s="38"/>
    </row>
    <row r="819" spans="1:26">
      <c r="A819" s="35"/>
      <c r="B819" s="38"/>
      <c r="C819" s="38"/>
      <c r="D819" s="39"/>
      <c r="E819" s="39"/>
      <c r="F819" s="38"/>
      <c r="G819" s="38"/>
      <c r="H819" s="38"/>
      <c r="I819" s="38"/>
      <c r="J819" s="38"/>
      <c r="K819" s="38"/>
      <c r="L819" s="38"/>
      <c r="M819" s="38"/>
      <c r="N819" s="38"/>
      <c r="O819" s="38"/>
      <c r="P819" s="38"/>
      <c r="Q819" s="38"/>
      <c r="R819" s="38"/>
      <c r="S819" s="38"/>
      <c r="T819" s="38"/>
      <c r="U819" s="38"/>
      <c r="V819" s="38"/>
      <c r="W819" s="38"/>
      <c r="X819" s="38"/>
      <c r="Y819" s="38"/>
      <c r="Z819" s="38"/>
    </row>
    <row r="820" spans="1:26">
      <c r="A820" s="35"/>
      <c r="B820" s="38"/>
      <c r="C820" s="38"/>
      <c r="D820" s="39"/>
      <c r="E820" s="39"/>
      <c r="F820" s="38"/>
      <c r="G820" s="38"/>
      <c r="H820" s="38"/>
      <c r="I820" s="38"/>
      <c r="J820" s="38"/>
      <c r="K820" s="38"/>
      <c r="L820" s="38"/>
      <c r="M820" s="38"/>
      <c r="N820" s="38"/>
      <c r="O820" s="38"/>
      <c r="P820" s="38"/>
      <c r="Q820" s="38"/>
      <c r="R820" s="38"/>
      <c r="S820" s="38"/>
      <c r="T820" s="38"/>
      <c r="U820" s="38"/>
      <c r="V820" s="38"/>
      <c r="W820" s="38"/>
      <c r="X820" s="38"/>
      <c r="Y820" s="38"/>
      <c r="Z820" s="38"/>
    </row>
    <row r="821" spans="1:26">
      <c r="A821" s="35"/>
      <c r="B821" s="38"/>
      <c r="C821" s="38"/>
      <c r="D821" s="39"/>
      <c r="E821" s="39"/>
      <c r="F821" s="38"/>
      <c r="G821" s="38"/>
      <c r="H821" s="38"/>
      <c r="I821" s="38"/>
      <c r="J821" s="38"/>
      <c r="K821" s="38"/>
      <c r="L821" s="38"/>
      <c r="M821" s="38"/>
      <c r="N821" s="38"/>
      <c r="O821" s="38"/>
      <c r="P821" s="38"/>
      <c r="Q821" s="38"/>
      <c r="R821" s="38"/>
      <c r="S821" s="38"/>
      <c r="T821" s="38"/>
      <c r="U821" s="38"/>
      <c r="V821" s="38"/>
      <c r="W821" s="38"/>
      <c r="X821" s="38"/>
      <c r="Y821" s="38"/>
      <c r="Z821" s="38"/>
    </row>
    <row r="822" spans="1:26">
      <c r="A822" s="35"/>
      <c r="B822" s="38"/>
      <c r="C822" s="38"/>
      <c r="D822" s="39"/>
      <c r="E822" s="39"/>
      <c r="F822" s="38"/>
      <c r="G822" s="38"/>
      <c r="H822" s="38"/>
      <c r="I822" s="38"/>
      <c r="J822" s="38"/>
      <c r="K822" s="38"/>
      <c r="L822" s="38"/>
      <c r="M822" s="38"/>
      <c r="N822" s="38"/>
      <c r="O822" s="38"/>
      <c r="P822" s="38"/>
      <c r="Q822" s="38"/>
      <c r="R822" s="38"/>
      <c r="S822" s="38"/>
      <c r="T822" s="38"/>
      <c r="U822" s="38"/>
      <c r="V822" s="38"/>
      <c r="W822" s="38"/>
      <c r="X822" s="38"/>
      <c r="Y822" s="38"/>
      <c r="Z822" s="38"/>
    </row>
    <row r="823" spans="1:26">
      <c r="A823" s="35"/>
      <c r="B823" s="38"/>
      <c r="C823" s="38"/>
      <c r="D823" s="39"/>
      <c r="E823" s="39"/>
      <c r="F823" s="38"/>
      <c r="G823" s="38"/>
      <c r="H823" s="38"/>
      <c r="I823" s="38"/>
      <c r="J823" s="38"/>
      <c r="K823" s="38"/>
      <c r="L823" s="38"/>
      <c r="M823" s="38"/>
      <c r="N823" s="38"/>
      <c r="O823" s="38"/>
      <c r="P823" s="38"/>
      <c r="Q823" s="38"/>
      <c r="R823" s="38"/>
      <c r="S823" s="38"/>
      <c r="T823" s="38"/>
      <c r="U823" s="38"/>
      <c r="V823" s="38"/>
      <c r="W823" s="38"/>
      <c r="X823" s="38"/>
      <c r="Y823" s="38"/>
      <c r="Z823" s="38"/>
    </row>
    <row r="824" spans="1:26">
      <c r="A824" s="35"/>
      <c r="B824" s="38"/>
      <c r="C824" s="38"/>
      <c r="D824" s="39"/>
      <c r="E824" s="39"/>
      <c r="F824" s="38"/>
      <c r="G824" s="38"/>
      <c r="H824" s="38"/>
      <c r="I824" s="38"/>
      <c r="J824" s="38"/>
      <c r="K824" s="38"/>
      <c r="L824" s="38"/>
      <c r="M824" s="38"/>
      <c r="N824" s="38"/>
      <c r="O824" s="38"/>
      <c r="P824" s="38"/>
      <c r="Q824" s="38"/>
      <c r="R824" s="38"/>
      <c r="S824" s="38"/>
      <c r="T824" s="38"/>
      <c r="U824" s="38"/>
      <c r="V824" s="38"/>
      <c r="W824" s="38"/>
      <c r="X824" s="38"/>
      <c r="Y824" s="38"/>
      <c r="Z824" s="38"/>
    </row>
    <row r="825" spans="1:26">
      <c r="A825" s="35"/>
      <c r="B825" s="38"/>
      <c r="C825" s="38"/>
      <c r="D825" s="39"/>
      <c r="E825" s="39"/>
      <c r="F825" s="38"/>
      <c r="G825" s="38"/>
      <c r="H825" s="38"/>
      <c r="I825" s="38"/>
      <c r="J825" s="38"/>
      <c r="K825" s="38"/>
      <c r="L825" s="38"/>
      <c r="M825" s="38"/>
      <c r="N825" s="38"/>
      <c r="O825" s="38"/>
      <c r="P825" s="38"/>
      <c r="Q825" s="38"/>
      <c r="R825" s="38"/>
      <c r="S825" s="38"/>
      <c r="T825" s="38"/>
      <c r="U825" s="38"/>
      <c r="V825" s="38"/>
      <c r="W825" s="38"/>
      <c r="X825" s="38"/>
      <c r="Y825" s="38"/>
      <c r="Z825" s="38"/>
    </row>
    <row r="826" spans="1:26">
      <c r="A826" s="35"/>
      <c r="B826" s="38"/>
      <c r="C826" s="38"/>
      <c r="D826" s="39"/>
      <c r="E826" s="39"/>
      <c r="F826" s="38"/>
      <c r="G826" s="38"/>
      <c r="H826" s="38"/>
      <c r="I826" s="38"/>
      <c r="J826" s="38"/>
      <c r="K826" s="38"/>
      <c r="L826" s="38"/>
      <c r="M826" s="38"/>
      <c r="N826" s="38"/>
      <c r="O826" s="38"/>
      <c r="P826" s="38"/>
      <c r="Q826" s="38"/>
      <c r="R826" s="38"/>
      <c r="S826" s="38"/>
      <c r="T826" s="38"/>
      <c r="U826" s="38"/>
      <c r="V826" s="38"/>
      <c r="W826" s="38"/>
      <c r="X826" s="38"/>
      <c r="Y826" s="38"/>
      <c r="Z826" s="38"/>
    </row>
    <row r="827" spans="1:26">
      <c r="A827" s="35"/>
      <c r="B827" s="38"/>
      <c r="C827" s="38"/>
      <c r="D827" s="39"/>
      <c r="E827" s="39"/>
      <c r="F827" s="38"/>
      <c r="G827" s="38"/>
      <c r="H827" s="38"/>
      <c r="I827" s="38"/>
      <c r="J827" s="38"/>
      <c r="K827" s="38"/>
      <c r="L827" s="38"/>
      <c r="M827" s="38"/>
      <c r="N827" s="38"/>
      <c r="O827" s="38"/>
      <c r="P827" s="38"/>
      <c r="Q827" s="38"/>
      <c r="R827" s="38"/>
      <c r="S827" s="38"/>
      <c r="T827" s="38"/>
      <c r="U827" s="38"/>
      <c r="V827" s="38"/>
      <c r="W827" s="38"/>
      <c r="X827" s="38"/>
      <c r="Y827" s="38"/>
      <c r="Z827" s="38"/>
    </row>
    <row r="828" spans="1:26">
      <c r="A828" s="35"/>
      <c r="B828" s="38"/>
      <c r="C828" s="38"/>
      <c r="D828" s="39"/>
      <c r="E828" s="39"/>
      <c r="F828" s="38"/>
      <c r="G828" s="38"/>
      <c r="H828" s="38"/>
      <c r="I828" s="38"/>
      <c r="J828" s="38"/>
      <c r="K828" s="38"/>
      <c r="L828" s="38"/>
      <c r="M828" s="38"/>
      <c r="N828" s="38"/>
      <c r="O828" s="38"/>
      <c r="P828" s="38"/>
      <c r="Q828" s="38"/>
      <c r="R828" s="38"/>
      <c r="S828" s="38"/>
      <c r="T828" s="38"/>
      <c r="U828" s="38"/>
      <c r="V828" s="38"/>
      <c r="W828" s="38"/>
      <c r="X828" s="38"/>
      <c r="Y828" s="38"/>
      <c r="Z828" s="38"/>
    </row>
    <row r="829" spans="1:26">
      <c r="A829" s="35"/>
      <c r="B829" s="38"/>
      <c r="C829" s="38"/>
      <c r="D829" s="39"/>
      <c r="E829" s="39"/>
      <c r="F829" s="38"/>
      <c r="G829" s="38"/>
      <c r="H829" s="38"/>
      <c r="I829" s="38"/>
      <c r="J829" s="38"/>
      <c r="K829" s="38"/>
      <c r="L829" s="38"/>
      <c r="M829" s="38"/>
      <c r="N829" s="38"/>
      <c r="O829" s="38"/>
      <c r="P829" s="38"/>
      <c r="Q829" s="38"/>
      <c r="R829" s="38"/>
      <c r="S829" s="38"/>
      <c r="T829" s="38"/>
      <c r="U829" s="38"/>
      <c r="V829" s="38"/>
      <c r="W829" s="38"/>
      <c r="X829" s="38"/>
      <c r="Y829" s="38"/>
      <c r="Z829" s="38"/>
    </row>
    <row r="830" spans="1:26">
      <c r="A830" s="35"/>
      <c r="B830" s="38"/>
      <c r="C830" s="38"/>
      <c r="D830" s="39"/>
      <c r="E830" s="39"/>
      <c r="F830" s="38"/>
      <c r="G830" s="38"/>
      <c r="H830" s="38"/>
      <c r="I830" s="38"/>
      <c r="J830" s="38"/>
      <c r="K830" s="38"/>
      <c r="L830" s="38"/>
      <c r="M830" s="38"/>
      <c r="N830" s="38"/>
      <c r="O830" s="38"/>
      <c r="P830" s="38"/>
      <c r="Q830" s="38"/>
      <c r="R830" s="38"/>
      <c r="S830" s="38"/>
      <c r="T830" s="38"/>
      <c r="U830" s="38"/>
      <c r="V830" s="38"/>
      <c r="W830" s="38"/>
      <c r="X830" s="38"/>
      <c r="Y830" s="38"/>
      <c r="Z830" s="38"/>
    </row>
    <row r="831" spans="1:26">
      <c r="A831" s="35"/>
      <c r="B831" s="38"/>
      <c r="C831" s="38"/>
      <c r="D831" s="39"/>
      <c r="E831" s="39"/>
      <c r="F831" s="38"/>
      <c r="G831" s="38"/>
      <c r="H831" s="38"/>
      <c r="I831" s="38"/>
      <c r="J831" s="38"/>
      <c r="K831" s="38"/>
      <c r="L831" s="38"/>
      <c r="M831" s="38"/>
      <c r="N831" s="38"/>
      <c r="O831" s="38"/>
      <c r="P831" s="38"/>
      <c r="Q831" s="38"/>
      <c r="R831" s="38"/>
      <c r="S831" s="38"/>
      <c r="T831" s="38"/>
      <c r="U831" s="38"/>
      <c r="V831" s="38"/>
      <c r="W831" s="38"/>
      <c r="X831" s="38"/>
      <c r="Y831" s="38"/>
      <c r="Z831" s="38"/>
    </row>
    <row r="832" spans="1:26">
      <c r="A832" s="35"/>
      <c r="B832" s="38"/>
      <c r="C832" s="38"/>
      <c r="D832" s="39"/>
      <c r="E832" s="39"/>
      <c r="F832" s="38"/>
      <c r="G832" s="38"/>
      <c r="H832" s="38"/>
      <c r="I832" s="38"/>
      <c r="J832" s="38"/>
      <c r="K832" s="38"/>
      <c r="L832" s="38"/>
      <c r="M832" s="38"/>
      <c r="N832" s="38"/>
      <c r="O832" s="38"/>
      <c r="P832" s="38"/>
      <c r="Q832" s="38"/>
      <c r="R832" s="38"/>
      <c r="S832" s="38"/>
      <c r="T832" s="38"/>
      <c r="U832" s="38"/>
      <c r="V832" s="38"/>
      <c r="W832" s="38"/>
      <c r="X832" s="38"/>
      <c r="Y832" s="38"/>
      <c r="Z832" s="38"/>
    </row>
    <row r="833" spans="1:26">
      <c r="A833" s="35"/>
      <c r="B833" s="38"/>
      <c r="C833" s="38"/>
      <c r="D833" s="39"/>
      <c r="E833" s="39"/>
      <c r="F833" s="38"/>
      <c r="G833" s="38"/>
      <c r="H833" s="38"/>
      <c r="I833" s="38"/>
      <c r="J833" s="38"/>
      <c r="K833" s="38"/>
      <c r="L833" s="38"/>
      <c r="M833" s="38"/>
      <c r="N833" s="38"/>
      <c r="O833" s="38"/>
      <c r="P833" s="38"/>
      <c r="Q833" s="38"/>
      <c r="R833" s="38"/>
      <c r="S833" s="38"/>
      <c r="T833" s="38"/>
      <c r="U833" s="38"/>
      <c r="V833" s="38"/>
      <c r="W833" s="38"/>
      <c r="X833" s="38"/>
      <c r="Y833" s="38"/>
      <c r="Z833" s="38"/>
    </row>
    <row r="834" spans="1:26">
      <c r="A834" s="35"/>
      <c r="B834" s="38"/>
      <c r="C834" s="38"/>
      <c r="D834" s="39"/>
      <c r="E834" s="39"/>
      <c r="F834" s="38"/>
      <c r="G834" s="38"/>
      <c r="H834" s="38"/>
      <c r="I834" s="38"/>
      <c r="J834" s="38"/>
      <c r="K834" s="38"/>
      <c r="L834" s="38"/>
      <c r="M834" s="38"/>
      <c r="N834" s="38"/>
      <c r="O834" s="38"/>
      <c r="P834" s="38"/>
      <c r="Q834" s="38"/>
      <c r="R834" s="38"/>
      <c r="S834" s="38"/>
      <c r="T834" s="38"/>
      <c r="U834" s="38"/>
      <c r="V834" s="38"/>
      <c r="W834" s="38"/>
      <c r="X834" s="38"/>
      <c r="Y834" s="38"/>
      <c r="Z834" s="38"/>
    </row>
    <row r="835" spans="1:26">
      <c r="A835" s="35"/>
      <c r="B835" s="38"/>
      <c r="C835" s="38"/>
      <c r="D835" s="39"/>
      <c r="E835" s="39"/>
      <c r="F835" s="38"/>
      <c r="G835" s="38"/>
      <c r="H835" s="38"/>
      <c r="I835" s="38"/>
      <c r="J835" s="38"/>
      <c r="K835" s="38"/>
      <c r="L835" s="38"/>
      <c r="M835" s="38"/>
      <c r="N835" s="38"/>
      <c r="O835" s="38"/>
      <c r="P835" s="38"/>
      <c r="Q835" s="38"/>
      <c r="R835" s="38"/>
      <c r="S835" s="38"/>
      <c r="T835" s="38"/>
      <c r="U835" s="38"/>
      <c r="V835" s="38"/>
      <c r="W835" s="38"/>
      <c r="X835" s="38"/>
      <c r="Y835" s="38"/>
      <c r="Z835" s="38"/>
    </row>
    <row r="836" spans="1:26">
      <c r="A836" s="35"/>
      <c r="B836" s="38"/>
      <c r="C836" s="38"/>
      <c r="D836" s="39"/>
      <c r="E836" s="39"/>
      <c r="F836" s="38"/>
      <c r="G836" s="38"/>
      <c r="H836" s="38"/>
      <c r="I836" s="38"/>
      <c r="J836" s="38"/>
      <c r="K836" s="38"/>
      <c r="L836" s="38"/>
      <c r="M836" s="38"/>
      <c r="N836" s="38"/>
      <c r="O836" s="38"/>
      <c r="P836" s="38"/>
      <c r="Q836" s="38"/>
      <c r="R836" s="38"/>
      <c r="S836" s="38"/>
      <c r="T836" s="38"/>
      <c r="U836" s="38"/>
      <c r="V836" s="38"/>
      <c r="W836" s="38"/>
      <c r="X836" s="38"/>
      <c r="Y836" s="38"/>
      <c r="Z836" s="38"/>
    </row>
    <row r="837" spans="1:26">
      <c r="A837" s="35"/>
      <c r="B837" s="38"/>
      <c r="C837" s="38"/>
      <c r="D837" s="39"/>
      <c r="E837" s="39"/>
      <c r="F837" s="38"/>
      <c r="G837" s="38"/>
      <c r="H837" s="38"/>
      <c r="I837" s="38"/>
      <c r="J837" s="38"/>
      <c r="K837" s="38"/>
      <c r="L837" s="38"/>
      <c r="M837" s="38"/>
      <c r="N837" s="38"/>
      <c r="O837" s="38"/>
      <c r="P837" s="38"/>
      <c r="Q837" s="38"/>
      <c r="R837" s="38"/>
      <c r="S837" s="38"/>
      <c r="T837" s="38"/>
      <c r="U837" s="38"/>
      <c r="V837" s="38"/>
      <c r="W837" s="38"/>
      <c r="X837" s="38"/>
      <c r="Y837" s="38"/>
      <c r="Z837" s="38"/>
    </row>
    <row r="838" spans="1:26">
      <c r="A838" s="35"/>
      <c r="B838" s="38"/>
      <c r="C838" s="38"/>
      <c r="D838" s="39"/>
      <c r="E838" s="39"/>
      <c r="F838" s="38"/>
      <c r="G838" s="38"/>
      <c r="H838" s="38"/>
      <c r="I838" s="38"/>
      <c r="J838" s="38"/>
      <c r="K838" s="38"/>
      <c r="L838" s="38"/>
      <c r="M838" s="38"/>
      <c r="N838" s="38"/>
      <c r="O838" s="38"/>
      <c r="P838" s="38"/>
      <c r="Q838" s="38"/>
      <c r="R838" s="38"/>
      <c r="S838" s="38"/>
      <c r="T838" s="38"/>
      <c r="U838" s="38"/>
      <c r="V838" s="38"/>
      <c r="W838" s="38"/>
      <c r="X838" s="38"/>
      <c r="Y838" s="38"/>
      <c r="Z838" s="38"/>
    </row>
    <row r="839" spans="1:26">
      <c r="A839" s="35"/>
      <c r="B839" s="38"/>
      <c r="C839" s="38"/>
      <c r="D839" s="39"/>
      <c r="E839" s="39"/>
      <c r="F839" s="38"/>
      <c r="G839" s="38"/>
      <c r="H839" s="38"/>
      <c r="I839" s="38"/>
      <c r="J839" s="38"/>
      <c r="K839" s="38"/>
      <c r="L839" s="38"/>
      <c r="M839" s="38"/>
      <c r="N839" s="38"/>
      <c r="O839" s="38"/>
      <c r="P839" s="38"/>
      <c r="Q839" s="38"/>
      <c r="R839" s="38"/>
      <c r="S839" s="38"/>
      <c r="T839" s="38"/>
      <c r="U839" s="38"/>
      <c r="V839" s="38"/>
      <c r="W839" s="38"/>
      <c r="X839" s="38"/>
      <c r="Y839" s="38"/>
      <c r="Z839" s="38"/>
    </row>
    <row r="840" spans="1:26">
      <c r="A840" s="35"/>
      <c r="B840" s="38"/>
      <c r="C840" s="38"/>
      <c r="D840" s="39"/>
      <c r="E840" s="39"/>
      <c r="F840" s="38"/>
      <c r="G840" s="38"/>
      <c r="H840" s="38"/>
      <c r="I840" s="38"/>
      <c r="J840" s="38"/>
      <c r="K840" s="38"/>
      <c r="L840" s="38"/>
      <c r="M840" s="38"/>
      <c r="N840" s="38"/>
      <c r="O840" s="38"/>
      <c r="P840" s="38"/>
      <c r="Q840" s="38"/>
      <c r="R840" s="38"/>
      <c r="S840" s="38"/>
      <c r="T840" s="38"/>
      <c r="U840" s="38"/>
      <c r="V840" s="38"/>
      <c r="W840" s="38"/>
      <c r="X840" s="38"/>
      <c r="Y840" s="38"/>
      <c r="Z840" s="38"/>
    </row>
    <row r="841" spans="1:26">
      <c r="A841" s="35"/>
      <c r="B841" s="38"/>
      <c r="C841" s="38"/>
      <c r="D841" s="39"/>
      <c r="E841" s="39"/>
      <c r="F841" s="38"/>
      <c r="G841" s="38"/>
      <c r="H841" s="38"/>
      <c r="I841" s="38"/>
      <c r="J841" s="38"/>
      <c r="K841" s="38"/>
      <c r="L841" s="38"/>
      <c r="M841" s="38"/>
      <c r="N841" s="38"/>
      <c r="O841" s="38"/>
      <c r="P841" s="38"/>
      <c r="Q841" s="38"/>
      <c r="R841" s="38"/>
      <c r="S841" s="38"/>
      <c r="T841" s="38"/>
      <c r="U841" s="38"/>
      <c r="V841" s="38"/>
      <c r="W841" s="38"/>
      <c r="X841" s="38"/>
      <c r="Y841" s="38"/>
      <c r="Z841" s="38"/>
    </row>
    <row r="842" spans="1:26">
      <c r="A842" s="35"/>
      <c r="B842" s="38"/>
      <c r="C842" s="38"/>
      <c r="D842" s="39"/>
      <c r="E842" s="39"/>
      <c r="F842" s="38"/>
      <c r="G842" s="38"/>
      <c r="H842" s="38"/>
      <c r="I842" s="38"/>
      <c r="J842" s="38"/>
      <c r="K842" s="38"/>
      <c r="L842" s="38"/>
      <c r="M842" s="38"/>
      <c r="N842" s="38"/>
      <c r="O842" s="38"/>
      <c r="P842" s="38"/>
      <c r="Q842" s="38"/>
      <c r="R842" s="38"/>
      <c r="S842" s="38"/>
      <c r="T842" s="38"/>
      <c r="U842" s="38"/>
      <c r="V842" s="38"/>
      <c r="W842" s="38"/>
      <c r="X842" s="38"/>
      <c r="Y842" s="38"/>
      <c r="Z842" s="38"/>
    </row>
    <row r="843" spans="1:26">
      <c r="A843" s="35"/>
      <c r="B843" s="38"/>
      <c r="C843" s="38"/>
      <c r="D843" s="39"/>
      <c r="E843" s="39"/>
      <c r="F843" s="38"/>
      <c r="G843" s="38"/>
      <c r="H843" s="38"/>
      <c r="I843" s="38"/>
      <c r="J843" s="38"/>
      <c r="K843" s="38"/>
      <c r="L843" s="38"/>
      <c r="M843" s="38"/>
      <c r="N843" s="38"/>
      <c r="O843" s="38"/>
      <c r="P843" s="38"/>
      <c r="Q843" s="38"/>
      <c r="R843" s="38"/>
      <c r="S843" s="38"/>
      <c r="T843" s="38"/>
      <c r="U843" s="38"/>
      <c r="V843" s="38"/>
      <c r="W843" s="38"/>
      <c r="X843" s="38"/>
      <c r="Y843" s="38"/>
      <c r="Z843" s="38"/>
    </row>
    <row r="844" spans="1:26">
      <c r="A844" s="35"/>
      <c r="B844" s="38"/>
      <c r="C844" s="38"/>
      <c r="D844" s="39"/>
      <c r="E844" s="39"/>
      <c r="F844" s="38"/>
      <c r="G844" s="38"/>
      <c r="H844" s="38"/>
      <c r="I844" s="38"/>
      <c r="J844" s="38"/>
      <c r="K844" s="38"/>
      <c r="L844" s="38"/>
      <c r="M844" s="38"/>
      <c r="N844" s="38"/>
      <c r="O844" s="38"/>
      <c r="P844" s="38"/>
      <c r="Q844" s="38"/>
      <c r="R844" s="38"/>
      <c r="S844" s="38"/>
      <c r="T844" s="38"/>
      <c r="U844" s="38"/>
      <c r="V844" s="38"/>
      <c r="W844" s="38"/>
      <c r="X844" s="38"/>
      <c r="Y844" s="38"/>
      <c r="Z844" s="38"/>
    </row>
    <row r="845" spans="1:26">
      <c r="A845" s="35"/>
      <c r="B845" s="38"/>
      <c r="C845" s="38"/>
      <c r="D845" s="39"/>
      <c r="E845" s="39"/>
      <c r="F845" s="38"/>
      <c r="G845" s="38"/>
      <c r="H845" s="38"/>
      <c r="I845" s="38"/>
      <c r="J845" s="38"/>
      <c r="K845" s="38"/>
      <c r="L845" s="38"/>
      <c r="M845" s="38"/>
      <c r="N845" s="38"/>
      <c r="O845" s="38"/>
      <c r="P845" s="38"/>
      <c r="Q845" s="38"/>
      <c r="R845" s="38"/>
      <c r="S845" s="38"/>
      <c r="T845" s="38"/>
      <c r="U845" s="38"/>
      <c r="V845" s="38"/>
      <c r="W845" s="38"/>
      <c r="X845" s="38"/>
      <c r="Y845" s="38"/>
      <c r="Z845" s="38"/>
    </row>
    <row r="846" spans="1:26">
      <c r="A846" s="35"/>
      <c r="B846" s="38"/>
      <c r="C846" s="38"/>
      <c r="D846" s="39"/>
      <c r="E846" s="39"/>
      <c r="F846" s="38"/>
      <c r="G846" s="38"/>
      <c r="H846" s="38"/>
      <c r="I846" s="38"/>
      <c r="J846" s="38"/>
      <c r="K846" s="38"/>
      <c r="L846" s="38"/>
      <c r="M846" s="38"/>
      <c r="N846" s="38"/>
      <c r="O846" s="38"/>
      <c r="P846" s="38"/>
      <c r="Q846" s="38"/>
      <c r="R846" s="38"/>
      <c r="S846" s="38"/>
      <c r="T846" s="38"/>
      <c r="U846" s="38"/>
      <c r="V846" s="38"/>
      <c r="W846" s="38"/>
      <c r="X846" s="38"/>
      <c r="Y846" s="38"/>
      <c r="Z846" s="38"/>
    </row>
    <row r="847" spans="1:26">
      <c r="A847" s="35"/>
      <c r="B847" s="38"/>
      <c r="C847" s="38"/>
      <c r="D847" s="39"/>
      <c r="E847" s="39"/>
      <c r="F847" s="38"/>
      <c r="G847" s="38"/>
      <c r="H847" s="38"/>
      <c r="I847" s="38"/>
      <c r="J847" s="38"/>
      <c r="K847" s="38"/>
      <c r="L847" s="38"/>
      <c r="M847" s="38"/>
      <c r="N847" s="38"/>
      <c r="O847" s="38"/>
      <c r="P847" s="38"/>
      <c r="Q847" s="38"/>
      <c r="R847" s="38"/>
      <c r="S847" s="38"/>
      <c r="T847" s="38"/>
      <c r="U847" s="38"/>
      <c r="V847" s="38"/>
      <c r="W847" s="38"/>
      <c r="X847" s="38"/>
      <c r="Y847" s="38"/>
      <c r="Z847" s="38"/>
    </row>
    <row r="848" spans="1:26">
      <c r="A848" s="35"/>
      <c r="B848" s="38"/>
      <c r="C848" s="38"/>
      <c r="D848" s="39"/>
      <c r="E848" s="39"/>
      <c r="F848" s="38"/>
      <c r="G848" s="38"/>
      <c r="H848" s="38"/>
      <c r="I848" s="38"/>
      <c r="J848" s="38"/>
      <c r="K848" s="38"/>
      <c r="L848" s="38"/>
      <c r="M848" s="38"/>
      <c r="N848" s="38"/>
      <c r="O848" s="38"/>
      <c r="P848" s="38"/>
      <c r="Q848" s="38"/>
      <c r="R848" s="38"/>
      <c r="S848" s="38"/>
      <c r="T848" s="38"/>
      <c r="U848" s="38"/>
      <c r="V848" s="38"/>
      <c r="W848" s="38"/>
      <c r="X848" s="38"/>
      <c r="Y848" s="38"/>
      <c r="Z848" s="38"/>
    </row>
    <row r="849" spans="1:26">
      <c r="A849" s="35"/>
      <c r="B849" s="38"/>
      <c r="C849" s="38"/>
      <c r="D849" s="39"/>
      <c r="E849" s="39"/>
      <c r="F849" s="38"/>
      <c r="G849" s="38"/>
      <c r="H849" s="38"/>
      <c r="I849" s="38"/>
      <c r="J849" s="38"/>
      <c r="K849" s="38"/>
      <c r="L849" s="38"/>
      <c r="M849" s="38"/>
      <c r="N849" s="38"/>
      <c r="O849" s="38"/>
      <c r="P849" s="38"/>
      <c r="Q849" s="38"/>
      <c r="R849" s="38"/>
      <c r="S849" s="38"/>
      <c r="T849" s="38"/>
      <c r="U849" s="38"/>
      <c r="V849" s="38"/>
      <c r="W849" s="38"/>
      <c r="X849" s="38"/>
      <c r="Y849" s="38"/>
      <c r="Z849" s="38"/>
    </row>
    <row r="850" spans="1:26">
      <c r="A850" s="35"/>
      <c r="B850" s="38"/>
      <c r="C850" s="38"/>
      <c r="D850" s="39"/>
      <c r="E850" s="39"/>
      <c r="F850" s="38"/>
      <c r="G850" s="38"/>
      <c r="H850" s="38"/>
      <c r="I850" s="38"/>
      <c r="J850" s="38"/>
      <c r="K850" s="38"/>
      <c r="L850" s="38"/>
      <c r="M850" s="38"/>
      <c r="N850" s="38"/>
      <c r="O850" s="38"/>
      <c r="P850" s="38"/>
      <c r="Q850" s="38"/>
      <c r="R850" s="38"/>
      <c r="S850" s="38"/>
      <c r="T850" s="38"/>
      <c r="U850" s="38"/>
      <c r="V850" s="38"/>
      <c r="W850" s="38"/>
      <c r="X850" s="38"/>
      <c r="Y850" s="38"/>
      <c r="Z850" s="38"/>
    </row>
    <row r="851" spans="1:26">
      <c r="A851" s="35"/>
      <c r="B851" s="38"/>
      <c r="C851" s="38"/>
      <c r="D851" s="39"/>
      <c r="E851" s="39"/>
      <c r="F851" s="38"/>
      <c r="G851" s="38"/>
      <c r="H851" s="38"/>
      <c r="I851" s="38"/>
      <c r="J851" s="38"/>
      <c r="K851" s="38"/>
      <c r="L851" s="38"/>
      <c r="M851" s="38"/>
      <c r="N851" s="38"/>
      <c r="O851" s="38"/>
      <c r="P851" s="38"/>
      <c r="Q851" s="38"/>
      <c r="R851" s="38"/>
      <c r="S851" s="38"/>
      <c r="T851" s="38"/>
      <c r="U851" s="38"/>
      <c r="V851" s="38"/>
      <c r="W851" s="38"/>
      <c r="X851" s="38"/>
      <c r="Y851" s="38"/>
      <c r="Z851" s="38"/>
    </row>
    <row r="852" spans="1:26">
      <c r="A852" s="35"/>
      <c r="B852" s="38"/>
      <c r="C852" s="38"/>
      <c r="D852" s="39"/>
      <c r="E852" s="39"/>
      <c r="F852" s="38"/>
      <c r="G852" s="38"/>
      <c r="H852" s="38"/>
      <c r="I852" s="38"/>
      <c r="J852" s="38"/>
      <c r="K852" s="38"/>
      <c r="L852" s="38"/>
      <c r="M852" s="38"/>
      <c r="N852" s="38"/>
      <c r="O852" s="38"/>
      <c r="P852" s="38"/>
      <c r="Q852" s="38"/>
      <c r="R852" s="38"/>
      <c r="S852" s="38"/>
      <c r="T852" s="38"/>
      <c r="U852" s="38"/>
      <c r="V852" s="38"/>
      <c r="W852" s="38"/>
      <c r="X852" s="38"/>
      <c r="Y852" s="38"/>
      <c r="Z852" s="38"/>
    </row>
    <row r="853" spans="1:26">
      <c r="A853" s="35"/>
      <c r="B853" s="38"/>
      <c r="C853" s="38"/>
      <c r="D853" s="39"/>
      <c r="E853" s="39"/>
      <c r="F853" s="38"/>
      <c r="G853" s="38"/>
      <c r="H853" s="38"/>
      <c r="I853" s="38"/>
      <c r="J853" s="38"/>
      <c r="K853" s="38"/>
      <c r="L853" s="38"/>
      <c r="M853" s="38"/>
      <c r="N853" s="38"/>
      <c r="O853" s="38"/>
      <c r="P853" s="38"/>
      <c r="Q853" s="38"/>
      <c r="R853" s="38"/>
      <c r="S853" s="38"/>
      <c r="T853" s="38"/>
      <c r="U853" s="38"/>
      <c r="V853" s="38"/>
      <c r="W853" s="38"/>
      <c r="X853" s="38"/>
      <c r="Y853" s="38"/>
      <c r="Z853" s="38"/>
    </row>
    <row r="854" spans="1:26">
      <c r="A854" s="35"/>
      <c r="B854" s="38"/>
      <c r="C854" s="38"/>
      <c r="D854" s="39"/>
      <c r="E854" s="39"/>
      <c r="F854" s="38"/>
      <c r="G854" s="38"/>
      <c r="H854" s="38"/>
      <c r="I854" s="38"/>
      <c r="J854" s="38"/>
      <c r="K854" s="38"/>
      <c r="L854" s="38"/>
      <c r="M854" s="38"/>
      <c r="N854" s="38"/>
      <c r="O854" s="38"/>
      <c r="P854" s="38"/>
      <c r="Q854" s="38"/>
      <c r="R854" s="38"/>
      <c r="S854" s="38"/>
      <c r="T854" s="38"/>
      <c r="U854" s="38"/>
      <c r="V854" s="38"/>
      <c r="W854" s="38"/>
      <c r="X854" s="38"/>
      <c r="Y854" s="38"/>
      <c r="Z854" s="38"/>
    </row>
    <row r="855" spans="1:26">
      <c r="A855" s="35"/>
      <c r="B855" s="38"/>
      <c r="C855" s="38"/>
      <c r="D855" s="39"/>
      <c r="E855" s="39"/>
      <c r="F855" s="38"/>
      <c r="G855" s="38"/>
      <c r="H855" s="38"/>
      <c r="I855" s="38"/>
      <c r="J855" s="38"/>
      <c r="K855" s="38"/>
      <c r="L855" s="38"/>
      <c r="M855" s="38"/>
      <c r="N855" s="38"/>
      <c r="O855" s="38"/>
      <c r="P855" s="38"/>
      <c r="Q855" s="38"/>
      <c r="R855" s="38"/>
      <c r="S855" s="38"/>
      <c r="T855" s="38"/>
      <c r="U855" s="38"/>
      <c r="V855" s="38"/>
      <c r="W855" s="38"/>
      <c r="X855" s="38"/>
      <c r="Y855" s="38"/>
      <c r="Z855" s="38"/>
    </row>
    <row r="856" spans="1:26">
      <c r="A856" s="35"/>
      <c r="B856" s="38"/>
      <c r="C856" s="38"/>
      <c r="D856" s="39"/>
      <c r="E856" s="39"/>
      <c r="F856" s="38"/>
      <c r="G856" s="38"/>
      <c r="H856" s="38"/>
      <c r="I856" s="38"/>
      <c r="J856" s="38"/>
      <c r="K856" s="38"/>
      <c r="L856" s="38"/>
      <c r="M856" s="38"/>
      <c r="N856" s="38"/>
      <c r="O856" s="38"/>
      <c r="P856" s="38"/>
      <c r="Q856" s="38"/>
      <c r="R856" s="38"/>
      <c r="S856" s="38"/>
      <c r="T856" s="38"/>
      <c r="U856" s="38"/>
      <c r="V856" s="38"/>
      <c r="W856" s="38"/>
      <c r="X856" s="38"/>
      <c r="Y856" s="38"/>
      <c r="Z856" s="38"/>
    </row>
    <row r="857" spans="1:26">
      <c r="A857" s="35"/>
      <c r="B857" s="38"/>
      <c r="C857" s="38"/>
      <c r="D857" s="39"/>
      <c r="E857" s="39"/>
      <c r="F857" s="38"/>
      <c r="G857" s="38"/>
      <c r="H857" s="38"/>
      <c r="I857" s="38"/>
      <c r="J857" s="38"/>
      <c r="K857" s="38"/>
      <c r="L857" s="38"/>
      <c r="M857" s="38"/>
      <c r="N857" s="38"/>
      <c r="O857" s="38"/>
      <c r="P857" s="38"/>
      <c r="Q857" s="38"/>
      <c r="R857" s="38"/>
      <c r="S857" s="38"/>
      <c r="T857" s="38"/>
      <c r="U857" s="38"/>
      <c r="V857" s="38"/>
      <c r="W857" s="38"/>
      <c r="X857" s="38"/>
      <c r="Y857" s="38"/>
      <c r="Z857" s="38"/>
    </row>
    <row r="858" spans="1:26">
      <c r="A858" s="35"/>
      <c r="B858" s="38"/>
      <c r="C858" s="38"/>
      <c r="D858" s="39"/>
      <c r="E858" s="39"/>
      <c r="F858" s="38"/>
      <c r="G858" s="38"/>
      <c r="H858" s="38"/>
      <c r="I858" s="38"/>
      <c r="J858" s="38"/>
      <c r="K858" s="38"/>
      <c r="L858" s="38"/>
      <c r="M858" s="38"/>
      <c r="N858" s="38"/>
      <c r="O858" s="38"/>
      <c r="P858" s="38"/>
      <c r="Q858" s="38"/>
      <c r="R858" s="38"/>
      <c r="S858" s="38"/>
      <c r="T858" s="38"/>
      <c r="U858" s="38"/>
      <c r="V858" s="38"/>
      <c r="W858" s="38"/>
      <c r="X858" s="38"/>
      <c r="Y858" s="38"/>
      <c r="Z858" s="38"/>
    </row>
    <row r="859" spans="1:26">
      <c r="A859" s="35"/>
      <c r="B859" s="38"/>
      <c r="C859" s="38"/>
      <c r="D859" s="39"/>
      <c r="E859" s="39"/>
      <c r="F859" s="38"/>
      <c r="G859" s="38"/>
      <c r="H859" s="38"/>
      <c r="I859" s="38"/>
      <c r="J859" s="38"/>
      <c r="K859" s="38"/>
      <c r="L859" s="38"/>
      <c r="M859" s="38"/>
      <c r="N859" s="38"/>
      <c r="O859" s="38"/>
      <c r="P859" s="38"/>
      <c r="Q859" s="38"/>
      <c r="R859" s="38"/>
      <c r="S859" s="38"/>
      <c r="T859" s="38"/>
      <c r="U859" s="38"/>
      <c r="V859" s="38"/>
      <c r="W859" s="38"/>
      <c r="X859" s="38"/>
      <c r="Y859" s="38"/>
      <c r="Z859" s="38"/>
    </row>
    <row r="860" spans="1:26">
      <c r="A860" s="35"/>
      <c r="B860" s="38"/>
      <c r="C860" s="38"/>
      <c r="D860" s="39"/>
      <c r="E860" s="39"/>
      <c r="F860" s="38"/>
      <c r="G860" s="38"/>
      <c r="H860" s="38"/>
      <c r="I860" s="38"/>
      <c r="J860" s="38"/>
      <c r="K860" s="38"/>
      <c r="L860" s="38"/>
      <c r="M860" s="38"/>
      <c r="N860" s="38"/>
      <c r="O860" s="38"/>
      <c r="P860" s="38"/>
      <c r="Q860" s="38"/>
      <c r="R860" s="38"/>
      <c r="S860" s="38"/>
      <c r="T860" s="38"/>
      <c r="U860" s="38"/>
      <c r="V860" s="38"/>
      <c r="W860" s="38"/>
      <c r="X860" s="38"/>
      <c r="Y860" s="38"/>
      <c r="Z860" s="38"/>
    </row>
    <row r="861" spans="1:26">
      <c r="A861" s="35"/>
      <c r="B861" s="38"/>
      <c r="C861" s="38"/>
      <c r="D861" s="39"/>
      <c r="E861" s="39"/>
      <c r="F861" s="38"/>
      <c r="G861" s="38"/>
      <c r="H861" s="38"/>
      <c r="I861" s="38"/>
      <c r="J861" s="38"/>
      <c r="K861" s="38"/>
      <c r="L861" s="38"/>
      <c r="M861" s="38"/>
      <c r="N861" s="38"/>
      <c r="O861" s="38"/>
      <c r="P861" s="38"/>
      <c r="Q861" s="38"/>
      <c r="R861" s="38"/>
      <c r="S861" s="38"/>
      <c r="T861" s="38"/>
      <c r="U861" s="38"/>
      <c r="V861" s="38"/>
      <c r="W861" s="38"/>
      <c r="X861" s="38"/>
      <c r="Y861" s="38"/>
      <c r="Z861" s="38"/>
    </row>
    <row r="862" spans="1:26">
      <c r="A862" s="35"/>
      <c r="B862" s="38"/>
      <c r="C862" s="38"/>
      <c r="D862" s="39"/>
      <c r="E862" s="39"/>
      <c r="F862" s="38"/>
      <c r="G862" s="38"/>
      <c r="H862" s="38"/>
      <c r="I862" s="38"/>
      <c r="J862" s="38"/>
      <c r="K862" s="38"/>
      <c r="L862" s="38"/>
      <c r="M862" s="38"/>
      <c r="N862" s="38"/>
      <c r="O862" s="38"/>
      <c r="P862" s="38"/>
      <c r="Q862" s="38"/>
      <c r="R862" s="38"/>
      <c r="S862" s="38"/>
      <c r="T862" s="38"/>
      <c r="U862" s="38"/>
      <c r="V862" s="38"/>
      <c r="W862" s="38"/>
      <c r="X862" s="38"/>
      <c r="Y862" s="38"/>
      <c r="Z862" s="38"/>
    </row>
    <row r="863" spans="1:26">
      <c r="A863" s="35"/>
      <c r="B863" s="38"/>
      <c r="C863" s="38"/>
      <c r="D863" s="39"/>
      <c r="E863" s="39"/>
      <c r="F863" s="38"/>
      <c r="G863" s="38"/>
      <c r="H863" s="38"/>
      <c r="I863" s="38"/>
      <c r="J863" s="38"/>
      <c r="K863" s="38"/>
      <c r="L863" s="38"/>
      <c r="M863" s="38"/>
      <c r="N863" s="38"/>
      <c r="O863" s="38"/>
      <c r="P863" s="38"/>
      <c r="Q863" s="38"/>
      <c r="R863" s="38"/>
      <c r="S863" s="38"/>
      <c r="T863" s="38"/>
      <c r="U863" s="38"/>
      <c r="V863" s="38"/>
      <c r="W863" s="38"/>
      <c r="X863" s="38"/>
      <c r="Y863" s="38"/>
      <c r="Z863" s="38"/>
    </row>
    <row r="864" spans="1:26">
      <c r="A864" s="35"/>
      <c r="B864" s="38"/>
      <c r="C864" s="38"/>
      <c r="D864" s="39"/>
      <c r="E864" s="39"/>
      <c r="F864" s="38"/>
      <c r="G864" s="38"/>
      <c r="H864" s="38"/>
      <c r="I864" s="38"/>
      <c r="J864" s="38"/>
      <c r="K864" s="38"/>
      <c r="L864" s="38"/>
      <c r="M864" s="38"/>
      <c r="N864" s="38"/>
      <c r="O864" s="38"/>
      <c r="P864" s="38"/>
      <c r="Q864" s="38"/>
      <c r="R864" s="38"/>
      <c r="S864" s="38"/>
      <c r="T864" s="38"/>
      <c r="U864" s="38"/>
      <c r="V864" s="38"/>
      <c r="W864" s="38"/>
      <c r="X864" s="38"/>
      <c r="Y864" s="38"/>
      <c r="Z864" s="38"/>
    </row>
    <row r="865" spans="1:26">
      <c r="A865" s="35"/>
      <c r="B865" s="38"/>
      <c r="C865" s="38"/>
      <c r="D865" s="39"/>
      <c r="E865" s="39"/>
      <c r="F865" s="38"/>
      <c r="G865" s="38"/>
      <c r="H865" s="38"/>
      <c r="I865" s="38"/>
      <c r="J865" s="38"/>
      <c r="K865" s="38"/>
      <c r="L865" s="38"/>
      <c r="M865" s="38"/>
      <c r="N865" s="38"/>
      <c r="O865" s="38"/>
      <c r="P865" s="38"/>
      <c r="Q865" s="38"/>
      <c r="R865" s="38"/>
      <c r="S865" s="38"/>
      <c r="T865" s="38"/>
      <c r="U865" s="38"/>
      <c r="V865" s="38"/>
      <c r="W865" s="38"/>
      <c r="X865" s="38"/>
      <c r="Y865" s="38"/>
      <c r="Z865" s="38"/>
    </row>
    <row r="866" spans="1:26">
      <c r="A866" s="35"/>
      <c r="B866" s="38"/>
      <c r="C866" s="38"/>
      <c r="D866" s="39"/>
      <c r="E866" s="39"/>
      <c r="F866" s="38"/>
      <c r="G866" s="38"/>
      <c r="H866" s="38"/>
      <c r="I866" s="38"/>
      <c r="J866" s="38"/>
      <c r="K866" s="38"/>
      <c r="L866" s="38"/>
      <c r="M866" s="38"/>
      <c r="N866" s="38"/>
      <c r="O866" s="38"/>
      <c r="P866" s="38"/>
      <c r="Q866" s="38"/>
      <c r="R866" s="38"/>
      <c r="S866" s="38"/>
      <c r="T866" s="38"/>
      <c r="U866" s="38"/>
      <c r="V866" s="38"/>
      <c r="W866" s="38"/>
      <c r="X866" s="38"/>
      <c r="Y866" s="38"/>
      <c r="Z866" s="38"/>
    </row>
    <row r="867" spans="1:26">
      <c r="A867" s="35"/>
      <c r="B867" s="38"/>
      <c r="C867" s="38"/>
      <c r="D867" s="39"/>
      <c r="E867" s="39"/>
      <c r="F867" s="38"/>
      <c r="G867" s="38"/>
      <c r="H867" s="38"/>
      <c r="I867" s="38"/>
      <c r="J867" s="38"/>
      <c r="K867" s="38"/>
      <c r="L867" s="38"/>
      <c r="M867" s="38"/>
      <c r="N867" s="38"/>
      <c r="O867" s="38"/>
      <c r="P867" s="38"/>
      <c r="Q867" s="38"/>
      <c r="R867" s="38"/>
      <c r="S867" s="38"/>
      <c r="T867" s="38"/>
      <c r="U867" s="38"/>
      <c r="V867" s="38"/>
      <c r="W867" s="38"/>
      <c r="X867" s="38"/>
      <c r="Y867" s="38"/>
      <c r="Z867" s="38"/>
    </row>
    <row r="868" spans="1:26">
      <c r="A868" s="35"/>
      <c r="B868" s="38"/>
      <c r="C868" s="38"/>
      <c r="D868" s="39"/>
      <c r="E868" s="39"/>
      <c r="F868" s="38"/>
      <c r="G868" s="38"/>
      <c r="H868" s="38"/>
      <c r="I868" s="38"/>
      <c r="J868" s="38"/>
      <c r="K868" s="38"/>
      <c r="L868" s="38"/>
      <c r="M868" s="38"/>
      <c r="N868" s="38"/>
      <c r="O868" s="38"/>
      <c r="P868" s="38"/>
      <c r="Q868" s="38"/>
      <c r="R868" s="38"/>
      <c r="S868" s="38"/>
      <c r="T868" s="38"/>
      <c r="U868" s="38"/>
      <c r="V868" s="38"/>
      <c r="W868" s="38"/>
      <c r="X868" s="38"/>
      <c r="Y868" s="38"/>
      <c r="Z868" s="38"/>
    </row>
    <row r="869" spans="1:26">
      <c r="A869" s="35"/>
      <c r="B869" s="38"/>
      <c r="C869" s="38"/>
      <c r="D869" s="39"/>
      <c r="E869" s="39"/>
      <c r="F869" s="38"/>
      <c r="G869" s="38"/>
      <c r="H869" s="38"/>
      <c r="I869" s="38"/>
      <c r="J869" s="38"/>
      <c r="K869" s="38"/>
      <c r="L869" s="38"/>
      <c r="M869" s="38"/>
      <c r="N869" s="38"/>
      <c r="O869" s="38"/>
      <c r="P869" s="38"/>
      <c r="Q869" s="38"/>
      <c r="R869" s="38"/>
      <c r="S869" s="38"/>
      <c r="T869" s="38"/>
      <c r="U869" s="38"/>
      <c r="V869" s="38"/>
      <c r="W869" s="38"/>
      <c r="X869" s="38"/>
      <c r="Y869" s="38"/>
      <c r="Z869" s="38"/>
    </row>
    <row r="870" spans="1:26">
      <c r="A870" s="35"/>
      <c r="B870" s="38"/>
      <c r="C870" s="38"/>
      <c r="D870" s="39"/>
      <c r="E870" s="39"/>
      <c r="F870" s="38"/>
      <c r="G870" s="38"/>
      <c r="H870" s="38"/>
      <c r="I870" s="38"/>
      <c r="J870" s="38"/>
      <c r="K870" s="38"/>
      <c r="L870" s="38"/>
      <c r="M870" s="38"/>
      <c r="N870" s="38"/>
      <c r="O870" s="38"/>
      <c r="P870" s="38"/>
      <c r="Q870" s="38"/>
      <c r="R870" s="38"/>
      <c r="S870" s="38"/>
      <c r="T870" s="38"/>
      <c r="U870" s="38"/>
      <c r="V870" s="38"/>
      <c r="W870" s="38"/>
      <c r="X870" s="38"/>
      <c r="Y870" s="38"/>
      <c r="Z870" s="38"/>
    </row>
    <row r="871" spans="1:26">
      <c r="A871" s="35"/>
      <c r="B871" s="38"/>
      <c r="C871" s="38"/>
      <c r="D871" s="39"/>
      <c r="E871" s="39"/>
      <c r="F871" s="38"/>
      <c r="G871" s="38"/>
      <c r="H871" s="38"/>
      <c r="I871" s="38"/>
      <c r="J871" s="38"/>
      <c r="K871" s="38"/>
      <c r="L871" s="38"/>
      <c r="M871" s="38"/>
      <c r="N871" s="38"/>
      <c r="O871" s="38"/>
      <c r="P871" s="38"/>
      <c r="Q871" s="38"/>
      <c r="R871" s="38"/>
      <c r="S871" s="38"/>
      <c r="T871" s="38"/>
      <c r="U871" s="38"/>
      <c r="V871" s="38"/>
      <c r="W871" s="38"/>
      <c r="X871" s="38"/>
      <c r="Y871" s="38"/>
      <c r="Z871" s="38"/>
    </row>
    <row r="872" spans="1:26">
      <c r="A872" s="35"/>
      <c r="B872" s="38"/>
      <c r="C872" s="38"/>
      <c r="D872" s="39"/>
      <c r="E872" s="39"/>
      <c r="F872" s="38"/>
      <c r="G872" s="38"/>
      <c r="H872" s="38"/>
      <c r="I872" s="38"/>
      <c r="J872" s="38"/>
      <c r="K872" s="38"/>
      <c r="L872" s="38"/>
      <c r="M872" s="38"/>
      <c r="N872" s="38"/>
      <c r="O872" s="38"/>
      <c r="P872" s="38"/>
      <c r="Q872" s="38"/>
      <c r="R872" s="38"/>
      <c r="S872" s="38"/>
      <c r="T872" s="38"/>
      <c r="U872" s="38"/>
      <c r="V872" s="38"/>
      <c r="W872" s="38"/>
      <c r="X872" s="38"/>
      <c r="Y872" s="38"/>
      <c r="Z872" s="38"/>
    </row>
    <row r="873" spans="1:26">
      <c r="A873" s="35"/>
      <c r="B873" s="38"/>
      <c r="C873" s="38"/>
      <c r="D873" s="39"/>
      <c r="E873" s="39"/>
      <c r="F873" s="38"/>
      <c r="G873" s="38"/>
      <c r="H873" s="38"/>
      <c r="I873" s="38"/>
      <c r="J873" s="38"/>
      <c r="K873" s="38"/>
      <c r="L873" s="38"/>
      <c r="M873" s="38"/>
      <c r="N873" s="38"/>
      <c r="O873" s="38"/>
      <c r="P873" s="38"/>
      <c r="Q873" s="38"/>
      <c r="R873" s="38"/>
      <c r="S873" s="38"/>
      <c r="T873" s="38"/>
      <c r="U873" s="38"/>
      <c r="V873" s="38"/>
      <c r="W873" s="38"/>
      <c r="X873" s="38"/>
      <c r="Y873" s="38"/>
      <c r="Z873" s="38"/>
    </row>
    <row r="874" spans="1:26">
      <c r="A874" s="35"/>
      <c r="B874" s="38"/>
      <c r="C874" s="38"/>
      <c r="D874" s="39"/>
      <c r="E874" s="39"/>
      <c r="F874" s="38"/>
      <c r="G874" s="38"/>
      <c r="H874" s="38"/>
      <c r="I874" s="38"/>
      <c r="J874" s="38"/>
      <c r="K874" s="38"/>
      <c r="L874" s="38"/>
      <c r="M874" s="38"/>
      <c r="N874" s="38"/>
      <c r="O874" s="38"/>
      <c r="P874" s="38"/>
      <c r="Q874" s="38"/>
      <c r="R874" s="38"/>
      <c r="S874" s="38"/>
      <c r="T874" s="38"/>
      <c r="U874" s="38"/>
      <c r="V874" s="38"/>
      <c r="W874" s="38"/>
      <c r="X874" s="38"/>
      <c r="Y874" s="38"/>
      <c r="Z874" s="38"/>
    </row>
    <row r="875" spans="1:26">
      <c r="A875" s="35"/>
      <c r="B875" s="38"/>
      <c r="C875" s="38"/>
      <c r="D875" s="39"/>
      <c r="E875" s="39"/>
      <c r="F875" s="38"/>
      <c r="G875" s="38"/>
      <c r="H875" s="38"/>
      <c r="I875" s="38"/>
      <c r="J875" s="38"/>
      <c r="K875" s="38"/>
      <c r="L875" s="38"/>
      <c r="M875" s="38"/>
      <c r="N875" s="38"/>
      <c r="O875" s="38"/>
      <c r="P875" s="38"/>
      <c r="Q875" s="38"/>
      <c r="R875" s="38"/>
      <c r="S875" s="38"/>
      <c r="T875" s="38"/>
      <c r="U875" s="38"/>
      <c r="V875" s="38"/>
      <c r="W875" s="38"/>
      <c r="X875" s="38"/>
      <c r="Y875" s="38"/>
      <c r="Z875" s="38"/>
    </row>
    <row r="876" spans="1:26">
      <c r="A876" s="35"/>
      <c r="B876" s="38"/>
      <c r="C876" s="38"/>
      <c r="D876" s="39"/>
      <c r="E876" s="39"/>
      <c r="F876" s="38"/>
      <c r="G876" s="38"/>
      <c r="H876" s="38"/>
      <c r="I876" s="38"/>
      <c r="J876" s="38"/>
      <c r="K876" s="38"/>
      <c r="L876" s="38"/>
      <c r="M876" s="38"/>
      <c r="N876" s="38"/>
      <c r="O876" s="38"/>
      <c r="P876" s="38"/>
      <c r="Q876" s="38"/>
      <c r="R876" s="38"/>
      <c r="S876" s="38"/>
      <c r="T876" s="38"/>
      <c r="U876" s="38"/>
      <c r="V876" s="38"/>
      <c r="W876" s="38"/>
      <c r="X876" s="38"/>
      <c r="Y876" s="38"/>
      <c r="Z876" s="38"/>
    </row>
    <row r="877" spans="1:26">
      <c r="A877" s="35"/>
      <c r="B877" s="38"/>
      <c r="C877" s="38"/>
      <c r="D877" s="39"/>
      <c r="E877" s="39"/>
      <c r="F877" s="38"/>
      <c r="G877" s="38"/>
      <c r="H877" s="38"/>
      <c r="I877" s="38"/>
      <c r="J877" s="38"/>
      <c r="K877" s="38"/>
      <c r="L877" s="38"/>
      <c r="M877" s="38"/>
      <c r="N877" s="38"/>
      <c r="O877" s="38"/>
      <c r="P877" s="38"/>
      <c r="Q877" s="38"/>
      <c r="R877" s="38"/>
      <c r="S877" s="38"/>
      <c r="T877" s="38"/>
      <c r="U877" s="38"/>
      <c r="V877" s="38"/>
      <c r="W877" s="38"/>
      <c r="X877" s="38"/>
      <c r="Y877" s="38"/>
      <c r="Z877" s="38"/>
    </row>
    <row r="878" spans="1:26">
      <c r="A878" s="35"/>
      <c r="B878" s="38"/>
      <c r="C878" s="38"/>
      <c r="D878" s="39"/>
      <c r="E878" s="39"/>
      <c r="F878" s="38"/>
      <c r="G878" s="38"/>
      <c r="H878" s="38"/>
      <c r="I878" s="38"/>
      <c r="J878" s="38"/>
      <c r="K878" s="38"/>
      <c r="L878" s="38"/>
      <c r="M878" s="38"/>
      <c r="N878" s="38"/>
      <c r="O878" s="38"/>
      <c r="P878" s="38"/>
      <c r="Q878" s="38"/>
      <c r="R878" s="38"/>
      <c r="S878" s="38"/>
      <c r="T878" s="38"/>
      <c r="U878" s="38"/>
      <c r="V878" s="38"/>
      <c r="W878" s="38"/>
      <c r="X878" s="38"/>
      <c r="Y878" s="38"/>
      <c r="Z878" s="38"/>
    </row>
    <row r="879" spans="1:26">
      <c r="A879" s="35"/>
      <c r="B879" s="38"/>
      <c r="C879" s="38"/>
      <c r="D879" s="39"/>
      <c r="E879" s="39"/>
      <c r="F879" s="38"/>
      <c r="G879" s="38"/>
      <c r="H879" s="38"/>
      <c r="I879" s="38"/>
      <c r="J879" s="38"/>
      <c r="K879" s="38"/>
      <c r="L879" s="38"/>
      <c r="M879" s="38"/>
      <c r="N879" s="38"/>
      <c r="O879" s="38"/>
      <c r="P879" s="38"/>
      <c r="Q879" s="38"/>
      <c r="R879" s="38"/>
      <c r="S879" s="38"/>
      <c r="T879" s="38"/>
      <c r="U879" s="38"/>
      <c r="V879" s="38"/>
      <c r="W879" s="38"/>
      <c r="X879" s="38"/>
      <c r="Y879" s="38"/>
      <c r="Z879" s="38"/>
    </row>
    <row r="880" spans="1:26">
      <c r="A880" s="35"/>
      <c r="B880" s="38"/>
      <c r="C880" s="38"/>
      <c r="D880" s="39"/>
      <c r="E880" s="39"/>
      <c r="F880" s="38"/>
      <c r="G880" s="38"/>
      <c r="H880" s="38"/>
      <c r="I880" s="38"/>
      <c r="J880" s="38"/>
      <c r="K880" s="38"/>
      <c r="L880" s="38"/>
      <c r="M880" s="38"/>
      <c r="N880" s="38"/>
      <c r="O880" s="38"/>
      <c r="P880" s="38"/>
      <c r="Q880" s="38"/>
      <c r="R880" s="38"/>
      <c r="S880" s="38"/>
      <c r="T880" s="38"/>
      <c r="U880" s="38"/>
      <c r="V880" s="38"/>
      <c r="W880" s="38"/>
      <c r="X880" s="38"/>
      <c r="Y880" s="38"/>
      <c r="Z880" s="38"/>
    </row>
    <row r="881" spans="1:26">
      <c r="A881" s="35"/>
      <c r="B881" s="38"/>
      <c r="C881" s="38"/>
      <c r="D881" s="39"/>
      <c r="E881" s="39"/>
      <c r="F881" s="38"/>
      <c r="G881" s="38"/>
      <c r="H881" s="38"/>
      <c r="I881" s="38"/>
      <c r="J881" s="38"/>
      <c r="K881" s="38"/>
      <c r="L881" s="38"/>
      <c r="M881" s="38"/>
      <c r="N881" s="38"/>
      <c r="O881" s="38"/>
      <c r="P881" s="38"/>
      <c r="Q881" s="38"/>
      <c r="R881" s="38"/>
      <c r="S881" s="38"/>
      <c r="T881" s="38"/>
      <c r="U881" s="38"/>
      <c r="V881" s="38"/>
      <c r="W881" s="38"/>
      <c r="X881" s="38"/>
      <c r="Y881" s="38"/>
      <c r="Z881" s="38"/>
    </row>
    <row r="882" spans="1:26">
      <c r="A882" s="35"/>
      <c r="B882" s="38"/>
      <c r="C882" s="38"/>
      <c r="D882" s="39"/>
      <c r="E882" s="39"/>
      <c r="F882" s="38"/>
      <c r="G882" s="38"/>
      <c r="H882" s="38"/>
      <c r="I882" s="38"/>
      <c r="J882" s="38"/>
      <c r="K882" s="38"/>
      <c r="L882" s="38"/>
      <c r="M882" s="38"/>
      <c r="N882" s="38"/>
      <c r="O882" s="38"/>
      <c r="P882" s="38"/>
      <c r="Q882" s="38"/>
      <c r="R882" s="38"/>
      <c r="S882" s="38"/>
      <c r="T882" s="38"/>
      <c r="U882" s="38"/>
      <c r="V882" s="38"/>
      <c r="W882" s="38"/>
      <c r="X882" s="38"/>
      <c r="Y882" s="38"/>
      <c r="Z882" s="38"/>
    </row>
    <row r="883" spans="1:26">
      <c r="A883" s="35"/>
      <c r="B883" s="38"/>
      <c r="C883" s="38"/>
      <c r="D883" s="39"/>
      <c r="E883" s="39"/>
      <c r="F883" s="38"/>
      <c r="G883" s="38"/>
      <c r="H883" s="38"/>
      <c r="I883" s="38"/>
      <c r="J883" s="38"/>
      <c r="K883" s="38"/>
      <c r="L883" s="38"/>
      <c r="M883" s="38"/>
      <c r="N883" s="38"/>
      <c r="O883" s="38"/>
      <c r="P883" s="38"/>
      <c r="Q883" s="38"/>
      <c r="R883" s="38"/>
      <c r="S883" s="38"/>
      <c r="T883" s="38"/>
      <c r="U883" s="38"/>
      <c r="V883" s="38"/>
      <c r="W883" s="38"/>
      <c r="X883" s="38"/>
      <c r="Y883" s="38"/>
      <c r="Z883" s="38"/>
    </row>
    <row r="884" spans="1:26">
      <c r="A884" s="35"/>
      <c r="B884" s="38"/>
      <c r="C884" s="38"/>
      <c r="D884" s="39"/>
      <c r="E884" s="39"/>
      <c r="F884" s="38"/>
      <c r="G884" s="38"/>
      <c r="H884" s="38"/>
      <c r="I884" s="38"/>
      <c r="J884" s="38"/>
      <c r="K884" s="38"/>
      <c r="L884" s="38"/>
      <c r="M884" s="38"/>
      <c r="N884" s="38"/>
      <c r="O884" s="38"/>
      <c r="P884" s="38"/>
      <c r="Q884" s="38"/>
      <c r="R884" s="38"/>
      <c r="S884" s="38"/>
      <c r="T884" s="38"/>
      <c r="U884" s="38"/>
      <c r="V884" s="38"/>
      <c r="W884" s="38"/>
      <c r="X884" s="38"/>
      <c r="Y884" s="38"/>
      <c r="Z884" s="38"/>
    </row>
    <row r="885" spans="1:26">
      <c r="A885" s="35"/>
      <c r="B885" s="38"/>
      <c r="C885" s="38"/>
      <c r="D885" s="39"/>
      <c r="E885" s="39"/>
      <c r="F885" s="38"/>
      <c r="G885" s="38"/>
      <c r="H885" s="38"/>
      <c r="I885" s="38"/>
      <c r="J885" s="38"/>
      <c r="K885" s="38"/>
      <c r="L885" s="38"/>
      <c r="M885" s="38"/>
      <c r="N885" s="38"/>
      <c r="O885" s="38"/>
      <c r="P885" s="38"/>
      <c r="Q885" s="38"/>
      <c r="R885" s="38"/>
      <c r="S885" s="38"/>
      <c r="T885" s="38"/>
      <c r="U885" s="38"/>
      <c r="V885" s="38"/>
      <c r="W885" s="38"/>
      <c r="X885" s="38"/>
      <c r="Y885" s="38"/>
      <c r="Z885" s="38"/>
    </row>
    <row r="886" spans="1:26">
      <c r="A886" s="35"/>
      <c r="B886" s="38"/>
      <c r="C886" s="38"/>
      <c r="D886" s="39"/>
      <c r="E886" s="39"/>
      <c r="F886" s="38"/>
      <c r="G886" s="38"/>
      <c r="H886" s="38"/>
      <c r="I886" s="38"/>
      <c r="J886" s="38"/>
      <c r="K886" s="38"/>
      <c r="L886" s="38"/>
      <c r="M886" s="38"/>
      <c r="N886" s="38"/>
      <c r="O886" s="38"/>
      <c r="P886" s="38"/>
      <c r="Q886" s="38"/>
      <c r="R886" s="38"/>
      <c r="S886" s="38"/>
      <c r="T886" s="38"/>
      <c r="U886" s="38"/>
      <c r="V886" s="38"/>
      <c r="W886" s="38"/>
      <c r="X886" s="38"/>
      <c r="Y886" s="38"/>
      <c r="Z886" s="38"/>
    </row>
    <row r="887" spans="1:26">
      <c r="A887" s="35"/>
      <c r="B887" s="38"/>
      <c r="C887" s="38"/>
      <c r="D887" s="39"/>
      <c r="E887" s="39"/>
      <c r="F887" s="38"/>
      <c r="G887" s="38"/>
      <c r="H887" s="38"/>
      <c r="I887" s="38"/>
      <c r="J887" s="38"/>
      <c r="K887" s="38"/>
      <c r="L887" s="38"/>
      <c r="M887" s="38"/>
      <c r="N887" s="38"/>
      <c r="O887" s="38"/>
      <c r="P887" s="38"/>
      <c r="Q887" s="38"/>
      <c r="R887" s="38"/>
      <c r="S887" s="38"/>
      <c r="T887" s="38"/>
      <c r="U887" s="38"/>
      <c r="V887" s="38"/>
      <c r="W887" s="38"/>
      <c r="X887" s="38"/>
      <c r="Y887" s="38"/>
      <c r="Z887" s="38"/>
    </row>
    <row r="888" spans="1:26">
      <c r="A888" s="35"/>
      <c r="B888" s="38"/>
      <c r="C888" s="38"/>
      <c r="D888" s="39"/>
      <c r="E888" s="39"/>
      <c r="F888" s="38"/>
      <c r="G888" s="38"/>
      <c r="H888" s="38"/>
      <c r="I888" s="38"/>
      <c r="J888" s="38"/>
      <c r="K888" s="38"/>
      <c r="L888" s="38"/>
      <c r="M888" s="38"/>
      <c r="N888" s="38"/>
      <c r="O888" s="38"/>
      <c r="P888" s="38"/>
      <c r="Q888" s="38"/>
      <c r="R888" s="38"/>
      <c r="S888" s="38"/>
      <c r="T888" s="38"/>
      <c r="U888" s="38"/>
      <c r="V888" s="38"/>
      <c r="W888" s="38"/>
      <c r="X888" s="38"/>
      <c r="Y888" s="38"/>
      <c r="Z888" s="38"/>
    </row>
    <row r="889" spans="1:26">
      <c r="A889" s="35"/>
      <c r="B889" s="38"/>
      <c r="C889" s="38"/>
      <c r="D889" s="39"/>
      <c r="E889" s="39"/>
      <c r="F889" s="38"/>
      <c r="G889" s="38"/>
      <c r="H889" s="38"/>
      <c r="I889" s="38"/>
      <c r="J889" s="38"/>
      <c r="K889" s="38"/>
      <c r="L889" s="38"/>
      <c r="M889" s="38"/>
      <c r="N889" s="38"/>
      <c r="O889" s="38"/>
      <c r="P889" s="38"/>
      <c r="Q889" s="38"/>
      <c r="R889" s="38"/>
      <c r="S889" s="38"/>
      <c r="T889" s="38"/>
      <c r="U889" s="38"/>
      <c r="V889" s="38"/>
      <c r="W889" s="38"/>
      <c r="X889" s="38"/>
      <c r="Y889" s="38"/>
      <c r="Z889" s="38"/>
    </row>
    <row r="890" spans="1:26">
      <c r="A890" s="35"/>
      <c r="B890" s="38"/>
      <c r="C890" s="38"/>
      <c r="D890" s="39"/>
      <c r="E890" s="39"/>
      <c r="F890" s="38"/>
      <c r="G890" s="38"/>
      <c r="H890" s="38"/>
      <c r="I890" s="38"/>
      <c r="J890" s="38"/>
      <c r="K890" s="38"/>
      <c r="L890" s="38"/>
      <c r="M890" s="38"/>
      <c r="N890" s="38"/>
      <c r="O890" s="38"/>
      <c r="P890" s="38"/>
      <c r="Q890" s="38"/>
      <c r="R890" s="38"/>
      <c r="S890" s="38"/>
      <c r="T890" s="38"/>
      <c r="U890" s="38"/>
      <c r="V890" s="38"/>
      <c r="W890" s="38"/>
      <c r="X890" s="38"/>
      <c r="Y890" s="38"/>
      <c r="Z890" s="38"/>
    </row>
    <row r="891" spans="1:26">
      <c r="A891" s="35"/>
      <c r="B891" s="38"/>
      <c r="C891" s="38"/>
      <c r="D891" s="39"/>
      <c r="E891" s="39"/>
      <c r="F891" s="38"/>
      <c r="G891" s="38"/>
      <c r="H891" s="38"/>
      <c r="I891" s="38"/>
      <c r="J891" s="38"/>
      <c r="K891" s="38"/>
      <c r="L891" s="38"/>
      <c r="M891" s="38"/>
      <c r="N891" s="38"/>
      <c r="O891" s="38"/>
      <c r="P891" s="38"/>
      <c r="Q891" s="38"/>
      <c r="R891" s="38"/>
      <c r="S891" s="38"/>
      <c r="T891" s="38"/>
      <c r="U891" s="38"/>
      <c r="V891" s="38"/>
      <c r="W891" s="38"/>
      <c r="X891" s="38"/>
      <c r="Y891" s="38"/>
      <c r="Z891" s="38"/>
    </row>
    <row r="892" spans="1:26">
      <c r="A892" s="35"/>
      <c r="B892" s="38"/>
      <c r="C892" s="38"/>
      <c r="D892" s="39"/>
      <c r="E892" s="39"/>
      <c r="F892" s="38"/>
      <c r="G892" s="38"/>
      <c r="H892" s="38"/>
      <c r="I892" s="38"/>
      <c r="J892" s="38"/>
      <c r="K892" s="38"/>
      <c r="L892" s="38"/>
      <c r="M892" s="38"/>
      <c r="N892" s="38"/>
      <c r="O892" s="38"/>
      <c r="P892" s="38"/>
      <c r="Q892" s="38"/>
      <c r="R892" s="38"/>
      <c r="S892" s="38"/>
      <c r="T892" s="38"/>
      <c r="U892" s="38"/>
      <c r="V892" s="38"/>
      <c r="W892" s="38"/>
      <c r="X892" s="38"/>
      <c r="Y892" s="38"/>
      <c r="Z892" s="38"/>
    </row>
    <row r="893" spans="1:26">
      <c r="A893" s="35"/>
      <c r="B893" s="38"/>
      <c r="C893" s="38"/>
      <c r="D893" s="39"/>
      <c r="E893" s="39"/>
      <c r="F893" s="38"/>
      <c r="G893" s="38"/>
      <c r="H893" s="38"/>
      <c r="I893" s="38"/>
      <c r="J893" s="38"/>
      <c r="K893" s="38"/>
      <c r="L893" s="38"/>
      <c r="M893" s="38"/>
      <c r="N893" s="38"/>
      <c r="O893" s="38"/>
      <c r="P893" s="38"/>
      <c r="Q893" s="38"/>
      <c r="R893" s="38"/>
      <c r="S893" s="38"/>
      <c r="T893" s="38"/>
      <c r="U893" s="38"/>
      <c r="V893" s="38"/>
      <c r="W893" s="38"/>
      <c r="X893" s="38"/>
      <c r="Y893" s="38"/>
      <c r="Z893" s="38"/>
    </row>
    <row r="894" spans="1:26">
      <c r="A894" s="35"/>
      <c r="B894" s="38"/>
      <c r="C894" s="38"/>
      <c r="D894" s="39"/>
      <c r="E894" s="39"/>
      <c r="F894" s="38"/>
      <c r="G894" s="38"/>
      <c r="H894" s="38"/>
      <c r="I894" s="38"/>
      <c r="J894" s="38"/>
      <c r="K894" s="38"/>
      <c r="L894" s="38"/>
      <c r="M894" s="38"/>
      <c r="N894" s="38"/>
      <c r="O894" s="38"/>
      <c r="P894" s="38"/>
      <c r="Q894" s="38"/>
      <c r="R894" s="38"/>
      <c r="S894" s="38"/>
      <c r="T894" s="38"/>
      <c r="U894" s="38"/>
      <c r="V894" s="38"/>
      <c r="W894" s="38"/>
      <c r="X894" s="38"/>
      <c r="Y894" s="38"/>
      <c r="Z894" s="38"/>
    </row>
    <row r="895" spans="1:26">
      <c r="A895" s="35"/>
      <c r="B895" s="38"/>
      <c r="C895" s="38"/>
      <c r="D895" s="39"/>
      <c r="E895" s="39"/>
      <c r="F895" s="38"/>
      <c r="G895" s="38"/>
      <c r="H895" s="38"/>
      <c r="I895" s="38"/>
      <c r="J895" s="38"/>
      <c r="K895" s="38"/>
      <c r="L895" s="38"/>
      <c r="M895" s="38"/>
      <c r="N895" s="38"/>
      <c r="O895" s="38"/>
      <c r="P895" s="38"/>
      <c r="Q895" s="38"/>
      <c r="R895" s="38"/>
      <c r="S895" s="38"/>
      <c r="T895" s="38"/>
      <c r="U895" s="38"/>
      <c r="V895" s="38"/>
      <c r="W895" s="38"/>
      <c r="X895" s="38"/>
      <c r="Y895" s="38"/>
      <c r="Z895" s="38"/>
    </row>
    <row r="896" spans="1:26">
      <c r="A896" s="35"/>
      <c r="B896" s="38"/>
      <c r="C896" s="38"/>
      <c r="D896" s="39"/>
      <c r="E896" s="39"/>
      <c r="F896" s="38"/>
      <c r="G896" s="38"/>
      <c r="H896" s="38"/>
      <c r="I896" s="38"/>
      <c r="J896" s="38"/>
      <c r="K896" s="38"/>
      <c r="L896" s="38"/>
      <c r="M896" s="38"/>
      <c r="N896" s="38"/>
      <c r="O896" s="38"/>
      <c r="P896" s="38"/>
      <c r="Q896" s="38"/>
      <c r="R896" s="38"/>
      <c r="S896" s="38"/>
      <c r="T896" s="38"/>
      <c r="U896" s="38"/>
      <c r="V896" s="38"/>
      <c r="W896" s="38"/>
      <c r="X896" s="38"/>
      <c r="Y896" s="38"/>
      <c r="Z896" s="38"/>
    </row>
    <row r="897" spans="1:26">
      <c r="A897" s="35"/>
      <c r="B897" s="38"/>
      <c r="C897" s="38"/>
      <c r="D897" s="39"/>
      <c r="E897" s="39"/>
      <c r="F897" s="38"/>
      <c r="G897" s="38"/>
      <c r="H897" s="38"/>
      <c r="I897" s="38"/>
      <c r="J897" s="38"/>
      <c r="K897" s="38"/>
      <c r="L897" s="38"/>
      <c r="M897" s="38"/>
      <c r="N897" s="38"/>
      <c r="O897" s="38"/>
      <c r="P897" s="38"/>
      <c r="Q897" s="38"/>
      <c r="R897" s="38"/>
      <c r="S897" s="38"/>
      <c r="T897" s="38"/>
      <c r="U897" s="38"/>
      <c r="V897" s="38"/>
      <c r="W897" s="38"/>
      <c r="X897" s="38"/>
      <c r="Y897" s="38"/>
      <c r="Z897" s="38"/>
    </row>
    <row r="898" spans="1:26">
      <c r="A898" s="35"/>
      <c r="B898" s="38"/>
      <c r="C898" s="38"/>
      <c r="D898" s="39"/>
      <c r="E898" s="39"/>
      <c r="F898" s="38"/>
      <c r="G898" s="38"/>
      <c r="H898" s="38"/>
      <c r="I898" s="38"/>
      <c r="J898" s="38"/>
      <c r="K898" s="38"/>
      <c r="L898" s="38"/>
      <c r="M898" s="38"/>
      <c r="N898" s="38"/>
      <c r="O898" s="38"/>
      <c r="P898" s="38"/>
      <c r="Q898" s="38"/>
      <c r="R898" s="38"/>
      <c r="S898" s="38"/>
      <c r="T898" s="38"/>
      <c r="U898" s="38"/>
      <c r="V898" s="38"/>
      <c r="W898" s="38"/>
      <c r="X898" s="38"/>
      <c r="Y898" s="38"/>
      <c r="Z898" s="38"/>
    </row>
    <row r="899" spans="1:26">
      <c r="A899" s="35"/>
      <c r="B899" s="38"/>
      <c r="C899" s="38"/>
      <c r="D899" s="39"/>
      <c r="E899" s="39"/>
      <c r="F899" s="38"/>
      <c r="G899" s="38"/>
      <c r="H899" s="38"/>
      <c r="I899" s="38"/>
      <c r="J899" s="38"/>
      <c r="K899" s="38"/>
      <c r="L899" s="38"/>
      <c r="M899" s="38"/>
      <c r="N899" s="38"/>
      <c r="O899" s="38"/>
      <c r="P899" s="38"/>
      <c r="Q899" s="38"/>
      <c r="R899" s="38"/>
      <c r="S899" s="38"/>
      <c r="T899" s="38"/>
      <c r="U899" s="38"/>
      <c r="V899" s="38"/>
      <c r="W899" s="38"/>
      <c r="X899" s="38"/>
      <c r="Y899" s="38"/>
      <c r="Z899" s="38"/>
    </row>
    <row r="900" spans="1:26">
      <c r="A900" s="35"/>
      <c r="B900" s="38"/>
      <c r="C900" s="38"/>
      <c r="D900" s="39"/>
      <c r="E900" s="39"/>
      <c r="F900" s="38"/>
      <c r="G900" s="38"/>
      <c r="H900" s="38"/>
      <c r="I900" s="38"/>
      <c r="J900" s="38"/>
      <c r="K900" s="38"/>
      <c r="L900" s="38"/>
      <c r="M900" s="38"/>
      <c r="N900" s="38"/>
      <c r="O900" s="38"/>
      <c r="P900" s="38"/>
      <c r="Q900" s="38"/>
      <c r="R900" s="38"/>
      <c r="S900" s="38"/>
      <c r="T900" s="38"/>
      <c r="U900" s="38"/>
      <c r="V900" s="38"/>
      <c r="W900" s="38"/>
      <c r="X900" s="38"/>
      <c r="Y900" s="38"/>
      <c r="Z900" s="38"/>
    </row>
    <row r="901" spans="1:26">
      <c r="A901" s="35"/>
      <c r="B901" s="38"/>
      <c r="C901" s="38"/>
      <c r="D901" s="39"/>
      <c r="E901" s="39"/>
      <c r="F901" s="38"/>
      <c r="G901" s="38"/>
      <c r="H901" s="38"/>
      <c r="I901" s="38"/>
      <c r="J901" s="38"/>
      <c r="K901" s="38"/>
      <c r="L901" s="38"/>
      <c r="M901" s="38"/>
      <c r="N901" s="38"/>
      <c r="O901" s="38"/>
      <c r="P901" s="38"/>
      <c r="Q901" s="38"/>
      <c r="R901" s="38"/>
      <c r="S901" s="38"/>
      <c r="T901" s="38"/>
      <c r="U901" s="38"/>
      <c r="V901" s="38"/>
      <c r="W901" s="38"/>
      <c r="X901" s="38"/>
      <c r="Y901" s="38"/>
      <c r="Z901" s="38"/>
    </row>
    <row r="902" spans="1:26">
      <c r="A902" s="35"/>
      <c r="B902" s="38"/>
      <c r="C902" s="38"/>
      <c r="D902" s="39"/>
      <c r="E902" s="39"/>
      <c r="F902" s="38"/>
      <c r="G902" s="38"/>
      <c r="H902" s="38"/>
      <c r="I902" s="38"/>
      <c r="J902" s="38"/>
      <c r="K902" s="38"/>
      <c r="L902" s="38"/>
      <c r="M902" s="38"/>
      <c r="N902" s="38"/>
      <c r="O902" s="38"/>
      <c r="P902" s="38"/>
      <c r="Q902" s="38"/>
      <c r="R902" s="38"/>
      <c r="S902" s="38"/>
      <c r="T902" s="38"/>
      <c r="U902" s="38"/>
      <c r="V902" s="38"/>
      <c r="W902" s="38"/>
      <c r="X902" s="38"/>
      <c r="Y902" s="38"/>
      <c r="Z902" s="38"/>
    </row>
    <row r="903" spans="1:26">
      <c r="A903" s="35"/>
      <c r="B903" s="38"/>
      <c r="C903" s="38"/>
      <c r="D903" s="39"/>
      <c r="E903" s="39"/>
      <c r="F903" s="38"/>
      <c r="G903" s="38"/>
      <c r="H903" s="38"/>
      <c r="I903" s="38"/>
      <c r="J903" s="38"/>
      <c r="K903" s="38"/>
      <c r="L903" s="38"/>
      <c r="M903" s="38"/>
      <c r="N903" s="38"/>
      <c r="O903" s="38"/>
      <c r="P903" s="38"/>
      <c r="Q903" s="38"/>
      <c r="R903" s="38"/>
      <c r="S903" s="38"/>
      <c r="T903" s="38"/>
      <c r="U903" s="38"/>
      <c r="V903" s="38"/>
      <c r="W903" s="38"/>
      <c r="X903" s="38"/>
      <c r="Y903" s="38"/>
      <c r="Z903" s="38"/>
    </row>
    <row r="904" spans="1:26">
      <c r="A904" s="35"/>
      <c r="B904" s="38"/>
      <c r="C904" s="38"/>
      <c r="D904" s="39"/>
      <c r="E904" s="39"/>
      <c r="F904" s="38"/>
      <c r="G904" s="38"/>
      <c r="H904" s="38"/>
      <c r="I904" s="38"/>
      <c r="J904" s="38"/>
      <c r="K904" s="38"/>
      <c r="L904" s="38"/>
      <c r="M904" s="38"/>
      <c r="N904" s="38"/>
      <c r="O904" s="38"/>
      <c r="P904" s="38"/>
      <c r="Q904" s="38"/>
      <c r="R904" s="38"/>
      <c r="S904" s="38"/>
      <c r="T904" s="38"/>
      <c r="U904" s="38"/>
      <c r="V904" s="38"/>
      <c r="W904" s="38"/>
      <c r="X904" s="38"/>
      <c r="Y904" s="38"/>
      <c r="Z904" s="38"/>
    </row>
    <row r="905" spans="1:26">
      <c r="A905" s="35"/>
      <c r="B905" s="38"/>
      <c r="C905" s="38"/>
      <c r="D905" s="39"/>
      <c r="E905" s="39"/>
      <c r="F905" s="38"/>
      <c r="G905" s="38"/>
      <c r="H905" s="38"/>
      <c r="I905" s="38"/>
      <c r="J905" s="38"/>
      <c r="K905" s="38"/>
      <c r="L905" s="38"/>
      <c r="M905" s="38"/>
      <c r="N905" s="38"/>
      <c r="O905" s="38"/>
      <c r="P905" s="38"/>
      <c r="Q905" s="38"/>
      <c r="R905" s="38"/>
      <c r="S905" s="38"/>
      <c r="T905" s="38"/>
      <c r="U905" s="38"/>
      <c r="V905" s="38"/>
      <c r="W905" s="38"/>
      <c r="X905" s="38"/>
      <c r="Y905" s="38"/>
      <c r="Z905" s="38"/>
    </row>
    <row r="906" spans="1:26">
      <c r="A906" s="35"/>
      <c r="B906" s="38"/>
      <c r="C906" s="38"/>
      <c r="D906" s="39"/>
      <c r="E906" s="39"/>
      <c r="F906" s="38"/>
      <c r="G906" s="38"/>
      <c r="H906" s="38"/>
      <c r="I906" s="38"/>
      <c r="J906" s="38"/>
      <c r="K906" s="38"/>
      <c r="L906" s="38"/>
      <c r="M906" s="38"/>
      <c r="N906" s="38"/>
      <c r="O906" s="38"/>
      <c r="P906" s="38"/>
      <c r="Q906" s="38"/>
      <c r="R906" s="38"/>
      <c r="S906" s="38"/>
      <c r="T906" s="38"/>
      <c r="U906" s="38"/>
      <c r="V906" s="38"/>
      <c r="W906" s="38"/>
      <c r="X906" s="38"/>
      <c r="Y906" s="38"/>
      <c r="Z906" s="38"/>
    </row>
    <row r="907" spans="1:26">
      <c r="A907" s="35"/>
      <c r="B907" s="38"/>
      <c r="C907" s="38"/>
      <c r="D907" s="39"/>
      <c r="E907" s="39"/>
      <c r="F907" s="38"/>
      <c r="G907" s="38"/>
      <c r="H907" s="38"/>
      <c r="I907" s="38"/>
      <c r="J907" s="38"/>
      <c r="K907" s="38"/>
      <c r="L907" s="38"/>
      <c r="M907" s="38"/>
      <c r="N907" s="38"/>
      <c r="O907" s="38"/>
      <c r="P907" s="38"/>
      <c r="Q907" s="38"/>
      <c r="R907" s="38"/>
      <c r="S907" s="38"/>
      <c r="T907" s="38"/>
      <c r="U907" s="38"/>
      <c r="V907" s="38"/>
      <c r="W907" s="38"/>
      <c r="X907" s="38"/>
      <c r="Y907" s="38"/>
      <c r="Z907" s="38"/>
    </row>
    <row r="908" spans="1:26">
      <c r="A908" s="35"/>
      <c r="B908" s="38"/>
      <c r="C908" s="38"/>
      <c r="D908" s="39"/>
      <c r="E908" s="39"/>
      <c r="F908" s="38"/>
      <c r="G908" s="38"/>
      <c r="H908" s="38"/>
      <c r="I908" s="38"/>
      <c r="J908" s="38"/>
      <c r="K908" s="38"/>
      <c r="L908" s="38"/>
      <c r="M908" s="38"/>
      <c r="N908" s="38"/>
      <c r="O908" s="38"/>
      <c r="P908" s="38"/>
      <c r="Q908" s="38"/>
      <c r="R908" s="38"/>
      <c r="S908" s="38"/>
      <c r="T908" s="38"/>
      <c r="U908" s="38"/>
      <c r="V908" s="38"/>
      <c r="W908" s="38"/>
      <c r="X908" s="38"/>
      <c r="Y908" s="38"/>
      <c r="Z908" s="38"/>
    </row>
    <row r="909" spans="1:26">
      <c r="A909" s="35"/>
      <c r="B909" s="38"/>
      <c r="C909" s="38"/>
      <c r="D909" s="39"/>
      <c r="E909" s="39"/>
      <c r="F909" s="38"/>
      <c r="G909" s="38"/>
      <c r="H909" s="38"/>
      <c r="I909" s="38"/>
      <c r="J909" s="38"/>
      <c r="K909" s="38"/>
      <c r="L909" s="38"/>
      <c r="M909" s="38"/>
      <c r="N909" s="38"/>
      <c r="O909" s="38"/>
      <c r="P909" s="38"/>
      <c r="Q909" s="38"/>
      <c r="R909" s="38"/>
      <c r="S909" s="38"/>
      <c r="T909" s="38"/>
      <c r="U909" s="38"/>
      <c r="V909" s="38"/>
      <c r="W909" s="38"/>
      <c r="X909" s="38"/>
      <c r="Y909" s="38"/>
      <c r="Z909" s="38"/>
    </row>
    <row r="910" spans="1:26">
      <c r="A910" s="35"/>
      <c r="B910" s="38"/>
      <c r="C910" s="38"/>
      <c r="D910" s="39"/>
      <c r="E910" s="39"/>
      <c r="F910" s="38"/>
      <c r="G910" s="38"/>
      <c r="H910" s="38"/>
      <c r="I910" s="38"/>
      <c r="J910" s="38"/>
      <c r="K910" s="38"/>
      <c r="L910" s="38"/>
      <c r="M910" s="38"/>
      <c r="N910" s="38"/>
      <c r="O910" s="38"/>
      <c r="P910" s="38"/>
      <c r="Q910" s="38"/>
      <c r="R910" s="38"/>
      <c r="S910" s="38"/>
      <c r="T910" s="38"/>
      <c r="U910" s="38"/>
      <c r="V910" s="38"/>
      <c r="W910" s="38"/>
      <c r="X910" s="38"/>
      <c r="Y910" s="38"/>
      <c r="Z910" s="38"/>
    </row>
    <row r="911" spans="1:26">
      <c r="A911" s="35"/>
      <c r="B911" s="38"/>
      <c r="C911" s="38"/>
      <c r="D911" s="39"/>
      <c r="E911" s="39"/>
      <c r="F911" s="38"/>
      <c r="G911" s="38"/>
      <c r="H911" s="38"/>
      <c r="I911" s="38"/>
      <c r="J911" s="38"/>
      <c r="K911" s="38"/>
      <c r="L911" s="38"/>
      <c r="M911" s="38"/>
      <c r="N911" s="38"/>
      <c r="O911" s="38"/>
      <c r="P911" s="38"/>
      <c r="Q911" s="38"/>
      <c r="R911" s="38"/>
      <c r="S911" s="38"/>
      <c r="T911" s="38"/>
      <c r="U911" s="38"/>
      <c r="V911" s="38"/>
      <c r="W911" s="38"/>
      <c r="X911" s="38"/>
      <c r="Y911" s="38"/>
      <c r="Z911" s="38"/>
    </row>
    <row r="912" spans="1:26">
      <c r="A912" s="35"/>
      <c r="B912" s="38"/>
      <c r="C912" s="38"/>
      <c r="D912" s="39"/>
      <c r="E912" s="39"/>
      <c r="F912" s="38"/>
      <c r="G912" s="38"/>
      <c r="H912" s="38"/>
      <c r="I912" s="38"/>
      <c r="J912" s="38"/>
      <c r="K912" s="38"/>
      <c r="L912" s="38"/>
      <c r="M912" s="38"/>
      <c r="N912" s="38"/>
      <c r="O912" s="38"/>
      <c r="P912" s="38"/>
      <c r="Q912" s="38"/>
      <c r="R912" s="38"/>
      <c r="S912" s="38"/>
      <c r="T912" s="38"/>
      <c r="U912" s="38"/>
      <c r="V912" s="38"/>
      <c r="W912" s="38"/>
      <c r="X912" s="38"/>
      <c r="Y912" s="38"/>
      <c r="Z912" s="38"/>
    </row>
    <row r="913" spans="1:26">
      <c r="A913" s="35"/>
      <c r="B913" s="38"/>
      <c r="C913" s="38"/>
      <c r="D913" s="39"/>
      <c r="E913" s="39"/>
      <c r="F913" s="38"/>
      <c r="G913" s="38"/>
      <c r="H913" s="38"/>
      <c r="I913" s="38"/>
      <c r="J913" s="38"/>
      <c r="K913" s="38"/>
      <c r="L913" s="38"/>
      <c r="M913" s="38"/>
      <c r="N913" s="38"/>
      <c r="O913" s="38"/>
      <c r="P913" s="38"/>
      <c r="Q913" s="38"/>
      <c r="R913" s="38"/>
      <c r="S913" s="38"/>
      <c r="T913" s="38"/>
      <c r="U913" s="38"/>
      <c r="V913" s="38"/>
      <c r="W913" s="38"/>
      <c r="X913" s="38"/>
      <c r="Y913" s="38"/>
      <c r="Z913" s="38"/>
    </row>
    <row r="914" spans="1:26">
      <c r="A914" s="35"/>
      <c r="B914" s="38"/>
      <c r="C914" s="38"/>
      <c r="D914" s="39"/>
      <c r="E914" s="39"/>
      <c r="F914" s="38"/>
      <c r="G914" s="38"/>
      <c r="H914" s="38"/>
      <c r="I914" s="38"/>
      <c r="J914" s="38"/>
      <c r="K914" s="38"/>
      <c r="L914" s="38"/>
      <c r="M914" s="38"/>
      <c r="N914" s="38"/>
      <c r="O914" s="38"/>
      <c r="P914" s="38"/>
      <c r="Q914" s="38"/>
      <c r="R914" s="38"/>
      <c r="S914" s="38"/>
      <c r="T914" s="38"/>
      <c r="U914" s="38"/>
      <c r="V914" s="38"/>
      <c r="W914" s="38"/>
      <c r="X914" s="38"/>
      <c r="Y914" s="38"/>
      <c r="Z914" s="38"/>
    </row>
    <row r="915" spans="1:26">
      <c r="A915" s="35"/>
      <c r="B915" s="38"/>
      <c r="C915" s="38"/>
      <c r="D915" s="39"/>
      <c r="E915" s="39"/>
      <c r="F915" s="38"/>
      <c r="G915" s="38"/>
      <c r="H915" s="38"/>
      <c r="I915" s="38"/>
      <c r="J915" s="38"/>
      <c r="K915" s="38"/>
      <c r="L915" s="38"/>
      <c r="M915" s="38"/>
      <c r="N915" s="38"/>
      <c r="O915" s="38"/>
      <c r="P915" s="38"/>
      <c r="Q915" s="38"/>
      <c r="R915" s="38"/>
      <c r="S915" s="38"/>
      <c r="T915" s="38"/>
      <c r="U915" s="38"/>
      <c r="V915" s="38"/>
      <c r="W915" s="38"/>
      <c r="X915" s="38"/>
      <c r="Y915" s="38"/>
      <c r="Z915" s="38"/>
    </row>
    <row r="916" spans="1:26">
      <c r="A916" s="35"/>
      <c r="B916" s="38"/>
      <c r="C916" s="38"/>
      <c r="D916" s="39"/>
      <c r="E916" s="39"/>
      <c r="F916" s="38"/>
      <c r="G916" s="38"/>
      <c r="H916" s="38"/>
      <c r="I916" s="38"/>
      <c r="J916" s="38"/>
      <c r="K916" s="38"/>
      <c r="L916" s="38"/>
      <c r="M916" s="38"/>
      <c r="N916" s="38"/>
      <c r="O916" s="38"/>
      <c r="P916" s="38"/>
      <c r="Q916" s="38"/>
      <c r="R916" s="38"/>
      <c r="S916" s="38"/>
      <c r="T916" s="38"/>
      <c r="U916" s="38"/>
      <c r="V916" s="38"/>
      <c r="W916" s="38"/>
      <c r="X916" s="38"/>
      <c r="Y916" s="38"/>
      <c r="Z916" s="38"/>
    </row>
    <row r="917" spans="1:26">
      <c r="A917" s="35"/>
      <c r="B917" s="38"/>
      <c r="C917" s="38"/>
      <c r="D917" s="39"/>
      <c r="E917" s="39"/>
      <c r="F917" s="38"/>
      <c r="G917" s="38"/>
      <c r="H917" s="38"/>
      <c r="I917" s="38"/>
      <c r="J917" s="38"/>
      <c r="K917" s="38"/>
      <c r="L917" s="38"/>
      <c r="M917" s="38"/>
      <c r="N917" s="38"/>
      <c r="O917" s="38"/>
      <c r="P917" s="38"/>
      <c r="Q917" s="38"/>
      <c r="R917" s="38"/>
      <c r="S917" s="38"/>
      <c r="T917" s="38"/>
      <c r="U917" s="38"/>
      <c r="V917" s="38"/>
      <c r="W917" s="38"/>
      <c r="X917" s="38"/>
      <c r="Y917" s="38"/>
      <c r="Z917" s="38"/>
    </row>
    <row r="918" spans="1:26">
      <c r="A918" s="35"/>
      <c r="B918" s="38"/>
      <c r="C918" s="38"/>
      <c r="D918" s="39"/>
      <c r="E918" s="39"/>
      <c r="F918" s="38"/>
      <c r="G918" s="38"/>
      <c r="H918" s="38"/>
      <c r="I918" s="38"/>
      <c r="J918" s="38"/>
      <c r="K918" s="38"/>
      <c r="L918" s="38"/>
      <c r="M918" s="38"/>
      <c r="N918" s="38"/>
      <c r="O918" s="38"/>
      <c r="P918" s="38"/>
      <c r="Q918" s="38"/>
      <c r="R918" s="38"/>
      <c r="S918" s="38"/>
      <c r="T918" s="38"/>
      <c r="U918" s="38"/>
      <c r="V918" s="38"/>
      <c r="W918" s="38"/>
      <c r="X918" s="38"/>
      <c r="Y918" s="38"/>
      <c r="Z918" s="38"/>
    </row>
    <row r="919" spans="1:26">
      <c r="A919" s="35"/>
      <c r="B919" s="38"/>
      <c r="C919" s="38"/>
      <c r="D919" s="39"/>
      <c r="E919" s="39"/>
      <c r="F919" s="38"/>
      <c r="G919" s="38"/>
      <c r="H919" s="38"/>
      <c r="I919" s="38"/>
      <c r="J919" s="38"/>
      <c r="K919" s="38"/>
      <c r="L919" s="38"/>
      <c r="M919" s="38"/>
      <c r="N919" s="38"/>
      <c r="O919" s="38"/>
      <c r="P919" s="38"/>
      <c r="Q919" s="38"/>
      <c r="R919" s="38"/>
      <c r="S919" s="38"/>
      <c r="T919" s="38"/>
      <c r="U919" s="38"/>
      <c r="V919" s="38"/>
      <c r="W919" s="38"/>
      <c r="X919" s="38"/>
      <c r="Y919" s="38"/>
      <c r="Z919" s="38"/>
    </row>
    <row r="920" spans="1:26">
      <c r="A920" s="35"/>
      <c r="B920" s="38"/>
      <c r="C920" s="38"/>
      <c r="D920" s="39"/>
      <c r="E920" s="39"/>
      <c r="F920" s="38"/>
      <c r="G920" s="38"/>
      <c r="H920" s="38"/>
      <c r="I920" s="38"/>
      <c r="J920" s="38"/>
      <c r="K920" s="38"/>
      <c r="L920" s="38"/>
      <c r="M920" s="38"/>
      <c r="N920" s="38"/>
      <c r="O920" s="38"/>
      <c r="P920" s="38"/>
      <c r="Q920" s="38"/>
      <c r="R920" s="38"/>
      <c r="S920" s="38"/>
      <c r="T920" s="38"/>
      <c r="U920" s="38"/>
      <c r="V920" s="38"/>
      <c r="W920" s="38"/>
      <c r="X920" s="38"/>
      <c r="Y920" s="38"/>
      <c r="Z920" s="38"/>
    </row>
    <row r="921" spans="1:26">
      <c r="A921" s="35"/>
      <c r="B921" s="38"/>
      <c r="C921" s="38"/>
      <c r="D921" s="39"/>
      <c r="E921" s="39"/>
      <c r="F921" s="38"/>
      <c r="G921" s="38"/>
      <c r="H921" s="38"/>
      <c r="I921" s="38"/>
      <c r="J921" s="38"/>
      <c r="K921" s="38"/>
      <c r="L921" s="38"/>
      <c r="M921" s="38"/>
      <c r="N921" s="38"/>
      <c r="O921" s="38"/>
      <c r="P921" s="38"/>
      <c r="Q921" s="38"/>
      <c r="R921" s="38"/>
      <c r="S921" s="38"/>
      <c r="T921" s="38"/>
      <c r="U921" s="38"/>
      <c r="V921" s="38"/>
      <c r="W921" s="38"/>
      <c r="X921" s="38"/>
      <c r="Y921" s="38"/>
      <c r="Z921" s="38"/>
    </row>
    <row r="922" spans="1:26">
      <c r="A922" s="35"/>
      <c r="B922" s="38"/>
      <c r="C922" s="38"/>
      <c r="D922" s="39"/>
      <c r="E922" s="39"/>
      <c r="F922" s="38"/>
      <c r="G922" s="38"/>
      <c r="H922" s="38"/>
      <c r="I922" s="38"/>
      <c r="J922" s="38"/>
      <c r="K922" s="38"/>
      <c r="L922" s="38"/>
      <c r="M922" s="38"/>
      <c r="N922" s="38"/>
      <c r="O922" s="38"/>
      <c r="P922" s="38"/>
      <c r="Q922" s="38"/>
      <c r="R922" s="38"/>
      <c r="S922" s="38"/>
      <c r="T922" s="38"/>
      <c r="U922" s="38"/>
      <c r="V922" s="38"/>
      <c r="W922" s="38"/>
      <c r="X922" s="38"/>
      <c r="Y922" s="38"/>
      <c r="Z922" s="38"/>
    </row>
    <row r="923" spans="1:26">
      <c r="A923" s="35"/>
      <c r="B923" s="38"/>
      <c r="C923" s="38"/>
      <c r="D923" s="39"/>
      <c r="E923" s="39"/>
      <c r="F923" s="38"/>
      <c r="G923" s="38"/>
      <c r="H923" s="38"/>
      <c r="I923" s="38"/>
      <c r="J923" s="38"/>
      <c r="K923" s="38"/>
      <c r="L923" s="38"/>
      <c r="M923" s="38"/>
      <c r="N923" s="38"/>
      <c r="O923" s="38"/>
      <c r="P923" s="38"/>
      <c r="Q923" s="38"/>
      <c r="R923" s="38"/>
      <c r="S923" s="38"/>
      <c r="T923" s="38"/>
      <c r="U923" s="38"/>
      <c r="V923" s="38"/>
      <c r="W923" s="38"/>
      <c r="X923" s="38"/>
      <c r="Y923" s="38"/>
      <c r="Z923" s="38"/>
    </row>
    <row r="924" spans="1:26">
      <c r="A924" s="35"/>
      <c r="B924" s="38"/>
      <c r="C924" s="38"/>
      <c r="D924" s="39"/>
      <c r="E924" s="39"/>
      <c r="F924" s="38"/>
      <c r="G924" s="38"/>
      <c r="H924" s="38"/>
      <c r="I924" s="38"/>
      <c r="J924" s="38"/>
      <c r="K924" s="38"/>
      <c r="L924" s="38"/>
      <c r="M924" s="38"/>
      <c r="N924" s="38"/>
      <c r="O924" s="38"/>
      <c r="P924" s="38"/>
      <c r="Q924" s="38"/>
      <c r="R924" s="38"/>
      <c r="S924" s="38"/>
      <c r="T924" s="38"/>
      <c r="U924" s="38"/>
      <c r="V924" s="38"/>
      <c r="W924" s="38"/>
      <c r="X924" s="38"/>
      <c r="Y924" s="38"/>
      <c r="Z924" s="38"/>
    </row>
    <row r="925" spans="1:26">
      <c r="A925" s="35"/>
      <c r="B925" s="38"/>
      <c r="C925" s="38"/>
      <c r="D925" s="39"/>
      <c r="E925" s="39"/>
      <c r="F925" s="38"/>
      <c r="G925" s="38"/>
      <c r="H925" s="38"/>
      <c r="I925" s="38"/>
      <c r="J925" s="38"/>
      <c r="K925" s="38"/>
      <c r="L925" s="38"/>
      <c r="M925" s="38"/>
      <c r="N925" s="38"/>
      <c r="O925" s="38"/>
      <c r="P925" s="38"/>
      <c r="Q925" s="38"/>
      <c r="R925" s="38"/>
      <c r="S925" s="38"/>
      <c r="T925" s="38"/>
      <c r="U925" s="38"/>
      <c r="V925" s="38"/>
      <c r="W925" s="38"/>
      <c r="X925" s="38"/>
      <c r="Y925" s="38"/>
      <c r="Z925" s="38"/>
    </row>
    <row r="926" spans="1:26">
      <c r="A926" s="35"/>
      <c r="B926" s="38"/>
      <c r="C926" s="38"/>
      <c r="D926" s="39"/>
      <c r="E926" s="39"/>
      <c r="F926" s="38"/>
      <c r="G926" s="38"/>
      <c r="H926" s="38"/>
      <c r="I926" s="38"/>
      <c r="J926" s="38"/>
      <c r="K926" s="38"/>
      <c r="L926" s="38"/>
      <c r="M926" s="38"/>
      <c r="N926" s="38"/>
      <c r="O926" s="38"/>
      <c r="P926" s="38"/>
      <c r="Q926" s="38"/>
      <c r="R926" s="38"/>
      <c r="S926" s="38"/>
      <c r="T926" s="38"/>
      <c r="U926" s="38"/>
      <c r="V926" s="38"/>
      <c r="W926" s="38"/>
      <c r="X926" s="38"/>
      <c r="Y926" s="38"/>
      <c r="Z926" s="38"/>
    </row>
    <row r="927" spans="1:26">
      <c r="A927" s="35"/>
      <c r="B927" s="38"/>
      <c r="C927" s="38"/>
      <c r="D927" s="39"/>
      <c r="E927" s="39"/>
      <c r="F927" s="38"/>
      <c r="G927" s="38"/>
      <c r="H927" s="38"/>
      <c r="I927" s="38"/>
      <c r="J927" s="38"/>
      <c r="K927" s="38"/>
      <c r="L927" s="38"/>
      <c r="M927" s="38"/>
      <c r="N927" s="38"/>
      <c r="O927" s="38"/>
      <c r="P927" s="38"/>
      <c r="Q927" s="38"/>
      <c r="R927" s="38"/>
      <c r="S927" s="38"/>
      <c r="T927" s="38"/>
      <c r="U927" s="38"/>
      <c r="V927" s="38"/>
      <c r="W927" s="38"/>
      <c r="X927" s="38"/>
      <c r="Y927" s="38"/>
      <c r="Z927" s="38"/>
    </row>
    <row r="928" spans="1:26">
      <c r="A928" s="35"/>
      <c r="B928" s="38"/>
      <c r="C928" s="38"/>
      <c r="D928" s="39"/>
      <c r="E928" s="39"/>
      <c r="F928" s="38"/>
      <c r="G928" s="38"/>
      <c r="H928" s="38"/>
      <c r="I928" s="38"/>
      <c r="J928" s="38"/>
      <c r="K928" s="38"/>
      <c r="L928" s="38"/>
      <c r="M928" s="38"/>
      <c r="N928" s="38"/>
      <c r="O928" s="38"/>
      <c r="P928" s="38"/>
      <c r="Q928" s="38"/>
      <c r="R928" s="38"/>
      <c r="S928" s="38"/>
      <c r="T928" s="38"/>
      <c r="U928" s="38"/>
      <c r="V928" s="38"/>
      <c r="W928" s="38"/>
      <c r="X928" s="38"/>
      <c r="Y928" s="38"/>
      <c r="Z928" s="38"/>
    </row>
    <row r="929" spans="1:26">
      <c r="A929" s="35"/>
      <c r="B929" s="38"/>
      <c r="C929" s="38"/>
      <c r="D929" s="39"/>
      <c r="E929" s="39"/>
      <c r="F929" s="38"/>
      <c r="G929" s="38"/>
      <c r="H929" s="38"/>
      <c r="I929" s="38"/>
      <c r="J929" s="38"/>
      <c r="K929" s="38"/>
      <c r="L929" s="38"/>
      <c r="M929" s="38"/>
      <c r="N929" s="38"/>
      <c r="O929" s="38"/>
      <c r="P929" s="38"/>
      <c r="Q929" s="38"/>
      <c r="R929" s="38"/>
      <c r="S929" s="38"/>
      <c r="T929" s="38"/>
      <c r="U929" s="38"/>
      <c r="V929" s="38"/>
      <c r="W929" s="38"/>
      <c r="X929" s="38"/>
      <c r="Y929" s="38"/>
      <c r="Z929" s="38"/>
    </row>
    <row r="930" spans="1:26">
      <c r="A930" s="35"/>
      <c r="B930" s="38"/>
      <c r="C930" s="38"/>
      <c r="D930" s="39"/>
      <c r="E930" s="39"/>
      <c r="F930" s="38"/>
      <c r="G930" s="38"/>
      <c r="H930" s="38"/>
      <c r="I930" s="38"/>
      <c r="J930" s="38"/>
      <c r="K930" s="38"/>
      <c r="L930" s="38"/>
      <c r="M930" s="38"/>
      <c r="N930" s="38"/>
      <c r="O930" s="38"/>
      <c r="P930" s="38"/>
      <c r="Q930" s="38"/>
      <c r="R930" s="38"/>
      <c r="S930" s="38"/>
      <c r="T930" s="38"/>
      <c r="U930" s="38"/>
      <c r="V930" s="38"/>
      <c r="W930" s="38"/>
      <c r="X930" s="38"/>
      <c r="Y930" s="38"/>
      <c r="Z930" s="38"/>
    </row>
    <row r="931" spans="1:26">
      <c r="A931" s="35"/>
      <c r="B931" s="38"/>
      <c r="C931" s="38"/>
      <c r="D931" s="39"/>
      <c r="E931" s="39"/>
      <c r="F931" s="38"/>
      <c r="G931" s="38"/>
      <c r="H931" s="38"/>
      <c r="I931" s="38"/>
      <c r="J931" s="38"/>
      <c r="K931" s="38"/>
      <c r="L931" s="38"/>
      <c r="M931" s="38"/>
      <c r="N931" s="38"/>
      <c r="O931" s="38"/>
      <c r="P931" s="38"/>
      <c r="Q931" s="38"/>
      <c r="R931" s="38"/>
      <c r="S931" s="38"/>
      <c r="T931" s="38"/>
      <c r="U931" s="38"/>
      <c r="V931" s="38"/>
      <c r="W931" s="38"/>
      <c r="X931" s="38"/>
      <c r="Y931" s="38"/>
      <c r="Z931" s="38"/>
    </row>
    <row r="932" spans="1:26">
      <c r="A932" s="35"/>
      <c r="B932" s="38"/>
      <c r="C932" s="38"/>
      <c r="D932" s="39"/>
      <c r="E932" s="39"/>
      <c r="F932" s="38"/>
      <c r="G932" s="38"/>
      <c r="H932" s="38"/>
      <c r="I932" s="38"/>
      <c r="J932" s="38"/>
      <c r="K932" s="38"/>
      <c r="L932" s="38"/>
      <c r="M932" s="38"/>
      <c r="N932" s="38"/>
      <c r="O932" s="38"/>
      <c r="P932" s="38"/>
      <c r="Q932" s="38"/>
      <c r="R932" s="38"/>
      <c r="S932" s="38"/>
      <c r="T932" s="38"/>
      <c r="U932" s="38"/>
      <c r="V932" s="38"/>
      <c r="W932" s="38"/>
      <c r="X932" s="38"/>
      <c r="Y932" s="38"/>
      <c r="Z932" s="38"/>
    </row>
    <row r="933" spans="1:26">
      <c r="A933" s="35"/>
      <c r="B933" s="38"/>
      <c r="C933" s="38"/>
      <c r="D933" s="39"/>
      <c r="E933" s="39"/>
      <c r="F933" s="38"/>
      <c r="G933" s="38"/>
      <c r="H933" s="38"/>
      <c r="I933" s="38"/>
      <c r="J933" s="38"/>
      <c r="K933" s="38"/>
      <c r="L933" s="38"/>
      <c r="M933" s="38"/>
      <c r="N933" s="38"/>
      <c r="O933" s="38"/>
      <c r="P933" s="38"/>
      <c r="Q933" s="38"/>
      <c r="R933" s="38"/>
      <c r="S933" s="38"/>
      <c r="T933" s="38"/>
      <c r="U933" s="38"/>
      <c r="V933" s="38"/>
      <c r="W933" s="38"/>
      <c r="X933" s="38"/>
      <c r="Y933" s="38"/>
      <c r="Z933" s="38"/>
    </row>
    <row r="934" spans="1:26">
      <c r="A934" s="35"/>
      <c r="B934" s="38"/>
      <c r="C934" s="38"/>
      <c r="D934" s="39"/>
      <c r="E934" s="39"/>
      <c r="F934" s="38"/>
      <c r="G934" s="38"/>
      <c r="H934" s="38"/>
      <c r="I934" s="38"/>
      <c r="J934" s="38"/>
      <c r="K934" s="38"/>
      <c r="L934" s="38"/>
      <c r="M934" s="38"/>
      <c r="N934" s="38"/>
      <c r="O934" s="38"/>
      <c r="P934" s="38"/>
      <c r="Q934" s="38"/>
      <c r="R934" s="38"/>
      <c r="S934" s="38"/>
      <c r="T934" s="38"/>
      <c r="U934" s="38"/>
      <c r="V934" s="38"/>
      <c r="W934" s="38"/>
      <c r="X934" s="38"/>
      <c r="Y934" s="38"/>
      <c r="Z934" s="38"/>
    </row>
    <row r="935" spans="1:26">
      <c r="A935" s="35"/>
      <c r="B935" s="38"/>
      <c r="C935" s="38"/>
      <c r="D935" s="39"/>
      <c r="E935" s="39"/>
      <c r="F935" s="38"/>
      <c r="G935" s="38"/>
      <c r="H935" s="38"/>
      <c r="I935" s="38"/>
      <c r="J935" s="38"/>
      <c r="K935" s="38"/>
      <c r="L935" s="38"/>
      <c r="M935" s="38"/>
      <c r="N935" s="38"/>
      <c r="O935" s="38"/>
      <c r="P935" s="38"/>
      <c r="Q935" s="38"/>
      <c r="R935" s="38"/>
      <c r="S935" s="38"/>
      <c r="T935" s="38"/>
      <c r="U935" s="38"/>
      <c r="V935" s="38"/>
      <c r="W935" s="38"/>
      <c r="X935" s="38"/>
      <c r="Y935" s="38"/>
      <c r="Z935" s="38"/>
    </row>
    <row r="936" spans="1:26">
      <c r="A936" s="35"/>
      <c r="B936" s="38"/>
      <c r="C936" s="38"/>
      <c r="D936" s="39"/>
      <c r="E936" s="39"/>
      <c r="F936" s="38"/>
      <c r="G936" s="38"/>
      <c r="H936" s="38"/>
      <c r="I936" s="38"/>
      <c r="J936" s="38"/>
      <c r="K936" s="38"/>
      <c r="L936" s="38"/>
      <c r="M936" s="38"/>
      <c r="N936" s="38"/>
      <c r="O936" s="38"/>
      <c r="P936" s="38"/>
      <c r="Q936" s="38"/>
      <c r="R936" s="38"/>
      <c r="S936" s="38"/>
      <c r="T936" s="38"/>
      <c r="U936" s="38"/>
      <c r="V936" s="38"/>
      <c r="W936" s="38"/>
      <c r="X936" s="38"/>
      <c r="Y936" s="38"/>
      <c r="Z936" s="38"/>
    </row>
    <row r="937" spans="1:26">
      <c r="A937" s="35"/>
      <c r="B937" s="38"/>
      <c r="C937" s="38"/>
      <c r="D937" s="39"/>
      <c r="E937" s="39"/>
      <c r="F937" s="38"/>
      <c r="G937" s="38"/>
      <c r="H937" s="38"/>
      <c r="I937" s="38"/>
      <c r="J937" s="38"/>
      <c r="K937" s="38"/>
      <c r="L937" s="38"/>
      <c r="M937" s="38"/>
      <c r="N937" s="38"/>
      <c r="O937" s="38"/>
      <c r="P937" s="38"/>
      <c r="Q937" s="38"/>
      <c r="R937" s="38"/>
      <c r="S937" s="38"/>
      <c r="T937" s="38"/>
      <c r="U937" s="38"/>
      <c r="V937" s="38"/>
      <c r="W937" s="38"/>
      <c r="X937" s="38"/>
      <c r="Y937" s="38"/>
      <c r="Z937" s="38"/>
    </row>
    <row r="938" spans="1:26">
      <c r="A938" s="35"/>
      <c r="B938" s="38"/>
      <c r="C938" s="38"/>
      <c r="D938" s="39"/>
      <c r="E938" s="39"/>
      <c r="F938" s="38"/>
      <c r="G938" s="38"/>
      <c r="H938" s="38"/>
      <c r="I938" s="38"/>
      <c r="J938" s="38"/>
      <c r="K938" s="38"/>
      <c r="L938" s="38"/>
      <c r="M938" s="38"/>
      <c r="N938" s="38"/>
      <c r="O938" s="38"/>
      <c r="P938" s="38"/>
      <c r="Q938" s="38"/>
      <c r="R938" s="38"/>
      <c r="S938" s="38"/>
      <c r="T938" s="38"/>
      <c r="U938" s="38"/>
      <c r="V938" s="38"/>
      <c r="W938" s="38"/>
      <c r="X938" s="38"/>
      <c r="Y938" s="38"/>
      <c r="Z938" s="38"/>
    </row>
    <row r="939" spans="1:26">
      <c r="A939" s="35"/>
      <c r="B939" s="38"/>
      <c r="C939" s="38"/>
      <c r="D939" s="39"/>
      <c r="E939" s="39"/>
      <c r="F939" s="38"/>
      <c r="G939" s="38"/>
      <c r="H939" s="38"/>
      <c r="I939" s="38"/>
      <c r="J939" s="38"/>
      <c r="K939" s="38"/>
      <c r="L939" s="38"/>
      <c r="M939" s="38"/>
      <c r="N939" s="38"/>
      <c r="O939" s="38"/>
      <c r="P939" s="38"/>
      <c r="Q939" s="38"/>
      <c r="R939" s="38"/>
      <c r="S939" s="38"/>
      <c r="T939" s="38"/>
      <c r="U939" s="38"/>
      <c r="V939" s="38"/>
      <c r="W939" s="38"/>
      <c r="X939" s="38"/>
      <c r="Y939" s="38"/>
      <c r="Z939" s="38"/>
    </row>
    <row r="940" spans="1:26">
      <c r="A940" s="35"/>
      <c r="B940" s="38"/>
      <c r="C940" s="38"/>
      <c r="D940" s="39"/>
      <c r="E940" s="39"/>
      <c r="F940" s="38"/>
      <c r="G940" s="38"/>
      <c r="H940" s="38"/>
      <c r="I940" s="38"/>
      <c r="J940" s="38"/>
      <c r="K940" s="38"/>
      <c r="L940" s="38"/>
      <c r="M940" s="38"/>
      <c r="N940" s="38"/>
      <c r="O940" s="38"/>
      <c r="P940" s="38"/>
      <c r="Q940" s="38"/>
      <c r="R940" s="38"/>
      <c r="S940" s="38"/>
      <c r="T940" s="38"/>
      <c r="U940" s="38"/>
      <c r="V940" s="38"/>
      <c r="W940" s="38"/>
      <c r="X940" s="38"/>
      <c r="Y940" s="38"/>
      <c r="Z940" s="38"/>
    </row>
    <row r="941" spans="1:26">
      <c r="A941" s="35"/>
      <c r="B941" s="38"/>
      <c r="C941" s="38"/>
      <c r="D941" s="39"/>
      <c r="E941" s="39"/>
      <c r="F941" s="38"/>
      <c r="G941" s="38"/>
      <c r="H941" s="38"/>
      <c r="I941" s="38"/>
      <c r="J941" s="38"/>
      <c r="K941" s="38"/>
      <c r="L941" s="38"/>
      <c r="M941" s="38"/>
      <c r="N941" s="38"/>
      <c r="O941" s="38"/>
      <c r="P941" s="38"/>
      <c r="Q941" s="38"/>
      <c r="R941" s="38"/>
      <c r="S941" s="38"/>
      <c r="T941" s="38"/>
      <c r="U941" s="38"/>
      <c r="V941" s="38"/>
      <c r="W941" s="38"/>
      <c r="X941" s="38"/>
      <c r="Y941" s="38"/>
      <c r="Z941" s="38"/>
    </row>
    <row r="942" spans="1:26">
      <c r="A942" s="35"/>
      <c r="B942" s="38"/>
      <c r="C942" s="38"/>
      <c r="D942" s="39"/>
      <c r="E942" s="39"/>
      <c r="F942" s="38"/>
      <c r="G942" s="38"/>
      <c r="H942" s="38"/>
      <c r="I942" s="38"/>
      <c r="J942" s="38"/>
      <c r="K942" s="38"/>
      <c r="L942" s="38"/>
      <c r="M942" s="38"/>
      <c r="N942" s="38"/>
      <c r="O942" s="38"/>
      <c r="P942" s="38"/>
      <c r="Q942" s="38"/>
      <c r="R942" s="38"/>
      <c r="S942" s="38"/>
      <c r="T942" s="38"/>
      <c r="U942" s="38"/>
      <c r="V942" s="38"/>
      <c r="W942" s="38"/>
      <c r="X942" s="38"/>
      <c r="Y942" s="38"/>
      <c r="Z942" s="38"/>
    </row>
    <row r="943" spans="1:26">
      <c r="A943" s="35"/>
      <c r="B943" s="38"/>
      <c r="C943" s="38"/>
      <c r="D943" s="39"/>
      <c r="E943" s="39"/>
      <c r="F943" s="38"/>
      <c r="G943" s="38"/>
      <c r="H943" s="38"/>
      <c r="I943" s="38"/>
      <c r="J943" s="38"/>
      <c r="K943" s="38"/>
      <c r="L943" s="38"/>
      <c r="M943" s="38"/>
      <c r="N943" s="38"/>
      <c r="O943" s="38"/>
      <c r="P943" s="38"/>
      <c r="Q943" s="38"/>
      <c r="R943" s="38"/>
      <c r="S943" s="38"/>
      <c r="T943" s="38"/>
      <c r="U943" s="38"/>
      <c r="V943" s="38"/>
      <c r="W943" s="38"/>
      <c r="X943" s="38"/>
      <c r="Y943" s="38"/>
      <c r="Z943" s="38"/>
    </row>
    <row r="944" spans="1:26">
      <c r="A944" s="35"/>
      <c r="B944" s="38"/>
      <c r="C944" s="38"/>
      <c r="D944" s="39"/>
      <c r="E944" s="39"/>
      <c r="F944" s="38"/>
      <c r="G944" s="38"/>
      <c r="H944" s="38"/>
      <c r="I944" s="38"/>
      <c r="J944" s="38"/>
      <c r="K944" s="38"/>
      <c r="L944" s="38"/>
      <c r="M944" s="38"/>
      <c r="N944" s="38"/>
      <c r="O944" s="38"/>
      <c r="P944" s="38"/>
      <c r="Q944" s="38"/>
      <c r="R944" s="38"/>
      <c r="S944" s="38"/>
      <c r="T944" s="38"/>
      <c r="U944" s="38"/>
      <c r="V944" s="38"/>
      <c r="W944" s="38"/>
      <c r="X944" s="38"/>
      <c r="Y944" s="38"/>
      <c r="Z944" s="38"/>
    </row>
    <row r="945" spans="1:26">
      <c r="A945" s="35"/>
      <c r="B945" s="38"/>
      <c r="C945" s="38"/>
      <c r="D945" s="39"/>
      <c r="E945" s="39"/>
      <c r="F945" s="38"/>
      <c r="G945" s="38"/>
      <c r="H945" s="38"/>
      <c r="I945" s="38"/>
      <c r="J945" s="38"/>
      <c r="K945" s="38"/>
      <c r="L945" s="38"/>
      <c r="M945" s="38"/>
      <c r="N945" s="38"/>
      <c r="O945" s="38"/>
      <c r="P945" s="38"/>
      <c r="Q945" s="38"/>
      <c r="R945" s="38"/>
      <c r="S945" s="38"/>
      <c r="T945" s="38"/>
      <c r="U945" s="38"/>
      <c r="V945" s="38"/>
      <c r="W945" s="38"/>
      <c r="X945" s="38"/>
      <c r="Y945" s="38"/>
      <c r="Z945" s="38"/>
    </row>
    <row r="946" spans="1:26">
      <c r="A946" s="35"/>
      <c r="B946" s="38"/>
      <c r="C946" s="38"/>
      <c r="D946" s="39"/>
      <c r="E946" s="39"/>
      <c r="F946" s="38"/>
      <c r="G946" s="38"/>
      <c r="H946" s="38"/>
      <c r="I946" s="38"/>
      <c r="J946" s="38"/>
      <c r="K946" s="38"/>
      <c r="L946" s="38"/>
      <c r="M946" s="38"/>
      <c r="N946" s="38"/>
      <c r="O946" s="38"/>
      <c r="P946" s="38"/>
      <c r="Q946" s="38"/>
      <c r="R946" s="38"/>
      <c r="S946" s="38"/>
      <c r="T946" s="38"/>
      <c r="U946" s="38"/>
      <c r="V946" s="38"/>
      <c r="W946" s="38"/>
      <c r="X946" s="38"/>
      <c r="Y946" s="38"/>
      <c r="Z946" s="38"/>
    </row>
    <row r="947" spans="1:26">
      <c r="A947" s="35"/>
      <c r="B947" s="38"/>
      <c r="C947" s="38"/>
      <c r="D947" s="39"/>
      <c r="E947" s="39"/>
      <c r="F947" s="38"/>
      <c r="G947" s="38"/>
      <c r="H947" s="38"/>
      <c r="I947" s="38"/>
      <c r="J947" s="38"/>
      <c r="K947" s="38"/>
      <c r="L947" s="38"/>
      <c r="M947" s="38"/>
      <c r="N947" s="38"/>
      <c r="O947" s="38"/>
      <c r="P947" s="38"/>
      <c r="Q947" s="38"/>
      <c r="R947" s="38"/>
      <c r="S947" s="38"/>
      <c r="T947" s="38"/>
      <c r="U947" s="38"/>
      <c r="V947" s="38"/>
      <c r="W947" s="38"/>
      <c r="X947" s="38"/>
      <c r="Y947" s="38"/>
      <c r="Z947" s="38"/>
    </row>
    <row r="948" spans="1:26">
      <c r="A948" s="35"/>
      <c r="B948" s="38"/>
      <c r="C948" s="38"/>
      <c r="D948" s="39"/>
      <c r="E948" s="39"/>
      <c r="F948" s="38"/>
      <c r="G948" s="38"/>
      <c r="H948" s="38"/>
      <c r="I948" s="38"/>
      <c r="J948" s="38"/>
      <c r="K948" s="38"/>
      <c r="L948" s="38"/>
      <c r="M948" s="38"/>
      <c r="N948" s="38"/>
      <c r="O948" s="38"/>
      <c r="P948" s="38"/>
      <c r="Q948" s="38"/>
      <c r="R948" s="38"/>
      <c r="S948" s="38"/>
      <c r="T948" s="38"/>
      <c r="U948" s="38"/>
      <c r="V948" s="38"/>
      <c r="W948" s="38"/>
      <c r="X948" s="38"/>
      <c r="Y948" s="38"/>
      <c r="Z948" s="38"/>
    </row>
    <row r="949" spans="1:26">
      <c r="A949" s="35"/>
      <c r="B949" s="38"/>
      <c r="C949" s="38"/>
      <c r="D949" s="39"/>
      <c r="E949" s="39"/>
      <c r="F949" s="38"/>
      <c r="G949" s="38"/>
      <c r="H949" s="38"/>
      <c r="I949" s="38"/>
      <c r="J949" s="38"/>
      <c r="K949" s="38"/>
      <c r="L949" s="38"/>
      <c r="M949" s="38"/>
      <c r="N949" s="38"/>
      <c r="O949" s="38"/>
      <c r="P949" s="38"/>
      <c r="Q949" s="38"/>
      <c r="R949" s="38"/>
      <c r="S949" s="38"/>
      <c r="T949" s="38"/>
      <c r="U949" s="38"/>
      <c r="V949" s="38"/>
      <c r="W949" s="38"/>
      <c r="X949" s="38"/>
      <c r="Y949" s="38"/>
      <c r="Z949" s="38"/>
    </row>
    <row r="950" spans="1:26">
      <c r="A950" s="35"/>
      <c r="B950" s="38"/>
      <c r="C950" s="38"/>
      <c r="D950" s="39"/>
      <c r="E950" s="39"/>
      <c r="F950" s="38"/>
      <c r="G950" s="38"/>
      <c r="H950" s="38"/>
      <c r="I950" s="38"/>
      <c r="J950" s="38"/>
      <c r="K950" s="38"/>
      <c r="L950" s="38"/>
      <c r="M950" s="38"/>
      <c r="N950" s="38"/>
      <c r="O950" s="38"/>
      <c r="P950" s="38"/>
      <c r="Q950" s="38"/>
      <c r="R950" s="38"/>
      <c r="S950" s="38"/>
      <c r="T950" s="38"/>
      <c r="U950" s="38"/>
      <c r="V950" s="38"/>
      <c r="W950" s="38"/>
      <c r="X950" s="38"/>
      <c r="Y950" s="38"/>
      <c r="Z950" s="38"/>
    </row>
    <row r="951" spans="1:26">
      <c r="A951" s="35"/>
      <c r="B951" s="38"/>
      <c r="C951" s="38"/>
      <c r="D951" s="39"/>
      <c r="E951" s="39"/>
      <c r="F951" s="38"/>
      <c r="G951" s="38"/>
      <c r="H951" s="38"/>
      <c r="I951" s="38"/>
      <c r="J951" s="38"/>
      <c r="K951" s="38"/>
      <c r="L951" s="38"/>
      <c r="M951" s="38"/>
      <c r="N951" s="38"/>
      <c r="O951" s="38"/>
      <c r="P951" s="38"/>
      <c r="Q951" s="38"/>
      <c r="R951" s="38"/>
      <c r="S951" s="38"/>
      <c r="T951" s="38"/>
      <c r="U951" s="38"/>
      <c r="V951" s="38"/>
      <c r="W951" s="38"/>
      <c r="X951" s="38"/>
      <c r="Y951" s="38"/>
      <c r="Z951" s="38"/>
    </row>
    <row r="952" spans="1:26">
      <c r="A952" s="35"/>
      <c r="B952" s="38"/>
      <c r="C952" s="38"/>
      <c r="D952" s="39"/>
      <c r="E952" s="39"/>
      <c r="F952" s="38"/>
      <c r="G952" s="38"/>
      <c r="H952" s="38"/>
      <c r="I952" s="38"/>
      <c r="J952" s="38"/>
      <c r="K952" s="38"/>
      <c r="L952" s="38"/>
      <c r="M952" s="38"/>
      <c r="N952" s="38"/>
      <c r="O952" s="38"/>
      <c r="P952" s="38"/>
      <c r="Q952" s="38"/>
      <c r="R952" s="38"/>
      <c r="S952" s="38"/>
      <c r="T952" s="38"/>
      <c r="U952" s="38"/>
      <c r="V952" s="38"/>
      <c r="W952" s="38"/>
      <c r="X952" s="38"/>
      <c r="Y952" s="38"/>
      <c r="Z952" s="38"/>
    </row>
    <row r="953" spans="1:26">
      <c r="A953" s="35"/>
      <c r="B953" s="38"/>
      <c r="C953" s="38"/>
      <c r="D953" s="39"/>
      <c r="E953" s="39"/>
      <c r="F953" s="38"/>
      <c r="G953" s="38"/>
      <c r="H953" s="38"/>
      <c r="I953" s="38"/>
      <c r="J953" s="38"/>
      <c r="K953" s="38"/>
      <c r="L953" s="38"/>
      <c r="M953" s="38"/>
      <c r="N953" s="38"/>
      <c r="O953" s="38"/>
      <c r="P953" s="38"/>
      <c r="Q953" s="38"/>
      <c r="R953" s="38"/>
      <c r="S953" s="38"/>
      <c r="T953" s="38"/>
      <c r="U953" s="38"/>
      <c r="V953" s="38"/>
      <c r="W953" s="38"/>
      <c r="X953" s="38"/>
      <c r="Y953" s="38"/>
      <c r="Z953" s="38"/>
    </row>
    <row r="954" spans="1:26">
      <c r="A954" s="35"/>
      <c r="B954" s="38"/>
      <c r="C954" s="38"/>
      <c r="D954" s="39"/>
      <c r="E954" s="39"/>
      <c r="F954" s="38"/>
      <c r="G954" s="38"/>
      <c r="H954" s="38"/>
      <c r="I954" s="38"/>
      <c r="J954" s="38"/>
      <c r="K954" s="38"/>
      <c r="L954" s="38"/>
      <c r="M954" s="38"/>
      <c r="N954" s="38"/>
      <c r="O954" s="38"/>
      <c r="P954" s="38"/>
      <c r="Q954" s="38"/>
      <c r="R954" s="38"/>
      <c r="S954" s="38"/>
      <c r="T954" s="38"/>
      <c r="U954" s="38"/>
      <c r="V954" s="38"/>
      <c r="W954" s="38"/>
      <c r="X954" s="38"/>
      <c r="Y954" s="38"/>
      <c r="Z954" s="38"/>
    </row>
    <row r="955" spans="1:26">
      <c r="A955" s="35"/>
      <c r="B955" s="38"/>
      <c r="C955" s="38"/>
      <c r="D955" s="39"/>
      <c r="E955" s="39"/>
      <c r="F955" s="38"/>
      <c r="G955" s="38"/>
      <c r="H955" s="38"/>
      <c r="I955" s="38"/>
      <c r="J955" s="38"/>
      <c r="K955" s="38"/>
      <c r="L955" s="38"/>
      <c r="M955" s="38"/>
      <c r="N955" s="38"/>
      <c r="O955" s="38"/>
      <c r="P955" s="38"/>
      <c r="Q955" s="38"/>
      <c r="R955" s="38"/>
      <c r="S955" s="38"/>
      <c r="T955" s="38"/>
      <c r="U955" s="38"/>
      <c r="V955" s="38"/>
      <c r="W955" s="38"/>
      <c r="X955" s="38"/>
      <c r="Y955" s="38"/>
      <c r="Z955" s="38"/>
    </row>
    <row r="956" spans="1:26">
      <c r="A956" s="35"/>
      <c r="B956" s="38"/>
      <c r="C956" s="38"/>
      <c r="D956" s="39"/>
      <c r="E956" s="39"/>
      <c r="F956" s="38"/>
      <c r="G956" s="38"/>
      <c r="H956" s="38"/>
      <c r="I956" s="38"/>
      <c r="J956" s="38"/>
      <c r="K956" s="38"/>
      <c r="L956" s="38"/>
      <c r="M956" s="38"/>
      <c r="N956" s="38"/>
      <c r="O956" s="38"/>
      <c r="P956" s="38"/>
      <c r="Q956" s="38"/>
      <c r="R956" s="38"/>
      <c r="S956" s="38"/>
      <c r="T956" s="38"/>
      <c r="U956" s="38"/>
      <c r="V956" s="38"/>
      <c r="W956" s="38"/>
      <c r="X956" s="38"/>
      <c r="Y956" s="38"/>
      <c r="Z956" s="38"/>
    </row>
    <row r="957" spans="1:26">
      <c r="A957" s="35"/>
      <c r="B957" s="38"/>
      <c r="C957" s="38"/>
      <c r="D957" s="39"/>
      <c r="E957" s="39"/>
      <c r="F957" s="38"/>
      <c r="G957" s="38"/>
      <c r="H957" s="38"/>
      <c r="I957" s="38"/>
      <c r="J957" s="38"/>
      <c r="K957" s="38"/>
      <c r="L957" s="38"/>
      <c r="M957" s="38"/>
      <c r="N957" s="38"/>
      <c r="O957" s="38"/>
      <c r="P957" s="38"/>
      <c r="Q957" s="38"/>
      <c r="R957" s="38"/>
      <c r="S957" s="38"/>
      <c r="T957" s="38"/>
      <c r="U957" s="38"/>
      <c r="V957" s="38"/>
      <c r="W957" s="38"/>
      <c r="X957" s="38"/>
      <c r="Y957" s="38"/>
      <c r="Z957" s="38"/>
    </row>
    <row r="958" spans="1:26">
      <c r="A958" s="35"/>
      <c r="B958" s="38"/>
      <c r="C958" s="38"/>
      <c r="D958" s="39"/>
      <c r="E958" s="39"/>
      <c r="F958" s="38"/>
      <c r="G958" s="38"/>
      <c r="H958" s="38"/>
      <c r="I958" s="38"/>
      <c r="J958" s="38"/>
      <c r="K958" s="38"/>
      <c r="L958" s="38"/>
      <c r="M958" s="38"/>
      <c r="N958" s="38"/>
      <c r="O958" s="38"/>
      <c r="P958" s="38"/>
      <c r="Q958" s="38"/>
      <c r="R958" s="38"/>
      <c r="S958" s="38"/>
      <c r="T958" s="38"/>
      <c r="U958" s="38"/>
      <c r="V958" s="38"/>
      <c r="W958" s="38"/>
      <c r="X958" s="38"/>
      <c r="Y958" s="38"/>
      <c r="Z958" s="38"/>
    </row>
    <row r="959" spans="1:26">
      <c r="A959" s="35"/>
      <c r="B959" s="38"/>
      <c r="C959" s="38"/>
      <c r="D959" s="39"/>
      <c r="E959" s="39"/>
      <c r="F959" s="38"/>
      <c r="G959" s="38"/>
      <c r="H959" s="38"/>
      <c r="I959" s="38"/>
      <c r="J959" s="38"/>
      <c r="K959" s="38"/>
      <c r="L959" s="38"/>
      <c r="M959" s="38"/>
      <c r="N959" s="38"/>
      <c r="O959" s="38"/>
      <c r="P959" s="38"/>
      <c r="Q959" s="38"/>
      <c r="R959" s="38"/>
      <c r="S959" s="38"/>
      <c r="T959" s="38"/>
      <c r="U959" s="38"/>
      <c r="V959" s="38"/>
      <c r="W959" s="38"/>
      <c r="X959" s="38"/>
      <c r="Y959" s="38"/>
      <c r="Z959" s="38"/>
    </row>
    <row r="960" spans="1:26">
      <c r="A960" s="35"/>
      <c r="B960" s="38"/>
      <c r="C960" s="38"/>
      <c r="D960" s="39"/>
      <c r="E960" s="39"/>
      <c r="F960" s="38"/>
      <c r="G960" s="38"/>
      <c r="H960" s="38"/>
      <c r="I960" s="38"/>
      <c r="J960" s="38"/>
      <c r="K960" s="38"/>
      <c r="L960" s="38"/>
      <c r="M960" s="38"/>
      <c r="N960" s="38"/>
      <c r="O960" s="38"/>
      <c r="P960" s="38"/>
      <c r="Q960" s="38"/>
      <c r="R960" s="38"/>
      <c r="S960" s="38"/>
      <c r="T960" s="38"/>
      <c r="U960" s="38"/>
      <c r="V960" s="38"/>
      <c r="W960" s="38"/>
      <c r="X960" s="38"/>
      <c r="Y960" s="38"/>
      <c r="Z960" s="38"/>
    </row>
    <row r="961" spans="1:26">
      <c r="A961" s="35"/>
      <c r="B961" s="38"/>
      <c r="C961" s="38"/>
      <c r="D961" s="39"/>
      <c r="E961" s="39"/>
      <c r="F961" s="38"/>
      <c r="G961" s="38"/>
      <c r="H961" s="38"/>
      <c r="I961" s="38"/>
      <c r="J961" s="38"/>
      <c r="K961" s="38"/>
      <c r="L961" s="38"/>
      <c r="M961" s="38"/>
      <c r="N961" s="38"/>
      <c r="O961" s="38"/>
      <c r="P961" s="38"/>
      <c r="Q961" s="38"/>
      <c r="R961" s="38"/>
      <c r="S961" s="38"/>
      <c r="T961" s="38"/>
      <c r="U961" s="38"/>
      <c r="V961" s="38"/>
      <c r="W961" s="38"/>
      <c r="X961" s="38"/>
      <c r="Y961" s="38"/>
      <c r="Z961" s="38"/>
    </row>
    <row r="962" spans="1:26">
      <c r="A962" s="35"/>
      <c r="B962" s="38"/>
      <c r="C962" s="38"/>
      <c r="D962" s="39"/>
      <c r="E962" s="39"/>
      <c r="F962" s="38"/>
      <c r="G962" s="38"/>
      <c r="H962" s="38"/>
      <c r="I962" s="38"/>
      <c r="J962" s="38"/>
      <c r="K962" s="38"/>
      <c r="L962" s="38"/>
      <c r="M962" s="38"/>
      <c r="N962" s="38"/>
      <c r="O962" s="38"/>
      <c r="P962" s="38"/>
      <c r="Q962" s="38"/>
      <c r="R962" s="38"/>
      <c r="S962" s="38"/>
      <c r="T962" s="38"/>
      <c r="U962" s="38"/>
      <c r="V962" s="38"/>
      <c r="W962" s="38"/>
      <c r="X962" s="38"/>
      <c r="Y962" s="38"/>
      <c r="Z962" s="38"/>
    </row>
    <row r="963" spans="1:26">
      <c r="A963" s="35"/>
      <c r="B963" s="38"/>
      <c r="C963" s="38"/>
      <c r="D963" s="39"/>
      <c r="E963" s="39"/>
      <c r="F963" s="38"/>
      <c r="G963" s="38"/>
      <c r="H963" s="38"/>
      <c r="I963" s="38"/>
      <c r="J963" s="38"/>
      <c r="K963" s="38"/>
      <c r="L963" s="38"/>
      <c r="M963" s="38"/>
      <c r="N963" s="38"/>
      <c r="O963" s="38"/>
      <c r="P963" s="38"/>
      <c r="Q963" s="38"/>
      <c r="R963" s="38"/>
      <c r="S963" s="38"/>
      <c r="T963" s="38"/>
      <c r="U963" s="38"/>
      <c r="V963" s="38"/>
      <c r="W963" s="38"/>
      <c r="X963" s="38"/>
      <c r="Y963" s="38"/>
      <c r="Z963" s="38"/>
    </row>
    <row r="964" spans="1:26">
      <c r="A964" s="35"/>
      <c r="B964" s="38"/>
      <c r="C964" s="38"/>
      <c r="D964" s="39"/>
      <c r="E964" s="39"/>
      <c r="F964" s="38"/>
      <c r="G964" s="38"/>
      <c r="H964" s="38"/>
      <c r="I964" s="38"/>
      <c r="J964" s="38"/>
      <c r="K964" s="38"/>
      <c r="L964" s="38"/>
      <c r="M964" s="38"/>
      <c r="N964" s="38"/>
      <c r="O964" s="38"/>
      <c r="P964" s="38"/>
      <c r="Q964" s="38"/>
      <c r="R964" s="38"/>
      <c r="S964" s="38"/>
      <c r="T964" s="38"/>
      <c r="U964" s="38"/>
      <c r="V964" s="38"/>
      <c r="W964" s="38"/>
      <c r="X964" s="38"/>
      <c r="Y964" s="38"/>
      <c r="Z964" s="38"/>
    </row>
    <row r="965" spans="1:26">
      <c r="A965" s="35"/>
      <c r="B965" s="38"/>
      <c r="C965" s="38"/>
      <c r="D965" s="39"/>
      <c r="E965" s="39"/>
      <c r="F965" s="38"/>
      <c r="G965" s="38"/>
      <c r="H965" s="38"/>
      <c r="I965" s="38"/>
      <c r="J965" s="38"/>
      <c r="K965" s="38"/>
      <c r="L965" s="38"/>
      <c r="M965" s="38"/>
      <c r="N965" s="38"/>
      <c r="O965" s="38"/>
      <c r="P965" s="38"/>
      <c r="Q965" s="38"/>
      <c r="R965" s="38"/>
      <c r="S965" s="38"/>
      <c r="T965" s="38"/>
      <c r="U965" s="38"/>
      <c r="V965" s="38"/>
      <c r="W965" s="38"/>
      <c r="X965" s="38"/>
      <c r="Y965" s="38"/>
      <c r="Z965" s="38"/>
    </row>
    <row r="966" spans="1:26">
      <c r="A966" s="35"/>
      <c r="B966" s="38"/>
      <c r="C966" s="38"/>
      <c r="D966" s="39"/>
      <c r="E966" s="39"/>
      <c r="F966" s="38"/>
      <c r="G966" s="38"/>
      <c r="H966" s="38"/>
      <c r="I966" s="38"/>
      <c r="J966" s="38"/>
      <c r="K966" s="38"/>
      <c r="L966" s="38"/>
      <c r="M966" s="38"/>
      <c r="N966" s="38"/>
      <c r="O966" s="38"/>
      <c r="P966" s="38"/>
      <c r="Q966" s="38"/>
      <c r="R966" s="38"/>
      <c r="S966" s="38"/>
      <c r="T966" s="38"/>
      <c r="U966" s="38"/>
      <c r="V966" s="38"/>
      <c r="W966" s="38"/>
      <c r="X966" s="38"/>
      <c r="Y966" s="38"/>
      <c r="Z966" s="38"/>
    </row>
    <row r="967" spans="1:26">
      <c r="A967" s="35"/>
      <c r="B967" s="38"/>
      <c r="C967" s="38"/>
      <c r="D967" s="39"/>
      <c r="E967" s="39"/>
      <c r="F967" s="38"/>
      <c r="G967" s="38"/>
      <c r="H967" s="38"/>
      <c r="I967" s="38"/>
      <c r="J967" s="38"/>
      <c r="K967" s="38"/>
      <c r="L967" s="38"/>
      <c r="M967" s="38"/>
      <c r="N967" s="38"/>
      <c r="O967" s="38"/>
      <c r="P967" s="38"/>
      <c r="Q967" s="38"/>
      <c r="R967" s="38"/>
      <c r="S967" s="38"/>
      <c r="T967" s="38"/>
      <c r="U967" s="38"/>
      <c r="V967" s="38"/>
      <c r="W967" s="38"/>
      <c r="X967" s="38"/>
      <c r="Y967" s="38"/>
      <c r="Z967" s="38"/>
    </row>
    <row r="968" spans="1:26">
      <c r="A968" s="35"/>
      <c r="B968" s="38"/>
      <c r="C968" s="38"/>
      <c r="D968" s="39"/>
      <c r="E968" s="39"/>
      <c r="F968" s="38"/>
      <c r="G968" s="38"/>
      <c r="H968" s="38"/>
      <c r="I968" s="38"/>
      <c r="J968" s="38"/>
      <c r="K968" s="38"/>
      <c r="L968" s="38"/>
      <c r="M968" s="38"/>
      <c r="N968" s="38"/>
      <c r="O968" s="38"/>
      <c r="P968" s="38"/>
      <c r="Q968" s="38"/>
      <c r="R968" s="38"/>
      <c r="S968" s="38"/>
      <c r="T968" s="38"/>
      <c r="U968" s="38"/>
      <c r="V968" s="38"/>
      <c r="W968" s="38"/>
      <c r="X968" s="38"/>
      <c r="Y968" s="38"/>
      <c r="Z968" s="38"/>
    </row>
    <row r="969" spans="1:26">
      <c r="A969" s="35"/>
      <c r="B969" s="38"/>
      <c r="C969" s="38"/>
      <c r="D969" s="39"/>
      <c r="E969" s="39"/>
      <c r="F969" s="38"/>
      <c r="G969" s="38"/>
      <c r="H969" s="38"/>
      <c r="I969" s="38"/>
      <c r="J969" s="38"/>
      <c r="K969" s="38"/>
      <c r="L969" s="38"/>
      <c r="M969" s="38"/>
      <c r="N969" s="38"/>
      <c r="O969" s="38"/>
      <c r="P969" s="38"/>
      <c r="Q969" s="38"/>
      <c r="R969" s="38"/>
      <c r="S969" s="38"/>
      <c r="T969" s="38"/>
      <c r="U969" s="38"/>
      <c r="V969" s="38"/>
      <c r="W969" s="38"/>
      <c r="X969" s="38"/>
      <c r="Y969" s="38"/>
      <c r="Z969" s="38"/>
    </row>
    <row r="970" spans="1:26">
      <c r="A970" s="35"/>
      <c r="B970" s="38"/>
      <c r="C970" s="38"/>
      <c r="D970" s="39"/>
      <c r="E970" s="39"/>
      <c r="F970" s="38"/>
      <c r="G970" s="38"/>
      <c r="H970" s="38"/>
      <c r="I970" s="38"/>
      <c r="J970" s="38"/>
      <c r="K970" s="38"/>
      <c r="L970" s="38"/>
      <c r="M970" s="38"/>
      <c r="N970" s="38"/>
      <c r="O970" s="38"/>
      <c r="P970" s="38"/>
      <c r="Q970" s="38"/>
      <c r="R970" s="38"/>
      <c r="S970" s="38"/>
      <c r="T970" s="38"/>
      <c r="U970" s="38"/>
      <c r="V970" s="38"/>
      <c r="W970" s="38"/>
      <c r="X970" s="38"/>
      <c r="Y970" s="38"/>
      <c r="Z970" s="38"/>
    </row>
    <row r="971" spans="1:26">
      <c r="A971" s="35"/>
      <c r="B971" s="38"/>
      <c r="C971" s="38"/>
      <c r="D971" s="39"/>
      <c r="E971" s="39"/>
      <c r="F971" s="38"/>
      <c r="G971" s="38"/>
      <c r="H971" s="38"/>
      <c r="I971" s="38"/>
      <c r="J971" s="38"/>
      <c r="K971" s="38"/>
      <c r="L971" s="38"/>
      <c r="M971" s="38"/>
      <c r="N971" s="38"/>
      <c r="O971" s="38"/>
      <c r="P971" s="38"/>
      <c r="Q971" s="38"/>
      <c r="R971" s="38"/>
      <c r="S971" s="38"/>
      <c r="T971" s="38"/>
      <c r="U971" s="38"/>
      <c r="V971" s="38"/>
      <c r="W971" s="38"/>
      <c r="X971" s="38"/>
      <c r="Y971" s="38"/>
      <c r="Z971" s="38"/>
    </row>
    <row r="972" spans="1:26">
      <c r="A972" s="35"/>
      <c r="B972" s="38"/>
      <c r="C972" s="38"/>
      <c r="D972" s="39"/>
      <c r="E972" s="39"/>
      <c r="F972" s="38"/>
      <c r="G972" s="38"/>
      <c r="H972" s="38"/>
      <c r="I972" s="38"/>
      <c r="J972" s="38"/>
      <c r="K972" s="38"/>
      <c r="L972" s="38"/>
      <c r="M972" s="38"/>
      <c r="N972" s="38"/>
      <c r="O972" s="38"/>
      <c r="P972" s="38"/>
      <c r="Q972" s="38"/>
      <c r="R972" s="38"/>
      <c r="S972" s="38"/>
      <c r="T972" s="38"/>
      <c r="U972" s="38"/>
      <c r="V972" s="38"/>
      <c r="W972" s="38"/>
      <c r="X972" s="38"/>
      <c r="Y972" s="38"/>
      <c r="Z972" s="38"/>
    </row>
    <row r="973" spans="1:26">
      <c r="A973" s="35"/>
      <c r="B973" s="38"/>
      <c r="C973" s="38"/>
      <c r="D973" s="39"/>
      <c r="E973" s="39"/>
      <c r="F973" s="38"/>
      <c r="G973" s="38"/>
      <c r="H973" s="38"/>
      <c r="I973" s="38"/>
      <c r="J973" s="38"/>
      <c r="K973" s="38"/>
      <c r="L973" s="38"/>
      <c r="M973" s="38"/>
      <c r="N973" s="38"/>
      <c r="O973" s="38"/>
      <c r="P973" s="38"/>
      <c r="Q973" s="38"/>
      <c r="R973" s="38"/>
      <c r="S973" s="38"/>
      <c r="T973" s="38"/>
      <c r="U973" s="38"/>
      <c r="V973" s="38"/>
      <c r="W973" s="38"/>
      <c r="X973" s="38"/>
      <c r="Y973" s="38"/>
      <c r="Z973" s="38"/>
    </row>
    <row r="974" spans="1:26">
      <c r="A974" s="35"/>
      <c r="B974" s="38"/>
      <c r="C974" s="38"/>
      <c r="D974" s="39"/>
      <c r="E974" s="39"/>
      <c r="F974" s="38"/>
      <c r="G974" s="38"/>
      <c r="H974" s="38"/>
      <c r="I974" s="38"/>
      <c r="J974" s="38"/>
      <c r="K974" s="38"/>
      <c r="L974" s="38"/>
      <c r="M974" s="38"/>
      <c r="N974" s="38"/>
      <c r="O974" s="38"/>
      <c r="P974" s="38"/>
      <c r="Q974" s="38"/>
      <c r="R974" s="38"/>
      <c r="S974" s="38"/>
      <c r="T974" s="38"/>
      <c r="U974" s="38"/>
      <c r="V974" s="38"/>
      <c r="W974" s="38"/>
      <c r="X974" s="38"/>
      <c r="Y974" s="38"/>
      <c r="Z974" s="38"/>
    </row>
    <row r="975" spans="1:26">
      <c r="A975" s="35"/>
      <c r="B975" s="38"/>
      <c r="C975" s="38"/>
      <c r="D975" s="39"/>
      <c r="E975" s="39"/>
      <c r="F975" s="38"/>
      <c r="G975" s="38"/>
      <c r="H975" s="38"/>
      <c r="I975" s="38"/>
      <c r="J975" s="38"/>
      <c r="K975" s="38"/>
      <c r="L975" s="38"/>
      <c r="M975" s="38"/>
      <c r="N975" s="38"/>
      <c r="O975" s="38"/>
      <c r="P975" s="38"/>
      <c r="Q975" s="38"/>
      <c r="R975" s="38"/>
      <c r="S975" s="38"/>
      <c r="T975" s="38"/>
      <c r="U975" s="38"/>
      <c r="V975" s="38"/>
      <c r="W975" s="38"/>
      <c r="X975" s="38"/>
      <c r="Y975" s="38"/>
      <c r="Z975" s="38"/>
    </row>
    <row r="976" spans="1:26">
      <c r="A976" s="35"/>
      <c r="B976" s="38"/>
      <c r="C976" s="38"/>
      <c r="D976" s="39"/>
      <c r="E976" s="39"/>
      <c r="F976" s="38"/>
      <c r="G976" s="38"/>
      <c r="H976" s="38"/>
      <c r="I976" s="38"/>
      <c r="J976" s="38"/>
      <c r="K976" s="38"/>
      <c r="L976" s="38"/>
      <c r="M976" s="38"/>
      <c r="N976" s="38"/>
      <c r="O976" s="38"/>
      <c r="P976" s="38"/>
      <c r="Q976" s="38"/>
      <c r="R976" s="38"/>
      <c r="S976" s="38"/>
      <c r="T976" s="38"/>
      <c r="U976" s="38"/>
      <c r="V976" s="38"/>
      <c r="W976" s="38"/>
      <c r="X976" s="38"/>
      <c r="Y976" s="38"/>
      <c r="Z976" s="38"/>
    </row>
    <row r="977" spans="1:26">
      <c r="A977" s="35"/>
      <c r="B977" s="38"/>
      <c r="C977" s="38"/>
      <c r="D977" s="39"/>
      <c r="E977" s="39"/>
      <c r="F977" s="38"/>
      <c r="G977" s="38"/>
      <c r="H977" s="38"/>
      <c r="I977" s="38"/>
      <c r="J977" s="38"/>
      <c r="K977" s="38"/>
      <c r="L977" s="38"/>
      <c r="M977" s="38"/>
      <c r="N977" s="38"/>
      <c r="O977" s="38"/>
      <c r="P977" s="38"/>
      <c r="Q977" s="38"/>
      <c r="R977" s="38"/>
      <c r="S977" s="38"/>
      <c r="T977" s="38"/>
      <c r="U977" s="38"/>
      <c r="V977" s="38"/>
      <c r="W977" s="38"/>
      <c r="X977" s="38"/>
      <c r="Y977" s="38"/>
      <c r="Z977" s="38"/>
    </row>
    <row r="978" spans="1:26">
      <c r="A978" s="35"/>
      <c r="B978" s="38"/>
      <c r="C978" s="38"/>
      <c r="D978" s="39"/>
      <c r="E978" s="39"/>
      <c r="F978" s="38"/>
      <c r="G978" s="38"/>
      <c r="H978" s="38"/>
      <c r="I978" s="38"/>
      <c r="J978" s="38"/>
      <c r="K978" s="38"/>
      <c r="L978" s="38"/>
      <c r="M978" s="38"/>
      <c r="N978" s="38"/>
      <c r="O978" s="38"/>
      <c r="P978" s="38"/>
      <c r="Q978" s="38"/>
      <c r="R978" s="38"/>
      <c r="S978" s="38"/>
      <c r="T978" s="38"/>
      <c r="U978" s="38"/>
      <c r="V978" s="38"/>
      <c r="W978" s="38"/>
      <c r="X978" s="38"/>
      <c r="Y978" s="38"/>
      <c r="Z978" s="38"/>
    </row>
    <row r="979" spans="1:26">
      <c r="A979" s="35"/>
      <c r="B979" s="38"/>
      <c r="C979" s="38"/>
      <c r="D979" s="39"/>
      <c r="E979" s="39"/>
      <c r="F979" s="38"/>
      <c r="G979" s="38"/>
      <c r="H979" s="38"/>
      <c r="I979" s="38"/>
      <c r="J979" s="38"/>
      <c r="K979" s="38"/>
      <c r="L979" s="38"/>
      <c r="M979" s="38"/>
      <c r="N979" s="38"/>
      <c r="O979" s="38"/>
      <c r="P979" s="38"/>
      <c r="Q979" s="38"/>
      <c r="R979" s="38"/>
      <c r="S979" s="38"/>
      <c r="T979" s="38"/>
      <c r="U979" s="38"/>
      <c r="V979" s="38"/>
      <c r="W979" s="38"/>
      <c r="X979" s="38"/>
      <c r="Y979" s="38"/>
      <c r="Z979" s="38"/>
    </row>
    <row r="980" spans="1:26">
      <c r="A980" s="35"/>
      <c r="B980" s="38"/>
      <c r="C980" s="38"/>
      <c r="D980" s="39"/>
      <c r="E980" s="39"/>
      <c r="F980" s="38"/>
      <c r="G980" s="38"/>
      <c r="H980" s="38"/>
      <c r="I980" s="38"/>
      <c r="J980" s="38"/>
      <c r="K980" s="38"/>
      <c r="L980" s="38"/>
      <c r="M980" s="38"/>
      <c r="N980" s="38"/>
      <c r="O980" s="38"/>
      <c r="P980" s="38"/>
      <c r="Q980" s="38"/>
      <c r="R980" s="38"/>
      <c r="S980" s="38"/>
      <c r="T980" s="38"/>
      <c r="U980" s="38"/>
      <c r="V980" s="38"/>
      <c r="W980" s="38"/>
      <c r="X980" s="38"/>
      <c r="Y980" s="38"/>
      <c r="Z980" s="38"/>
    </row>
    <row r="981" spans="1:26">
      <c r="A981" s="35"/>
      <c r="B981" s="38"/>
      <c r="C981" s="38"/>
      <c r="D981" s="39"/>
      <c r="E981" s="39"/>
      <c r="F981" s="38"/>
      <c r="G981" s="38"/>
      <c r="H981" s="38"/>
      <c r="I981" s="38"/>
      <c r="J981" s="38"/>
      <c r="K981" s="38"/>
      <c r="L981" s="38"/>
      <c r="M981" s="38"/>
      <c r="N981" s="38"/>
      <c r="O981" s="38"/>
      <c r="P981" s="38"/>
      <c r="Q981" s="38"/>
      <c r="R981" s="38"/>
      <c r="S981" s="38"/>
      <c r="T981" s="38"/>
      <c r="U981" s="38"/>
      <c r="V981" s="38"/>
      <c r="W981" s="38"/>
      <c r="X981" s="38"/>
      <c r="Y981" s="38"/>
      <c r="Z981" s="38"/>
    </row>
    <row r="982" spans="1:26">
      <c r="A982" s="35"/>
      <c r="B982" s="38"/>
      <c r="C982" s="38"/>
      <c r="D982" s="39"/>
      <c r="E982" s="39"/>
      <c r="F982" s="38"/>
      <c r="G982" s="38"/>
      <c r="H982" s="38"/>
      <c r="I982" s="38"/>
      <c r="J982" s="38"/>
      <c r="K982" s="38"/>
      <c r="L982" s="38"/>
      <c r="M982" s="38"/>
      <c r="N982" s="38"/>
      <c r="O982" s="38"/>
      <c r="P982" s="38"/>
      <c r="Q982" s="38"/>
      <c r="R982" s="38"/>
      <c r="S982" s="38"/>
      <c r="T982" s="38"/>
      <c r="U982" s="38"/>
      <c r="V982" s="38"/>
      <c r="W982" s="38"/>
      <c r="X982" s="38"/>
      <c r="Y982" s="38"/>
      <c r="Z982" s="38"/>
    </row>
    <row r="983" spans="1:26">
      <c r="A983" s="35"/>
      <c r="B983" s="38"/>
      <c r="C983" s="38"/>
      <c r="D983" s="39"/>
      <c r="E983" s="39"/>
      <c r="F983" s="38"/>
      <c r="G983" s="38"/>
      <c r="H983" s="38"/>
      <c r="I983" s="38"/>
      <c r="J983" s="38"/>
      <c r="K983" s="38"/>
      <c r="L983" s="38"/>
      <c r="M983" s="38"/>
      <c r="N983" s="38"/>
      <c r="O983" s="38"/>
      <c r="P983" s="38"/>
      <c r="Q983" s="38"/>
      <c r="R983" s="38"/>
      <c r="S983" s="38"/>
      <c r="T983" s="38"/>
      <c r="U983" s="38"/>
      <c r="V983" s="38"/>
      <c r="W983" s="38"/>
      <c r="X983" s="38"/>
      <c r="Y983" s="38"/>
      <c r="Z983" s="38"/>
    </row>
    <row r="984" spans="1:26">
      <c r="A984" s="35"/>
      <c r="B984" s="38"/>
      <c r="C984" s="38"/>
      <c r="D984" s="39"/>
      <c r="E984" s="39"/>
      <c r="F984" s="38"/>
      <c r="G984" s="38"/>
      <c r="H984" s="38"/>
      <c r="I984" s="38"/>
      <c r="J984" s="38"/>
      <c r="K984" s="38"/>
      <c r="L984" s="38"/>
      <c r="M984" s="38"/>
      <c r="N984" s="38"/>
      <c r="O984" s="38"/>
      <c r="P984" s="38"/>
      <c r="Q984" s="38"/>
      <c r="R984" s="38"/>
      <c r="S984" s="38"/>
      <c r="T984" s="38"/>
      <c r="U984" s="38"/>
      <c r="V984" s="38"/>
      <c r="W984" s="38"/>
      <c r="X984" s="38"/>
      <c r="Y984" s="38"/>
      <c r="Z984" s="38"/>
    </row>
    <row r="985" spans="1:26">
      <c r="A985" s="35"/>
      <c r="B985" s="38"/>
      <c r="C985" s="38"/>
      <c r="D985" s="39"/>
      <c r="E985" s="39"/>
      <c r="F985" s="38"/>
      <c r="G985" s="38"/>
      <c r="H985" s="38"/>
      <c r="I985" s="38"/>
      <c r="J985" s="38"/>
      <c r="K985" s="38"/>
      <c r="L985" s="38"/>
      <c r="M985" s="38"/>
      <c r="N985" s="38"/>
      <c r="O985" s="38"/>
      <c r="P985" s="38"/>
      <c r="Q985" s="38"/>
      <c r="R985" s="38"/>
      <c r="S985" s="38"/>
      <c r="T985" s="38"/>
      <c r="U985" s="38"/>
      <c r="V985" s="38"/>
      <c r="W985" s="38"/>
      <c r="X985" s="38"/>
      <c r="Y985" s="38"/>
      <c r="Z985" s="38"/>
    </row>
    <row r="986" spans="1:26">
      <c r="A986" s="35"/>
      <c r="B986" s="38"/>
      <c r="C986" s="38"/>
      <c r="D986" s="39"/>
      <c r="E986" s="39"/>
      <c r="F986" s="38"/>
      <c r="G986" s="38"/>
      <c r="H986" s="38"/>
      <c r="I986" s="38"/>
      <c r="J986" s="38"/>
      <c r="K986" s="38"/>
      <c r="L986" s="38"/>
      <c r="M986" s="38"/>
      <c r="N986" s="38"/>
      <c r="O986" s="38"/>
      <c r="P986" s="38"/>
      <c r="Q986" s="38"/>
      <c r="R986" s="38"/>
      <c r="S986" s="38"/>
      <c r="T986" s="38"/>
      <c r="U986" s="38"/>
      <c r="V986" s="38"/>
      <c r="W986" s="38"/>
      <c r="X986" s="38"/>
      <c r="Y986" s="38"/>
      <c r="Z986" s="38"/>
    </row>
    <row r="987" spans="1:26">
      <c r="A987" s="35"/>
      <c r="B987" s="38"/>
      <c r="C987" s="38"/>
      <c r="D987" s="39"/>
      <c r="E987" s="39"/>
      <c r="F987" s="38"/>
      <c r="G987" s="38"/>
      <c r="H987" s="38"/>
      <c r="I987" s="38"/>
      <c r="J987" s="38"/>
      <c r="K987" s="38"/>
      <c r="L987" s="38"/>
      <c r="M987" s="38"/>
      <c r="N987" s="38"/>
      <c r="O987" s="38"/>
      <c r="P987" s="38"/>
      <c r="Q987" s="38"/>
      <c r="R987" s="38"/>
      <c r="S987" s="38"/>
      <c r="T987" s="38"/>
      <c r="U987" s="38"/>
      <c r="V987" s="38"/>
      <c r="W987" s="38"/>
      <c r="X987" s="38"/>
      <c r="Y987" s="38"/>
      <c r="Z987" s="38"/>
    </row>
    <row r="988" spans="1:26">
      <c r="A988" s="35"/>
      <c r="B988" s="38"/>
      <c r="C988" s="38"/>
      <c r="D988" s="39"/>
      <c r="E988" s="39"/>
      <c r="F988" s="38"/>
      <c r="G988" s="38"/>
      <c r="H988" s="38"/>
      <c r="I988" s="38"/>
      <c r="J988" s="38"/>
      <c r="K988" s="38"/>
      <c r="L988" s="38"/>
      <c r="M988" s="38"/>
      <c r="N988" s="38"/>
      <c r="O988" s="38"/>
      <c r="P988" s="38"/>
      <c r="Q988" s="38"/>
      <c r="R988" s="38"/>
      <c r="S988" s="38"/>
      <c r="T988" s="38"/>
      <c r="U988" s="38"/>
      <c r="V988" s="38"/>
      <c r="W988" s="38"/>
      <c r="X988" s="38"/>
      <c r="Y988" s="38"/>
      <c r="Z988" s="38"/>
    </row>
    <row r="989" spans="1:26">
      <c r="A989" s="35"/>
      <c r="B989" s="38"/>
      <c r="C989" s="38"/>
      <c r="D989" s="39"/>
      <c r="E989" s="39"/>
      <c r="F989" s="38"/>
      <c r="G989" s="38"/>
      <c r="H989" s="38"/>
      <c r="I989" s="38"/>
      <c r="J989" s="38"/>
      <c r="K989" s="38"/>
      <c r="L989" s="38"/>
      <c r="M989" s="38"/>
      <c r="N989" s="38"/>
      <c r="O989" s="38"/>
      <c r="P989" s="38"/>
      <c r="Q989" s="38"/>
      <c r="R989" s="38"/>
      <c r="S989" s="38"/>
      <c r="T989" s="38"/>
      <c r="U989" s="38"/>
      <c r="V989" s="38"/>
      <c r="W989" s="38"/>
      <c r="X989" s="38"/>
      <c r="Y989" s="38"/>
      <c r="Z989" s="38"/>
    </row>
    <row r="990" spans="1:26">
      <c r="A990" s="35"/>
      <c r="B990" s="38"/>
      <c r="C990" s="38"/>
      <c r="D990" s="39"/>
      <c r="E990" s="39"/>
      <c r="F990" s="38"/>
      <c r="G990" s="38"/>
      <c r="H990" s="38"/>
      <c r="I990" s="38"/>
      <c r="J990" s="38"/>
      <c r="K990" s="38"/>
      <c r="L990" s="38"/>
      <c r="M990" s="38"/>
      <c r="N990" s="38"/>
      <c r="O990" s="38"/>
      <c r="P990" s="38"/>
      <c r="Q990" s="38"/>
      <c r="R990" s="38"/>
      <c r="S990" s="38"/>
      <c r="T990" s="38"/>
      <c r="U990" s="38"/>
      <c r="V990" s="38"/>
      <c r="W990" s="38"/>
      <c r="X990" s="38"/>
      <c r="Y990" s="38"/>
      <c r="Z990" s="38"/>
    </row>
    <row r="991" spans="1:26">
      <c r="A991" s="35"/>
      <c r="B991" s="38"/>
      <c r="C991" s="38"/>
      <c r="D991" s="39"/>
      <c r="E991" s="39"/>
      <c r="F991" s="38"/>
      <c r="G991" s="38"/>
      <c r="H991" s="38"/>
      <c r="I991" s="38"/>
      <c r="J991" s="38"/>
      <c r="K991" s="38"/>
      <c r="L991" s="38"/>
      <c r="M991" s="38"/>
      <c r="N991" s="38"/>
      <c r="O991" s="38"/>
      <c r="P991" s="38"/>
      <c r="Q991" s="38"/>
      <c r="R991" s="38"/>
      <c r="S991" s="38"/>
      <c r="T991" s="38"/>
      <c r="U991" s="38"/>
      <c r="V991" s="38"/>
      <c r="W991" s="38"/>
      <c r="X991" s="38"/>
      <c r="Y991" s="38"/>
      <c r="Z991" s="38"/>
    </row>
    <row r="992" spans="1:26">
      <c r="A992" s="35"/>
      <c r="B992" s="38"/>
      <c r="C992" s="38"/>
      <c r="D992" s="39"/>
      <c r="E992" s="39"/>
      <c r="F992" s="38"/>
      <c r="G992" s="38"/>
      <c r="H992" s="38"/>
      <c r="I992" s="38"/>
      <c r="J992" s="38"/>
      <c r="K992" s="38"/>
      <c r="L992" s="38"/>
      <c r="M992" s="38"/>
      <c r="N992" s="38"/>
      <c r="O992" s="38"/>
      <c r="P992" s="38"/>
      <c r="Q992" s="38"/>
      <c r="R992" s="38"/>
      <c r="S992" s="38"/>
      <c r="T992" s="38"/>
      <c r="U992" s="38"/>
      <c r="V992" s="38"/>
      <c r="W992" s="38"/>
      <c r="X992" s="38"/>
      <c r="Y992" s="38"/>
      <c r="Z992" s="38"/>
    </row>
    <row r="993" spans="1:26">
      <c r="A993" s="35"/>
      <c r="B993" s="38"/>
      <c r="C993" s="38"/>
      <c r="D993" s="39"/>
      <c r="E993" s="39"/>
      <c r="F993" s="38"/>
      <c r="G993" s="38"/>
      <c r="H993" s="38"/>
      <c r="I993" s="38"/>
      <c r="J993" s="38"/>
      <c r="K993" s="38"/>
      <c r="L993" s="38"/>
      <c r="M993" s="38"/>
      <c r="N993" s="38"/>
      <c r="O993" s="38"/>
      <c r="P993" s="38"/>
      <c r="Q993" s="38"/>
      <c r="R993" s="38"/>
      <c r="S993" s="38"/>
      <c r="T993" s="38"/>
      <c r="U993" s="38"/>
      <c r="V993" s="38"/>
      <c r="W993" s="38"/>
      <c r="X993" s="38"/>
      <c r="Y993" s="38"/>
      <c r="Z993" s="38"/>
    </row>
    <row r="994" spans="1:26">
      <c r="A994" s="35"/>
      <c r="B994" s="38"/>
      <c r="C994" s="38"/>
      <c r="D994" s="39"/>
      <c r="E994" s="39"/>
      <c r="F994" s="38"/>
      <c r="G994" s="38"/>
      <c r="H994" s="38"/>
      <c r="I994" s="38"/>
      <c r="J994" s="38"/>
      <c r="K994" s="38"/>
      <c r="L994" s="38"/>
      <c r="M994" s="38"/>
      <c r="N994" s="38"/>
      <c r="O994" s="38"/>
      <c r="P994" s="38"/>
      <c r="Q994" s="38"/>
      <c r="R994" s="38"/>
      <c r="S994" s="38"/>
      <c r="T994" s="38"/>
      <c r="U994" s="38"/>
      <c r="V994" s="38"/>
      <c r="W994" s="38"/>
      <c r="X994" s="38"/>
      <c r="Y994" s="38"/>
      <c r="Z994" s="38"/>
    </row>
    <row r="995" spans="1:26">
      <c r="A995" s="35"/>
      <c r="B995" s="38"/>
      <c r="C995" s="38"/>
      <c r="D995" s="39"/>
      <c r="E995" s="39"/>
      <c r="F995" s="38"/>
      <c r="G995" s="38"/>
      <c r="H995" s="38"/>
      <c r="I995" s="38"/>
      <c r="J995" s="38"/>
      <c r="K995" s="38"/>
      <c r="L995" s="38"/>
      <c r="M995" s="38"/>
      <c r="N995" s="38"/>
      <c r="O995" s="38"/>
      <c r="P995" s="38"/>
      <c r="Q995" s="38"/>
      <c r="R995" s="38"/>
      <c r="S995" s="38"/>
      <c r="T995" s="38"/>
      <c r="U995" s="38"/>
      <c r="V995" s="38"/>
      <c r="W995" s="38"/>
      <c r="X995" s="38"/>
      <c r="Y995" s="38"/>
      <c r="Z995" s="38"/>
    </row>
    <row r="996" spans="1:26">
      <c r="A996" s="35"/>
      <c r="B996" s="38"/>
      <c r="C996" s="38"/>
      <c r="D996" s="39"/>
      <c r="E996" s="39"/>
      <c r="F996" s="38"/>
      <c r="G996" s="38"/>
      <c r="H996" s="38"/>
      <c r="I996" s="38"/>
      <c r="J996" s="38"/>
      <c r="K996" s="38"/>
      <c r="L996" s="38"/>
      <c r="M996" s="38"/>
      <c r="N996" s="38"/>
      <c r="O996" s="38"/>
      <c r="P996" s="38"/>
      <c r="Q996" s="38"/>
      <c r="R996" s="38"/>
      <c r="S996" s="38"/>
      <c r="T996" s="38"/>
      <c r="U996" s="38"/>
      <c r="V996" s="38"/>
      <c r="W996" s="38"/>
      <c r="X996" s="38"/>
      <c r="Y996" s="38"/>
      <c r="Z996" s="38"/>
    </row>
    <row r="997" spans="1:26">
      <c r="A997" s="35"/>
      <c r="B997" s="38"/>
      <c r="C997" s="38"/>
      <c r="D997" s="39"/>
      <c r="E997" s="39"/>
      <c r="F997" s="38"/>
      <c r="G997" s="38"/>
      <c r="H997" s="38"/>
      <c r="I997" s="38"/>
      <c r="J997" s="38"/>
      <c r="K997" s="38"/>
      <c r="L997" s="38"/>
      <c r="M997" s="38"/>
      <c r="N997" s="38"/>
      <c r="O997" s="38"/>
      <c r="P997" s="38"/>
      <c r="Q997" s="38"/>
      <c r="R997" s="38"/>
      <c r="S997" s="38"/>
      <c r="T997" s="38"/>
      <c r="U997" s="38"/>
      <c r="V997" s="38"/>
      <c r="W997" s="38"/>
      <c r="X997" s="38"/>
      <c r="Y997" s="38"/>
      <c r="Z997" s="38"/>
    </row>
    <row r="998" spans="1:26">
      <c r="A998" s="35"/>
      <c r="B998" s="38"/>
      <c r="C998" s="38"/>
      <c r="D998" s="39"/>
      <c r="E998" s="39"/>
      <c r="F998" s="38"/>
      <c r="G998" s="38"/>
      <c r="H998" s="38"/>
      <c r="I998" s="38"/>
      <c r="J998" s="38"/>
      <c r="K998" s="38"/>
      <c r="L998" s="38"/>
      <c r="M998" s="38"/>
      <c r="N998" s="38"/>
      <c r="O998" s="38"/>
      <c r="P998" s="38"/>
      <c r="Q998" s="38"/>
      <c r="R998" s="38"/>
      <c r="S998" s="38"/>
      <c r="T998" s="38"/>
      <c r="U998" s="38"/>
      <c r="V998" s="38"/>
      <c r="W998" s="38"/>
      <c r="X998" s="38"/>
      <c r="Y998" s="38"/>
      <c r="Z998" s="38"/>
    </row>
    <row r="999" spans="1:26">
      <c r="A999" s="35"/>
      <c r="B999" s="38"/>
      <c r="C999" s="38"/>
      <c r="D999" s="39"/>
      <c r="E999" s="39"/>
      <c r="F999" s="38"/>
      <c r="G999" s="38"/>
      <c r="H999" s="38"/>
      <c r="I999" s="38"/>
      <c r="J999" s="38"/>
      <c r="K999" s="38"/>
      <c r="L999" s="38"/>
      <c r="M999" s="38"/>
      <c r="N999" s="38"/>
      <c r="O999" s="38"/>
      <c r="P999" s="38"/>
      <c r="Q999" s="38"/>
      <c r="R999" s="38"/>
      <c r="S999" s="38"/>
      <c r="T999" s="38"/>
      <c r="U999" s="38"/>
      <c r="V999" s="38"/>
      <c r="W999" s="38"/>
      <c r="X999" s="38"/>
      <c r="Y999" s="38"/>
      <c r="Z999" s="38"/>
    </row>
    <row r="1000" spans="1:26">
      <c r="A1000" s="35"/>
      <c r="B1000" s="38"/>
      <c r="C1000" s="38"/>
      <c r="D1000" s="39"/>
      <c r="E1000" s="39"/>
      <c r="F1000" s="38"/>
      <c r="G1000" s="38"/>
      <c r="H1000" s="38"/>
      <c r="I1000" s="38"/>
      <c r="J1000" s="38"/>
      <c r="K1000" s="38"/>
      <c r="L1000" s="38"/>
      <c r="M1000" s="38"/>
      <c r="N1000" s="38"/>
      <c r="O1000" s="38"/>
      <c r="P1000" s="38"/>
      <c r="Q1000" s="38"/>
      <c r="R1000" s="38"/>
      <c r="S1000" s="38"/>
      <c r="T1000" s="38"/>
      <c r="U1000" s="38"/>
      <c r="V1000" s="38"/>
      <c r="W1000" s="38"/>
      <c r="X1000" s="38"/>
      <c r="Y1000" s="38"/>
      <c r="Z1000" s="38"/>
    </row>
  </sheetData>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ipoPlan xmlns="92bc180a-5a9b-4d21-8e0e-159a079cd821">Plan de acción</TipoPlan>
    <Anio xmlns="92bc180a-5a9b-4d21-8e0e-159a079cd821">2021</Anio>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427D7AF1270964D90B45388D10A6A13" ma:contentTypeVersion="3" ma:contentTypeDescription="Crear nuevo documento." ma:contentTypeScope="" ma:versionID="53e88aa5181962037593bb0f18477b71">
  <xsd:schema xmlns:xsd="http://www.w3.org/2001/XMLSchema" xmlns:xs="http://www.w3.org/2001/XMLSchema" xmlns:p="http://schemas.microsoft.com/office/2006/metadata/properties" xmlns:ns2="92bc180a-5a9b-4d21-8e0e-159a079cd821" targetNamespace="http://schemas.microsoft.com/office/2006/metadata/properties" ma:root="true" ma:fieldsID="573829464c6e5e567ef905d6428f9226" ns2:_="">
    <xsd:import namespace="92bc180a-5a9b-4d21-8e0e-159a079cd821"/>
    <xsd:element name="properties">
      <xsd:complexType>
        <xsd:sequence>
          <xsd:element name="documentManagement">
            <xsd:complexType>
              <xsd:all>
                <xsd:element ref="ns2:Anio"/>
                <xsd:element ref="ns2:TipoPla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bc180a-5a9b-4d21-8e0e-159a079cd821" elementFormDefault="qualified">
    <xsd:import namespace="http://schemas.microsoft.com/office/2006/documentManagement/types"/>
    <xsd:import namespace="http://schemas.microsoft.com/office/infopath/2007/PartnerControls"/>
    <xsd:element name="Anio" ma:index="8" ma:displayName="Anio" ma:format="Dropdown" ma:internalName="Anio">
      <xsd:simpleType>
        <xsd:restriction base="dms:Choice">
          <xsd:enumeration value="2000"/>
          <xsd:enumeration value="2001"/>
          <xsd:enumeration value="2002"/>
          <xsd:enumeration value="2003"/>
          <xsd:enumeration value="2004"/>
          <xsd:enumeration value="2005"/>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2024"/>
        </xsd:restriction>
      </xsd:simpleType>
    </xsd:element>
    <xsd:element name="TipoPlan" ma:index="9" nillable="true" ma:displayName="TipoPlan" ma:format="Dropdown" ma:indexed="true" ma:internalName="TipoPlan">
      <xsd:simpleType>
        <xsd:restriction base="dms:Choice">
          <xsd:enumeration value="Plan estratégico"/>
          <xsd:enumeration value="Plan de acción"/>
          <xsd:enumeration value="Plan de desarrollo"/>
          <xsd:enumeration value="Plan de mejoramiento"/>
          <xsd:enumeration value="Plan anual de adquisiciones"/>
          <xsd:enumeration value="Plan anti corrupción y atención al ciudadano"/>
          <xsd:enumeration value="Plan de comunicaciones"/>
          <xsd:enumeration value="Plan de bienestar"/>
          <xsd:enumeration value="Plan de capacitación"/>
          <xsd:enumeration value="Plan institucional de archivos"/>
          <xsd:enumeration value="Plan anual de vacantes"/>
          <xsd:enumeration value="Plan de talento humano"/>
          <xsd:enumeration value="Plan de trabajo en SST"/>
          <xsd:enumeration value="Plan de tecnologías de la información"/>
          <xsd:enumeration value="Plan de riesgos de SI"/>
          <xsd:enumeration value="Plan de seguridad y privacidad de la Info"/>
          <xsd:enumeration value="Plan de previsión de RH"/>
          <xsd:enumeration value="Plan institucional de gestión ambiental - PIGA"/>
          <xsd:enumeration value="Seguimientos"/>
          <xsd:enumeration value="Plan de mejoramiento CGR"/>
          <xsd:enumeration value="Plan de mejoramiento auditorias interna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86DBF-EAE4-4356-9423-2C8373982481}"/>
</file>

<file path=customXml/itemProps2.xml><?xml version="1.0" encoding="utf-8"?>
<ds:datastoreItem xmlns:ds="http://schemas.openxmlformats.org/officeDocument/2006/customXml" ds:itemID="{52565369-1708-4F71-A745-B38915B60ADA}"/>
</file>

<file path=customXml/itemProps3.xml><?xml version="1.0" encoding="utf-8"?>
<ds:datastoreItem xmlns:ds="http://schemas.openxmlformats.org/officeDocument/2006/customXml" ds:itemID="{3040646C-206D-4AAB-9BB9-C8A82B10F31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vt:i4>
      </vt:variant>
    </vt:vector>
  </HeadingPairs>
  <TitlesOfParts>
    <vt:vector size="20" baseType="lpstr">
      <vt:lpstr>Hoja1</vt:lpstr>
      <vt:lpstr>PA 2021</vt:lpstr>
      <vt:lpstr>INSTRUCTIVO</vt:lpstr>
      <vt:lpstr>Indicadores</vt:lpstr>
      <vt:lpstr>Graf</vt:lpstr>
      <vt:lpstr>1er Trim 21</vt:lpstr>
      <vt:lpstr>2do Trim 21 ACUMULADO</vt:lpstr>
      <vt:lpstr>Query Trimestral</vt:lpstr>
      <vt:lpstr>Tabla dinámica 1</vt:lpstr>
      <vt:lpstr>Área y Dependencia</vt:lpstr>
      <vt:lpstr>Metas sectoriales</vt:lpstr>
      <vt:lpstr>Tipo de Indicador</vt:lpstr>
      <vt:lpstr>Meses</vt:lpstr>
      <vt:lpstr>MIPG</vt:lpstr>
      <vt:lpstr>Planes Institucionales</vt:lpstr>
      <vt:lpstr>Procesos</vt:lpstr>
      <vt:lpstr>Objetivos Estratégicos</vt:lpstr>
      <vt:lpstr>CONTROL DE CAMBIOS</vt:lpstr>
      <vt:lpstr>Proyectos de Inversión</vt:lpstr>
      <vt:lpstr>'PA 2021'!Área_de_impresión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acción 2021 v2 editable (xlsx)</dc:title>
  <dc:creator>Carlos Felipe Rojas Paez</dc:creator>
  <cp:lastModifiedBy>Carlos Felipe Rojas Paez</cp:lastModifiedBy>
  <cp:lastPrinted>2021-05-25T14:59:29Z</cp:lastPrinted>
  <dcterms:modified xsi:type="dcterms:W3CDTF">2021-05-25T15:00:09Z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0x0101006427D7AF1270964D90B45388D10A6A13</vt:lpwstr>
  </property>
</Properties>
</file>