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E9E0461C-DB6F-4165-B3CE-B55AC9B5173A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Viveros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M12" i="1" l="1"/>
  <c r="N12" i="1" s="1"/>
  <c r="P12" i="1" s="1"/>
  <c r="M13" i="1"/>
  <c r="N13" i="1" s="1"/>
  <c r="P13" i="1" s="1"/>
  <c r="R13" i="1" s="1"/>
  <c r="M14" i="1"/>
  <c r="N14" i="1" s="1"/>
  <c r="P14" i="1" s="1"/>
  <c r="M15" i="1"/>
  <c r="N15" i="1" s="1"/>
  <c r="P15" i="1" s="1"/>
  <c r="M16" i="1"/>
  <c r="N16" i="1" s="1"/>
  <c r="P16" i="1" s="1"/>
  <c r="O12" i="1"/>
  <c r="O13" i="1"/>
  <c r="O14" i="1"/>
  <c r="O15" i="1"/>
  <c r="O16" i="1"/>
  <c r="A37" i="1" l="1"/>
  <c r="B8" i="1" l="1"/>
  <c r="B29" i="1" s="1"/>
  <c r="A36" i="1"/>
  <c r="O11" i="1"/>
  <c r="M11" i="1"/>
  <c r="N11" i="1" s="1"/>
  <c r="C29" i="1" l="1"/>
  <c r="P11" i="1"/>
  <c r="B30" i="1" s="1"/>
  <c r="P9" i="1" l="1"/>
  <c r="C30" i="1"/>
  <c r="C31" i="1" s="1"/>
  <c r="Q11" i="1" l="1"/>
  <c r="Q15" i="1"/>
  <c r="Q12" i="1"/>
  <c r="Q16" i="1"/>
  <c r="Q14" i="1"/>
  <c r="Q13" i="1"/>
  <c r="B31" i="1"/>
  <c r="B37" i="1" l="1"/>
  <c r="C37" i="1" s="1"/>
  <c r="D30" i="1"/>
  <c r="D29" i="1"/>
  <c r="R16" i="1" l="1"/>
  <c r="D31" i="1"/>
  <c r="R14" i="1"/>
  <c r="R15" i="1"/>
  <c r="R12" i="1"/>
  <c r="R11" i="1"/>
</calcChain>
</file>

<file path=xl/sharedStrings.xml><?xml version="1.0" encoding="utf-8"?>
<sst xmlns="http://schemas.openxmlformats.org/spreadsheetml/2006/main" count="88" uniqueCount="60">
  <si>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</si>
  <si>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</si>
  <si>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</si>
  <si>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</si>
  <si>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</si>
  <si>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</si>
  <si>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</si>
  <si>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</si>
  <si>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</si>
  <si>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</si>
  <si>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</si>
  <si>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</si>
  <si>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</si>
  <si>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</si>
  <si>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</si>
  <si>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</si>
  <si>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</si>
  <si>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</si>
  <si>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</si>
  <si>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</si>
  <si>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</si>
  <si>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</si>
  <si>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</si>
  <si>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</si>
  <si>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</si>
  <si>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</si>
  <si>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</si>
  <si>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</si>
  <si>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</si>
  <si>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Grupo Homogeneo</t>
  </si>
  <si>
    <t>MJ/año</t>
  </si>
  <si>
    <t>TJ/año</t>
  </si>
  <si>
    <t>Tabla 9</t>
  </si>
  <si>
    <t>Dato de información secundaria [Ha]</t>
  </si>
  <si>
    <t>Mantenimiento</t>
  </si>
  <si>
    <t>Fertilización</t>
  </si>
  <si>
    <t>Terreno fertilizado</t>
  </si>
  <si>
    <t>Terreno guadañado</t>
  </si>
  <si>
    <t>Sistema de Riego y drenaje</t>
  </si>
  <si>
    <t>Terreno irrigado</t>
  </si>
  <si>
    <t>Viveros</t>
  </si>
  <si>
    <t>Limpieza</t>
  </si>
  <si>
    <t>Estaquilado</t>
  </si>
  <si>
    <t>Terreno iluminado</t>
  </si>
  <si>
    <t>Indicador [MJ/10.000 Plantas]</t>
  </si>
  <si>
    <t>Dato de información secundaria Plantas/Ha</t>
  </si>
  <si>
    <t>Referencia</t>
  </si>
  <si>
    <t>https://www.colviveros.org/ElViverismoColombianoEnero2023.pdf</t>
  </si>
  <si>
    <t xml:space="preserve">https://aulavirtual.agro.unlp.edu.ar/pluginfile.php/40611/mod_resource/content/1/020000_Manual_de_Vivero.pdf </t>
  </si>
  <si>
    <t>Uso final de energía</t>
  </si>
  <si>
    <t>Fuerza motriz</t>
  </si>
  <si>
    <t>Iluminación</t>
  </si>
  <si>
    <t>Sector</t>
  </si>
  <si>
    <t>Dato comercial por CIIU de XM [kWh/año]</t>
  </si>
  <si>
    <t>Consumo Eléctricidad por sector [MJ/año]</t>
  </si>
  <si>
    <t>Total</t>
  </si>
  <si>
    <t xml:space="preserve">Tabla 8. Indicador producción </t>
  </si>
  <si>
    <t>Consumo energía [MJ/año]</t>
  </si>
  <si>
    <t>Consumo energía corregida [MJ/año]</t>
  </si>
  <si>
    <t>Total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</si>
</sst>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%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2" tint="-0.899990844447157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9" fillId="0" borderId="0" xfId="0" applyFont="1"/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/>
    </xf>
    <xf numFmtId="4" fontId="11" fillId="7" borderId="1" xfId="0" applyNumberFormat="1" applyFont="1" applyFill="1" applyBorder="1" applyAlignment="1">
      <alignment horizontal="center"/>
    </xf>
    <xf numFmtId="9" fontId="11" fillId="7" borderId="1" xfId="1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Normal" xfId="0" builtinId="0"/>
    <cellStyle name="Porcentaje" xfId="1" builtinId="5"/>
  </cellStyles>
  <dxfs count="18"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0.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R16" totalsRowShown="0" headerRowDxfId="17" dataDxfId="15" headerRowBorderDxfId="16" tableBorderDxfId="14" totalsRowBorderDxfId="13">
  <autoFilter ref="F10:R16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12"/>
    <tableColumn id="2" xr3:uid="{B5D1F10D-371F-4B26-972F-7E20D881EF10}" name="Proceso" dataDxfId="11"/>
    <tableColumn id="14" xr3:uid="{439E21A4-8998-4019-9711-0BDFAB081B5C}" name="Uso final de energía" dataDxfId="10"/>
    <tableColumn id="3" xr3:uid="{D5C4E4C9-E4CD-42F0-B878-EAED958F5FA0}" name="Energético" dataDxfId="9"/>
    <tableColumn id="4" xr3:uid="{B7B5D837-72C9-44E9-A5D9-0A2D73C6B023}" name="Producto final" dataDxfId="8"/>
    <tableColumn id="5" xr3:uid="{3CF749A7-0CC3-4EAE-8383-BA07291F80FF}" name="Unidades indicador producción" dataDxfId="7"/>
    <tableColumn id="6" xr3:uid="{380EDCBC-1202-4CB0-B868-AB32DBAE2810}" name="Indicador" dataDxfId="6"/>
    <tableColumn id="7" xr3:uid="{F7C4E07E-D41C-4EB3-84F4-91947724497C}" name="Parámetro" dataDxfId="5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3">
      <calculatedColumnFormula>"MJ/Ha"</calculatedColumnFormula>
    </tableColumn>
    <tableColumn id="10" xr3:uid="{E16307D2-7B0D-4BEC-94C3-8D5C9401D2A7}" name="Consumo energía [MJ/año]" dataDxfId="2">
      <calculatedColumnFormula>(Tabla2[[#This Row],[Indicador área]]*$B$5)</calculatedColumnFormula>
    </tableColumn>
    <tableColumn id="11" xr3:uid="{883FDAB9-96F4-42B0-B1E9-1077973A82B2}" name="Participación" dataDxfId="1" dataCellStyle="Porcentaje">
      <calculatedColumnFormula>+Tabla2[[#This Row],[Consumo energía '[MJ/año']]]/$P$9</calculatedColumnFormula>
    </tableColumn>
    <tableColumn id="12" xr3:uid="{034AD70F-1A00-47E7-8D0F-E02C9BB61542}" name="Consumo energía corregida [MJ/año]" dataDxfId="0">
      <calculatedColumnFormula>IF(Tabla2[[#This Row],[Energético]]="Energía Eléctrica",((Tabla2[[#This Row],[Participación]]*$D$29)/SUMIF(Tabla2[Energético],"Energía Eléctrica",Tabla2[Participación]))*$B$31,Tabla2[[#This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37"/>
  <sheetViews>
    <sheetView showGridLines="0" tabSelected="1" workbookViewId="0">
      <selection activeCell="E19" sqref="E19"/>
    </sheetView>
  </sheetViews>
  <sheetFormatPr baseColWidth="10" defaultRowHeight="12.75" x14ac:dyDescent="0.2"/>
  <cols>
    <col min="1" max="1" width="28.28515625" customWidth="1"/>
    <col min="2" max="2" width="16.42578125" customWidth="1"/>
    <col min="3" max="3" width="25" customWidth="1"/>
    <col min="4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8" max="18" width="23.42578125" customWidth="1"/>
  </cols>
  <sheetData>
    <row r="1" spans="1:18" ht="18" x14ac:dyDescent="0.25">
      <c r="A1" s="14"/>
    </row>
    <row r="3" spans="1:18" ht="20.25" x14ac:dyDescent="0.2">
      <c r="A3" s="35" t="s">
        <v>52</v>
      </c>
      <c r="B3" s="36"/>
      <c r="C3" s="4"/>
    </row>
    <row r="4" spans="1:18" x14ac:dyDescent="0.2">
      <c r="A4" s="5" t="s">
        <v>29</v>
      </c>
      <c r="B4" s="13" t="s">
        <v>40</v>
      </c>
      <c r="C4" s="4"/>
    </row>
    <row r="5" spans="1:18" ht="25.5" x14ac:dyDescent="0.2">
      <c r="A5" s="6" t="s">
        <v>13</v>
      </c>
      <c r="B5" s="7">
        <v>2142</v>
      </c>
      <c r="C5" s="40" t="s">
        <v>33</v>
      </c>
      <c r="D5" s="34" t="s">
        <v>46</v>
      </c>
      <c r="E5" s="34" t="s">
        <v>47</v>
      </c>
      <c r="F5" s="34"/>
    </row>
    <row r="6" spans="1:18" ht="25.5" x14ac:dyDescent="0.2">
      <c r="A6" s="6" t="s">
        <v>14</v>
      </c>
      <c r="B6" s="7">
        <v>500000</v>
      </c>
      <c r="C6" s="40" t="s">
        <v>45</v>
      </c>
      <c r="D6" s="34" t="s">
        <v>46</v>
      </c>
      <c r="E6" s="34" t="s">
        <v>48</v>
      </c>
      <c r="F6" s="34"/>
    </row>
    <row r="7" spans="1:18" ht="25.5" x14ac:dyDescent="0.2">
      <c r="A7" s="8" t="s">
        <v>15</v>
      </c>
      <c r="B7" s="7">
        <v>137389.68569843928</v>
      </c>
      <c r="C7" s="40" t="s">
        <v>53</v>
      </c>
    </row>
    <row r="8" spans="1:18" ht="26.25" x14ac:dyDescent="0.25">
      <c r="A8" s="8" t="s">
        <v>54</v>
      </c>
      <c r="B8" s="21">
        <f>+B7*3.6</f>
        <v>494602.86851438141</v>
      </c>
      <c r="C8" s="1"/>
      <c r="F8" s="32" t="s">
        <v>56</v>
      </c>
      <c r="G8" s="32"/>
      <c r="H8" s="32"/>
      <c r="I8" s="32"/>
      <c r="J8" s="32"/>
      <c r="K8" s="32"/>
      <c r="L8" s="32"/>
      <c r="R8" s="11" t="s">
        <v>59</v>
      </c>
    </row>
    <row r="9" spans="1:18" ht="31.5" x14ac:dyDescent="0.25">
      <c r="K9" s="3" t="s">
        <v>26</v>
      </c>
      <c r="P9" s="12">
        <f>SUM(Tabla2[Consumo energía '[MJ/año']])</f>
        <v>1868852.7102798</v>
      </c>
      <c r="R9" s="42">
        <f>SUM(Tabla2[Consumo energía corregida '[MJ/año']])</f>
        <v>862477.63765178155</v>
      </c>
    </row>
    <row r="10" spans="1:18" s="2" customFormat="1" ht="25.5" x14ac:dyDescent="0.2">
      <c r="F10" s="22" t="s">
        <v>16</v>
      </c>
      <c r="G10" s="23" t="s">
        <v>17</v>
      </c>
      <c r="H10" s="23" t="s">
        <v>49</v>
      </c>
      <c r="I10" s="23" t="s">
        <v>18</v>
      </c>
      <c r="J10" s="23" t="s">
        <v>19</v>
      </c>
      <c r="K10" s="24" t="s">
        <v>20</v>
      </c>
      <c r="L10" s="23" t="s">
        <v>21</v>
      </c>
      <c r="M10" s="23" t="s">
        <v>23</v>
      </c>
      <c r="N10" s="23" t="s">
        <v>24</v>
      </c>
      <c r="O10" s="23" t="s">
        <v>25</v>
      </c>
      <c r="P10" s="41" t="s">
        <v>57</v>
      </c>
      <c r="Q10" s="41" t="s">
        <v>1</v>
      </c>
      <c r="R10" s="41" t="s">
        <v>58</v>
      </c>
    </row>
    <row r="11" spans="1:18" x14ac:dyDescent="0.2">
      <c r="F11" s="25" t="s">
        <v>40</v>
      </c>
      <c r="G11" s="26" t="s">
        <v>35</v>
      </c>
      <c r="H11" s="26" t="s">
        <v>50</v>
      </c>
      <c r="I11" s="26" t="s">
        <v>2</v>
      </c>
      <c r="J11" s="26" t="s">
        <v>36</v>
      </c>
      <c r="K11" s="26" t="s">
        <v>22</v>
      </c>
      <c r="L11" s="27">
        <v>6.6665999999999999</v>
      </c>
      <c r="M11" s="28" t="str">
        <f>IFERROR(RIGHT(Tabla2[[#This Row],[Unidades indicador producción]], LEN(Tabla2[[#This Row],[Unidades indicador producción]])-FIND("/", Tabla2[[#This Row],[Unidades indicador producción]])), "")</f>
        <v>Ha</v>
      </c>
      <c r="N11" s="29">
        <f>IF(Tabla2[[#This Row],[Parámetro]]="Tn",Tabla2[[#This Row],[Indicador]]*$B$6,Tabla2[[#This Row],[Indicador]])</f>
        <v>6.6665999999999999</v>
      </c>
      <c r="O11" s="28" t="str">
        <f t="shared" ref="O11" si="0">"MJ/Ha"</f>
        <v>MJ/Ha</v>
      </c>
      <c r="P11" s="43">
        <f>(Tabla2[[#This Row],[Indicador área]]*$B$5)</f>
        <v>14279.8572</v>
      </c>
      <c r="Q11" s="44">
        <f>+Tabla2[[#This Row],[Consumo energía '[MJ/año']]]/$P$9</f>
        <v>7.6409751937390807E-3</v>
      </c>
      <c r="R11" s="45">
        <f>IF(Tabla2[[#This Row],[Energético]]="Energía Eléctrica",((Tabla2[[#This Row],[Participación]]*$D$29)/SUMIF(Tabla2[Energético],"Energía Eléctrica",Tabla2[Participación]))*$B$31,Tabla2[[#This Row],[Consumo energía '[MJ/año']]])</f>
        <v>4705.5044178198741</v>
      </c>
    </row>
    <row r="12" spans="1:18" x14ac:dyDescent="0.2">
      <c r="F12" s="25" t="s">
        <v>40</v>
      </c>
      <c r="G12" s="26" t="s">
        <v>35</v>
      </c>
      <c r="H12" s="26" t="s">
        <v>50</v>
      </c>
      <c r="I12" s="26" t="s">
        <v>2</v>
      </c>
      <c r="J12" s="26" t="s">
        <v>39</v>
      </c>
      <c r="K12" s="26" t="s">
        <v>22</v>
      </c>
      <c r="L12" s="27">
        <v>24</v>
      </c>
      <c r="M12" s="30" t="str">
        <f>IFERROR(RIGHT(Tabla2[[#This Row],[Unidades indicador producción]], LEN(Tabla2[[#This Row],[Unidades indicador producción]])-FIND("/", Tabla2[[#This Row],[Unidades indicador producción]])), "")</f>
        <v>Ha</v>
      </c>
      <c r="N12" s="29">
        <f>IF(Tabla2[[#This Row],[Parámetro]]="Tn",Tabla2[[#This Row],[Indicador]]*$B$6,Tabla2[[#This Row],[Indicador]])</f>
        <v>24</v>
      </c>
      <c r="O12" s="30" t="str">
        <f t="shared" ref="O12:O16" si="1">"MJ/Ha"</f>
        <v>MJ/Ha</v>
      </c>
      <c r="P12" s="43">
        <f>(Tabla2[[#This Row],[Indicador área]]*$B$5)</f>
        <v>51408</v>
      </c>
      <c r="Q12" s="44">
        <f>+Tabla2[[#This Row],[Consumo energía '[MJ/año']]]/$P$9</f>
        <v>2.7507785775318441E-2</v>
      </c>
      <c r="R12" s="45">
        <f>IF(Tabla2[[#This Row],[Energético]]="Energía Eléctrica",((Tabla2[[#This Row],[Participación]]*$D$29)/SUMIF(Tabla2[Energético],"Energía Eléctrica",Tabla2[Participación]))*$B$31,Tabla2[[#This Row],[Consumo energía '[MJ/año']]])</f>
        <v>16939.985304004585</v>
      </c>
    </row>
    <row r="13" spans="1:18" x14ac:dyDescent="0.2">
      <c r="F13" s="25" t="s">
        <v>40</v>
      </c>
      <c r="G13" s="26" t="s">
        <v>34</v>
      </c>
      <c r="H13" s="26" t="s">
        <v>50</v>
      </c>
      <c r="I13" s="26" t="s">
        <v>9</v>
      </c>
      <c r="J13" s="26" t="s">
        <v>37</v>
      </c>
      <c r="K13" s="26" t="s">
        <v>22</v>
      </c>
      <c r="L13" s="27">
        <v>171.7435897</v>
      </c>
      <c r="M13" s="30" t="str">
        <f>IFERROR(RIGHT(Tabla2[[#This Row],[Unidades indicador producción]], LEN(Tabla2[[#This Row],[Unidades indicador producción]])-FIND("/", Tabla2[[#This Row],[Unidades indicador producción]])), "")</f>
        <v>Ha</v>
      </c>
      <c r="N13" s="29">
        <f>IF(Tabla2[[#This Row],[Parámetro]]="Tn",Tabla2[[#This Row],[Indicador]]*$B$6,Tabla2[[#This Row],[Indicador]])</f>
        <v>171.7435897</v>
      </c>
      <c r="O13" s="30" t="str">
        <f t="shared" si="1"/>
        <v>MJ/Ha</v>
      </c>
      <c r="P13" s="43">
        <f>(Tabla2[[#This Row],[Indicador área]]*$B$5)</f>
        <v>367874.76913740003</v>
      </c>
      <c r="Q13" s="44">
        <f>+Tabla2[[#This Row],[Consumo energía '[MJ/año']]]/$P$9</f>
        <v>0.19684524473965781</v>
      </c>
      <c r="R13" s="45">
        <f>IF(Tabla2[[#This Row],[Energético]]="Energía Eléctrica",((Tabla2[[#This Row],[Participación]]*$D$29)/SUMIF(Tabla2[Energético],"Energía Eléctrica",Tabla2[Participación]))*$B$31,Tabla2[[#This Row],[Consumo energía '[MJ/año']]])</f>
        <v>367874.76913740003</v>
      </c>
    </row>
    <row r="14" spans="1:18" x14ac:dyDescent="0.2">
      <c r="F14" s="25" t="s">
        <v>40</v>
      </c>
      <c r="G14" s="26" t="s">
        <v>38</v>
      </c>
      <c r="H14" s="26" t="s">
        <v>50</v>
      </c>
      <c r="I14" s="26" t="s">
        <v>2</v>
      </c>
      <c r="J14" s="26" t="s">
        <v>39</v>
      </c>
      <c r="K14" s="26" t="s">
        <v>22</v>
      </c>
      <c r="L14" s="27">
        <v>468.49886720000001</v>
      </c>
      <c r="M14" s="30" t="str">
        <f>IFERROR(RIGHT(Tabla2[[#This Row],[Unidades indicador producción]], LEN(Tabla2[[#This Row],[Unidades indicador producción]])-FIND("/", Tabla2[[#This Row],[Unidades indicador producción]])), "")</f>
        <v>Ha</v>
      </c>
      <c r="N14" s="29">
        <f>IF(Tabla2[[#This Row],[Parámetro]]="Tn",Tabla2[[#This Row],[Indicador]]*$B$6,Tabla2[[#This Row],[Indicador]])</f>
        <v>468.49886720000001</v>
      </c>
      <c r="O14" s="30" t="str">
        <f t="shared" si="1"/>
        <v>MJ/Ha</v>
      </c>
      <c r="P14" s="43">
        <f>(Tabla2[[#This Row],[Indicador área]]*$B$5)</f>
        <v>1003524.5735424</v>
      </c>
      <c r="Q14" s="44">
        <f>+Tabla2[[#This Row],[Consumo energía '[MJ/año']]]/$P$9</f>
        <v>0.53697360312154019</v>
      </c>
      <c r="R14" s="45">
        <f>IF(Tabla2[[#This Row],[Energético]]="Energía Eléctrica",((Tabla2[[#This Row],[Participación]]*$D$29)/SUMIF(Tabla2[Energético],"Energía Eléctrica",Tabla2[Participación]))*$B$31,Tabla2[[#This Row],[Consumo energía '[MJ/año']]])</f>
        <v>330681.83022128325</v>
      </c>
    </row>
    <row r="15" spans="1:18" x14ac:dyDescent="0.2">
      <c r="F15" s="25" t="s">
        <v>40</v>
      </c>
      <c r="G15" s="26" t="s">
        <v>41</v>
      </c>
      <c r="H15" s="26" t="s">
        <v>50</v>
      </c>
      <c r="I15" s="26" t="s">
        <v>2</v>
      </c>
      <c r="J15" s="26" t="s">
        <v>34</v>
      </c>
      <c r="K15" s="26" t="s">
        <v>22</v>
      </c>
      <c r="L15" s="27">
        <v>161.0712</v>
      </c>
      <c r="M15" s="30" t="str">
        <f>IFERROR(RIGHT(Tabla2[[#This Row],[Unidades indicador producción]], LEN(Tabla2[[#This Row],[Unidades indicador producción]])-FIND("/", Tabla2[[#This Row],[Unidades indicador producción]])), "")</f>
        <v>Ha</v>
      </c>
      <c r="N15" s="29">
        <f>IF(Tabla2[[#This Row],[Parámetro]]="Tn",Tabla2[[#This Row],[Indicador]]*$B$6,Tabla2[[#This Row],[Indicador]])</f>
        <v>161.0712</v>
      </c>
      <c r="O15" s="30" t="str">
        <f t="shared" si="1"/>
        <v>MJ/Ha</v>
      </c>
      <c r="P15" s="43">
        <f>(Tabla2[[#This Row],[Indicador área]]*$B$5)</f>
        <v>345014.51040000003</v>
      </c>
      <c r="Q15" s="44">
        <f>+Tabla2[[#This Row],[Consumo energía '[MJ/año']]]/$P$9</f>
        <v>0.18461300267389469</v>
      </c>
      <c r="R15" s="45">
        <f>IF(Tabla2[[#This Row],[Energético]]="Energía Eléctrica",((Tabla2[[#This Row],[Participación]]*$D$29)/SUMIF(Tabla2[Energético],"Energía Eléctrica",Tabla2[Participación]))*$B$31,Tabla2[[#This Row],[Consumo energía '[MJ/año']]])</f>
        <v>113689.32337076603</v>
      </c>
    </row>
    <row r="16" spans="1:18" x14ac:dyDescent="0.2">
      <c r="F16" s="25" t="s">
        <v>40</v>
      </c>
      <c r="G16" s="26" t="s">
        <v>42</v>
      </c>
      <c r="H16" s="26" t="s">
        <v>51</v>
      </c>
      <c r="I16" s="26" t="s">
        <v>2</v>
      </c>
      <c r="J16" s="26" t="s">
        <v>43</v>
      </c>
      <c r="K16" s="26" t="s">
        <v>22</v>
      </c>
      <c r="L16" s="27">
        <v>40.5</v>
      </c>
      <c r="M16" s="30" t="str">
        <f>IFERROR(RIGHT(Tabla2[[#This Row],[Unidades indicador producción]], LEN(Tabla2[[#This Row],[Unidades indicador producción]])-FIND("/", Tabla2[[#This Row],[Unidades indicador producción]])), "")</f>
        <v>Ha</v>
      </c>
      <c r="N16" s="29">
        <f>IF(Tabla2[[#This Row],[Parámetro]]="Tn",Tabla2[[#This Row],[Indicador]]*$B$6,Tabla2[[#This Row],[Indicador]])</f>
        <v>40.5</v>
      </c>
      <c r="O16" s="30" t="str">
        <f t="shared" si="1"/>
        <v>MJ/Ha</v>
      </c>
      <c r="P16" s="43">
        <f>(Tabla2[[#This Row],[Indicador área]]*$B$5)</f>
        <v>86751</v>
      </c>
      <c r="Q16" s="44">
        <f>+Tabla2[[#This Row],[Consumo energía '[MJ/año']]]/$P$9</f>
        <v>4.6419388495849874E-2</v>
      </c>
      <c r="R16" s="45">
        <f>IF(Tabla2[[#This Row],[Energético]]="Energía Eléctrica",((Tabla2[[#This Row],[Participación]]*$D$29)/SUMIF(Tabla2[Energético],"Energía Eléctrica",Tabla2[Participación]))*$B$31,Tabla2[[#This Row],[Consumo energía '[MJ/año']]])</f>
        <v>28586.225200507743</v>
      </c>
    </row>
    <row r="26" spans="1:4" ht="15.75" x14ac:dyDescent="0.25">
      <c r="A26" s="32" t="s">
        <v>27</v>
      </c>
      <c r="B26" s="32"/>
      <c r="C26" s="32"/>
      <c r="D26" s="32"/>
    </row>
    <row r="28" spans="1:4" x14ac:dyDescent="0.2">
      <c r="A28" s="15" t="s">
        <v>0</v>
      </c>
      <c r="B28" s="15" t="s">
        <v>30</v>
      </c>
      <c r="C28" s="15" t="s">
        <v>31</v>
      </c>
      <c r="D28" s="15" t="s">
        <v>1</v>
      </c>
    </row>
    <row r="29" spans="1:4" x14ac:dyDescent="0.2">
      <c r="A29" s="16" t="s">
        <v>2</v>
      </c>
      <c r="B29" s="17">
        <f>B8</f>
        <v>494602.86851438141</v>
      </c>
      <c r="C29" s="18">
        <f>Viveros!$B29/1000000</f>
        <v>0.4946028685143814</v>
      </c>
      <c r="D29" s="19">
        <f>B29/$B$31</f>
        <v>0.57346746967377427</v>
      </c>
    </row>
    <row r="30" spans="1:4" x14ac:dyDescent="0.2">
      <c r="A30" s="16" t="s">
        <v>9</v>
      </c>
      <c r="B30" s="20">
        <f>SUMIF(Tabla2[Energético],A30,Tabla2[Consumo energía '[MJ/año']])</f>
        <v>367874.76913740003</v>
      </c>
      <c r="C30" s="18">
        <f>Viveros!$B30/1000000</f>
        <v>0.36787476913740003</v>
      </c>
      <c r="D30" s="19">
        <f>B30/$B$31</f>
        <v>0.42653253032622579</v>
      </c>
    </row>
    <row r="31" spans="1:4" x14ac:dyDescent="0.2">
      <c r="A31" s="37" t="s">
        <v>55</v>
      </c>
      <c r="B31" s="38">
        <f>SUM(B29:B30)</f>
        <v>862477.63765178144</v>
      </c>
      <c r="C31" s="38">
        <f>SUM(C29:C30)</f>
        <v>0.86247763765178143</v>
      </c>
      <c r="D31" s="39">
        <f>SUM(D29:D30)</f>
        <v>1</v>
      </c>
    </row>
    <row r="35" spans="1:3" ht="18" x14ac:dyDescent="0.25">
      <c r="A35" s="33" t="s">
        <v>32</v>
      </c>
      <c r="B35" s="33"/>
      <c r="C35" s="33"/>
    </row>
    <row r="36" spans="1:3" s="47" customFormat="1" ht="25.5" x14ac:dyDescent="0.2">
      <c r="A36" s="46" t="str">
        <f>+A4</f>
        <v>Grupo Homogeneo</v>
      </c>
      <c r="B36" s="46" t="s">
        <v>28</v>
      </c>
      <c r="C36" s="46" t="s">
        <v>44</v>
      </c>
    </row>
    <row r="37" spans="1:3" x14ac:dyDescent="0.2">
      <c r="A37" s="9" t="str">
        <f>+$B$4</f>
        <v>Viveros</v>
      </c>
      <c r="B37" s="10">
        <f>+B31/B5</f>
        <v>402.65062448729293</v>
      </c>
      <c r="C37" s="31">
        <f>(B37/$B$6)*10000</f>
        <v>8.0530124897458588</v>
      </c>
    </row>
  </sheetData>
  <mergeCells count="4">
    <mergeCell ref="A26:D26"/>
    <mergeCell ref="F8:L8"/>
    <mergeCell ref="A35:C35"/>
    <mergeCell ref="A3:B3"/>
  </mergeCells>
  <phoneticPr fontId="8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Viveros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2024-01-24T02:09:32Z</dcterms:modified>
</cp:coreProperties>
</file>