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C55C5B69-8608-4276-A2AB-A916DB0C99F7}" xr6:coauthVersionLast="47" xr6:coauthVersionMax="47" xr10:uidLastSave="{00000000-0000-0000-0000-000000000000}"/>
  <bookViews>
    <workbookView xWindow="-19320" yWindow="-120" windowWidth="19440" windowHeight="15000" tabRatio="847" activeTab="1" xr2:uid="{4F4AC0FB-F22A-4F96-AA86-2713B2BEDCFC}"/>
  </bookViews>
  <sheets>
    <sheet name="Participación" sheetId="11" r:id="rId1"/>
    <sheet name="Arveja" sheetId="4" r:id="rId2"/>
    <sheet name="Frijol" sheetId="13" r:id="rId3"/>
    <sheet name="Guandul" sheetId="14" r:id="rId4"/>
    <sheet name="Haba" sheetId="15" r:id="rId5"/>
    <sheet name="Habichuela" sheetId="16" r:id="rId6"/>
    <sheet name="Hoja3" sheetId="3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6" l="1"/>
  <c r="R9" i="15"/>
  <c r="R9" i="14"/>
  <c r="R9" i="13"/>
  <c r="D32" i="16"/>
  <c r="C32" i="16"/>
  <c r="D32" i="15"/>
  <c r="C32" i="15"/>
  <c r="D32" i="14"/>
  <c r="C32" i="14"/>
  <c r="D32" i="13"/>
  <c r="C32" i="13"/>
  <c r="D32" i="4"/>
  <c r="C32" i="4"/>
  <c r="M12" i="4"/>
  <c r="N12" i="4" s="1"/>
  <c r="M13" i="4"/>
  <c r="M14" i="4"/>
  <c r="N14" i="4" s="1"/>
  <c r="M15" i="4"/>
  <c r="N15" i="4" s="1"/>
  <c r="M16" i="4"/>
  <c r="N16" i="4" s="1"/>
  <c r="M17" i="4"/>
  <c r="M18" i="4"/>
  <c r="N18" i="4" s="1"/>
  <c r="N13" i="4"/>
  <c r="N17" i="4"/>
  <c r="O12" i="4"/>
  <c r="O13" i="4"/>
  <c r="O14" i="4"/>
  <c r="O15" i="4"/>
  <c r="O16" i="4"/>
  <c r="O17" i="4"/>
  <c r="O18" i="4"/>
  <c r="M12" i="13"/>
  <c r="M13" i="13"/>
  <c r="N13" i="13" s="1"/>
  <c r="M14" i="13"/>
  <c r="N14" i="13" s="1"/>
  <c r="M15" i="13"/>
  <c r="N15" i="13" s="1"/>
  <c r="M16" i="13"/>
  <c r="M17" i="13"/>
  <c r="N17" i="13" s="1"/>
  <c r="M18" i="13"/>
  <c r="N18" i="13" s="1"/>
  <c r="N12" i="13"/>
  <c r="N16" i="13"/>
  <c r="O12" i="13"/>
  <c r="O13" i="13"/>
  <c r="O14" i="13"/>
  <c r="O15" i="13"/>
  <c r="O16" i="13"/>
  <c r="O17" i="13"/>
  <c r="O18" i="13"/>
  <c r="M12" i="14"/>
  <c r="N12" i="14" s="1"/>
  <c r="M13" i="14"/>
  <c r="M14" i="14"/>
  <c r="N14" i="14" s="1"/>
  <c r="M15" i="14"/>
  <c r="N15" i="14" s="1"/>
  <c r="M16" i="14"/>
  <c r="N16" i="14" s="1"/>
  <c r="M17" i="14"/>
  <c r="M18" i="14"/>
  <c r="N18" i="14" s="1"/>
  <c r="N13" i="14"/>
  <c r="N17" i="14"/>
  <c r="O12" i="14"/>
  <c r="O13" i="14"/>
  <c r="O14" i="14"/>
  <c r="O15" i="14"/>
  <c r="O16" i="14"/>
  <c r="O17" i="14"/>
  <c r="O18" i="14"/>
  <c r="M12" i="15"/>
  <c r="N12" i="15" s="1"/>
  <c r="M13" i="15"/>
  <c r="N13" i="15" s="1"/>
  <c r="M14" i="15"/>
  <c r="N14" i="15" s="1"/>
  <c r="M15" i="15"/>
  <c r="N15" i="15" s="1"/>
  <c r="M16" i="15"/>
  <c r="N16" i="15" s="1"/>
  <c r="M17" i="15"/>
  <c r="N17" i="15" s="1"/>
  <c r="M18" i="15"/>
  <c r="N18" i="15" s="1"/>
  <c r="O12" i="15"/>
  <c r="O13" i="15"/>
  <c r="O14" i="15"/>
  <c r="O15" i="15"/>
  <c r="O16" i="15"/>
  <c r="O17" i="15"/>
  <c r="O18" i="15"/>
  <c r="M13" i="16"/>
  <c r="N13" i="16" s="1"/>
  <c r="M14" i="16"/>
  <c r="N14" i="16" s="1"/>
  <c r="M15" i="16"/>
  <c r="N15" i="16" s="1"/>
  <c r="M16" i="16"/>
  <c r="N16" i="16" s="1"/>
  <c r="M17" i="16"/>
  <c r="N17" i="16" s="1"/>
  <c r="P17" i="16" s="1"/>
  <c r="R17" i="16" s="1"/>
  <c r="M18" i="16"/>
  <c r="N18" i="16"/>
  <c r="O13" i="16"/>
  <c r="O14" i="16"/>
  <c r="O15" i="16"/>
  <c r="O16" i="16"/>
  <c r="O17" i="16"/>
  <c r="O18" i="16"/>
  <c r="B13" i="16"/>
  <c r="B7" i="16" s="1"/>
  <c r="B8" i="16" s="1"/>
  <c r="B29" i="16" s="1"/>
  <c r="B6" i="16"/>
  <c r="B5" i="16"/>
  <c r="B4" i="16"/>
  <c r="A37" i="16" s="1"/>
  <c r="A36" i="16"/>
  <c r="O12" i="16"/>
  <c r="M12" i="16"/>
  <c r="N12" i="16" s="1"/>
  <c r="O11" i="16"/>
  <c r="M11" i="16"/>
  <c r="N11" i="16" s="1"/>
  <c r="B10" i="16"/>
  <c r="B13" i="15"/>
  <c r="B6" i="15"/>
  <c r="B5" i="15"/>
  <c r="B4" i="15"/>
  <c r="A37" i="15" s="1"/>
  <c r="A36" i="15"/>
  <c r="O11" i="15"/>
  <c r="M11" i="15"/>
  <c r="N11" i="15" s="1"/>
  <c r="P11" i="15" s="1"/>
  <c r="R11" i="15" s="1"/>
  <c r="B10" i="15"/>
  <c r="B7" i="15"/>
  <c r="B8" i="15" s="1"/>
  <c r="B29" i="15" s="1"/>
  <c r="B13" i="14"/>
  <c r="B7" i="14" s="1"/>
  <c r="B8" i="14" s="1"/>
  <c r="B29" i="14" s="1"/>
  <c r="B6" i="14"/>
  <c r="B5" i="14"/>
  <c r="B4" i="14"/>
  <c r="A37" i="14" s="1"/>
  <c r="A36" i="14"/>
  <c r="O11" i="14"/>
  <c r="M11" i="14"/>
  <c r="N11" i="14" s="1"/>
  <c r="P11" i="14" s="1"/>
  <c r="R11" i="14" s="1"/>
  <c r="B10" i="14"/>
  <c r="B13" i="13"/>
  <c r="B7" i="13" s="1"/>
  <c r="B8" i="13" s="1"/>
  <c r="B29" i="13" s="1"/>
  <c r="B6" i="13"/>
  <c r="B5" i="13"/>
  <c r="B4" i="13"/>
  <c r="A37" i="13" s="1"/>
  <c r="B4" i="4"/>
  <c r="A36" i="13"/>
  <c r="O11" i="13"/>
  <c r="M11" i="13"/>
  <c r="N11" i="13" s="1"/>
  <c r="B10" i="13"/>
  <c r="B10" i="4"/>
  <c r="B6" i="4"/>
  <c r="B5" i="4"/>
  <c r="B13" i="4"/>
  <c r="G8" i="11"/>
  <c r="G3" i="11"/>
  <c r="G4" i="11"/>
  <c r="G5" i="11"/>
  <c r="G6" i="11"/>
  <c r="G7" i="11"/>
  <c r="K13" i="11"/>
  <c r="N12" i="11" s="1"/>
  <c r="P18" i="16" l="1"/>
  <c r="R18" i="16" s="1"/>
  <c r="P16" i="16"/>
  <c r="R16" i="16" s="1"/>
  <c r="P15" i="16"/>
  <c r="R15" i="16" s="1"/>
  <c r="P14" i="16"/>
  <c r="R14" i="16" s="1"/>
  <c r="P13" i="16"/>
  <c r="R13" i="16" s="1"/>
  <c r="P13" i="15"/>
  <c r="R13" i="15" s="1"/>
  <c r="P12" i="15"/>
  <c r="R12" i="15" s="1"/>
  <c r="P15" i="15"/>
  <c r="R15" i="15" s="1"/>
  <c r="P17" i="15"/>
  <c r="R17" i="15" s="1"/>
  <c r="P16" i="15"/>
  <c r="R16" i="15" s="1"/>
  <c r="P18" i="15"/>
  <c r="R18" i="15" s="1"/>
  <c r="P14" i="15"/>
  <c r="R14" i="15" s="1"/>
  <c r="P18" i="14"/>
  <c r="R18" i="14" s="1"/>
  <c r="P14" i="14"/>
  <c r="R14" i="14" s="1"/>
  <c r="P17" i="14"/>
  <c r="R17" i="14" s="1"/>
  <c r="P16" i="14"/>
  <c r="R16" i="14" s="1"/>
  <c r="P12" i="14"/>
  <c r="R12" i="14" s="1"/>
  <c r="P13" i="14"/>
  <c r="R13" i="14" s="1"/>
  <c r="P15" i="14"/>
  <c r="R15" i="14" s="1"/>
  <c r="P18" i="13"/>
  <c r="R18" i="13" s="1"/>
  <c r="P17" i="13"/>
  <c r="R17" i="13" s="1"/>
  <c r="P13" i="13"/>
  <c r="R13" i="13" s="1"/>
  <c r="P14" i="13"/>
  <c r="R14" i="13" s="1"/>
  <c r="P16" i="13"/>
  <c r="R16" i="13" s="1"/>
  <c r="P11" i="13"/>
  <c r="R11" i="13" s="1"/>
  <c r="P12" i="13"/>
  <c r="R12" i="13" s="1"/>
  <c r="P15" i="13"/>
  <c r="R15" i="13" s="1"/>
  <c r="P18" i="4"/>
  <c r="R18" i="4" s="1"/>
  <c r="P14" i="4"/>
  <c r="R14" i="4" s="1"/>
  <c r="P17" i="4"/>
  <c r="R17" i="4" s="1"/>
  <c r="P16" i="4"/>
  <c r="R16" i="4" s="1"/>
  <c r="P12" i="4"/>
  <c r="R12" i="4" s="1"/>
  <c r="P13" i="4"/>
  <c r="R13" i="4" s="1"/>
  <c r="P15" i="4"/>
  <c r="R15" i="4" s="1"/>
  <c r="P11" i="16"/>
  <c r="R11" i="16" s="1"/>
  <c r="P12" i="16"/>
  <c r="R12" i="16" s="1"/>
  <c r="B30" i="16"/>
  <c r="C29" i="16"/>
  <c r="C29" i="15"/>
  <c r="P9" i="14"/>
  <c r="C29" i="14"/>
  <c r="C29" i="13"/>
  <c r="N5" i="11"/>
  <c r="N9" i="11"/>
  <c r="N3" i="11"/>
  <c r="N7" i="11"/>
  <c r="N11" i="11"/>
  <c r="N6" i="11"/>
  <c r="N10" i="11"/>
  <c r="N4" i="11"/>
  <c r="N8" i="11"/>
  <c r="B30" i="14" l="1"/>
  <c r="P9" i="15"/>
  <c r="B30" i="13"/>
  <c r="C30" i="13" s="1"/>
  <c r="B31" i="14"/>
  <c r="B32" i="14" s="1"/>
  <c r="D30" i="14" s="1"/>
  <c r="B31" i="15"/>
  <c r="B30" i="15"/>
  <c r="P9" i="13"/>
  <c r="Q16" i="13" s="1"/>
  <c r="B31" i="13"/>
  <c r="C31" i="13" s="1"/>
  <c r="B31" i="16"/>
  <c r="B32" i="16" s="1"/>
  <c r="B37" i="16" s="1"/>
  <c r="C37" i="16" s="1"/>
  <c r="Q11" i="15"/>
  <c r="Q15" i="15"/>
  <c r="Q12" i="15"/>
  <c r="Q16" i="15"/>
  <c r="Q13" i="15"/>
  <c r="Q17" i="15"/>
  <c r="Q14" i="15"/>
  <c r="Q18" i="15"/>
  <c r="Q11" i="14"/>
  <c r="Q15" i="14"/>
  <c r="Q12" i="14"/>
  <c r="Q16" i="14"/>
  <c r="Q13" i="14"/>
  <c r="Q17" i="14"/>
  <c r="Q14" i="14"/>
  <c r="Q18" i="14"/>
  <c r="Q15" i="13"/>
  <c r="Q12" i="13"/>
  <c r="Q17" i="13"/>
  <c r="Q14" i="13"/>
  <c r="P9" i="16"/>
  <c r="C30" i="16"/>
  <c r="C31" i="15"/>
  <c r="C30" i="15"/>
  <c r="B32" i="15"/>
  <c r="C30" i="14"/>
  <c r="C31" i="14"/>
  <c r="N13" i="11"/>
  <c r="Q13" i="13" l="1"/>
  <c r="Q11" i="13"/>
  <c r="Q18" i="13"/>
  <c r="B32" i="13"/>
  <c r="D29" i="13" s="1"/>
  <c r="C31" i="16"/>
  <c r="Q11" i="16"/>
  <c r="Q15" i="16"/>
  <c r="Q12" i="16"/>
  <c r="Q16" i="16"/>
  <c r="Q13" i="16"/>
  <c r="Q17" i="16"/>
  <c r="Q14" i="16"/>
  <c r="Q18" i="16"/>
  <c r="B37" i="13"/>
  <c r="C37" i="13" s="1"/>
  <c r="D31" i="13"/>
  <c r="D30" i="13"/>
  <c r="D31" i="16"/>
  <c r="D30" i="16"/>
  <c r="D29" i="16"/>
  <c r="B37" i="15"/>
  <c r="C37" i="15" s="1"/>
  <c r="D29" i="15"/>
  <c r="D31" i="15"/>
  <c r="D30" i="15"/>
  <c r="D31" i="14"/>
  <c r="B37" i="14"/>
  <c r="C37" i="14" s="1"/>
  <c r="D29" i="14"/>
  <c r="C8" i="11" l="1"/>
  <c r="F3" i="11" s="1"/>
  <c r="F6" i="11" l="1"/>
  <c r="F5" i="11"/>
  <c r="F4" i="11"/>
  <c r="F7" i="11"/>
  <c r="F8" i="11" l="1"/>
  <c r="B7" i="4"/>
  <c r="A37" i="4" l="1"/>
  <c r="A36" i="4"/>
  <c r="O11" i="4"/>
  <c r="M11" i="4"/>
  <c r="N11" i="4" s="1"/>
  <c r="B8" i="4"/>
  <c r="B29" i="4" s="1"/>
  <c r="C24" i="11" s="1"/>
  <c r="D24" i="11" l="1"/>
  <c r="C29" i="4"/>
  <c r="B31" i="4"/>
  <c r="C26" i="11" s="1"/>
  <c r="P11" i="4"/>
  <c r="R11" i="4" s="1"/>
  <c r="R9" i="4" s="1"/>
  <c r="D10" i="3"/>
  <c r="C10" i="3"/>
  <c r="B10" i="3"/>
  <c r="D4" i="3"/>
  <c r="D3" i="3"/>
  <c r="D5" i="3"/>
  <c r="D6" i="3"/>
  <c r="D7" i="3"/>
  <c r="D8" i="3"/>
  <c r="D26" i="11" l="1"/>
  <c r="C31" i="4"/>
  <c r="B30" i="4"/>
  <c r="C25" i="11" s="1"/>
  <c r="P9" i="4"/>
  <c r="D25" i="11" l="1"/>
  <c r="D27" i="11" s="1"/>
  <c r="C27" i="11"/>
  <c r="Q13" i="4"/>
  <c r="Q17" i="4"/>
  <c r="Q12" i="4"/>
  <c r="Q14" i="4"/>
  <c r="Q18" i="4"/>
  <c r="Q11" i="4"/>
  <c r="Q15" i="4"/>
  <c r="Q16" i="4"/>
  <c r="C30" i="4"/>
  <c r="B32" i="4"/>
  <c r="E24" i="11" l="1"/>
  <c r="E26" i="11"/>
  <c r="E25" i="11"/>
  <c r="B37" i="4"/>
  <c r="C37" i="4" s="1"/>
  <c r="D29" i="4"/>
  <c r="E27" i="11" l="1"/>
  <c r="D31" i="4"/>
  <c r="D30" i="4"/>
</calcChain>
</file>

<file path=xl/sharedStrings.xml><?xml version="1.0" encoding="utf-8"?>
<sst xmlns="http://schemas.openxmlformats.org/spreadsheetml/2006/main" count="497" uniqueCount="93">
  <si>
    <t>Energetico</t>
  </si>
  <si>
    <t>Participación</t>
  </si>
  <si>
    <t>Energía Eléctrica</t>
  </si>
  <si>
    <t>ACPM</t>
  </si>
  <si>
    <t>Gasolina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</si>
  <si>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</si>
  <si>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</si>
  <si>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</si>
  <si>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</si>
  <si>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</si>
  <si>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</si>
  <si>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Cosecha</t>
  </si>
  <si>
    <t>Fertilización</t>
  </si>
  <si>
    <t>Fumigación</t>
  </si>
  <si>
    <t>Preparación del terreno</t>
  </si>
  <si>
    <t>Sistema de Riego y drenaje</t>
  </si>
  <si>
    <t>Producto final</t>
  </si>
  <si>
    <t>Unidades indicador producción</t>
  </si>
  <si>
    <t>Indicador</t>
  </si>
  <si>
    <t>Terreno fertilizado</t>
  </si>
  <si>
    <t>MJ/Ha</t>
  </si>
  <si>
    <t>Terreno fumigado</t>
  </si>
  <si>
    <t>Terreno irrigado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</si>
  <si>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</si>
  <si>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</si>
  <si>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</si>
  <si>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</si>
  <si>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</si>
  <si>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</si>
  <si>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</si>
  <si>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</si>
  <si>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</si>
  <si>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</si>
  <si>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Total [MJ]</t>
  </si>
  <si>
    <t>Tabla 9</t>
  </si>
  <si>
    <t>Área sembrada (Ha)</t>
  </si>
  <si>
    <t>Producción (Ton)</t>
  </si>
  <si>
    <t xml:space="preserve">Fruta con mecanización </t>
  </si>
  <si>
    <t xml:space="preserve">Piña </t>
  </si>
  <si>
    <t>fresa</t>
  </si>
  <si>
    <t xml:space="preserve">Papaya </t>
  </si>
  <si>
    <t>Uchuva</t>
  </si>
  <si>
    <t>Pasifloras</t>
  </si>
  <si>
    <t>Melón</t>
  </si>
  <si>
    <t>Terreno cosechado</t>
  </si>
  <si>
    <t>Mantenimiento</t>
  </si>
  <si>
    <t>Postcosecha</t>
  </si>
  <si>
    <t>Terreno Preparado</t>
  </si>
  <si>
    <t>Total</t>
  </si>
  <si>
    <t>Arveja</t>
  </si>
  <si>
    <t>Frijol</t>
  </si>
  <si>
    <t>Habichuela</t>
  </si>
  <si>
    <t>Guandul</t>
  </si>
  <si>
    <t>Haba</t>
  </si>
  <si>
    <t>Legumbres</t>
  </si>
  <si>
    <t>Producción (Tn)</t>
  </si>
  <si>
    <t>Rendimiento (Tn/Ha)</t>
  </si>
  <si>
    <t>% área sembrada</t>
  </si>
  <si>
    <t>Item</t>
  </si>
  <si>
    <t>Grupo homogeneo</t>
  </si>
  <si>
    <t>área [Ha]</t>
  </si>
  <si>
    <t>Prod [Tn]</t>
  </si>
  <si>
    <t>% de participación área</t>
  </si>
  <si>
    <t>Ajonjolí</t>
  </si>
  <si>
    <t>Cereales</t>
  </si>
  <si>
    <t>Avena</t>
  </si>
  <si>
    <t>Cebada</t>
  </si>
  <si>
    <t>Maíz</t>
  </si>
  <si>
    <t>Maní</t>
  </si>
  <si>
    <t>Quinua</t>
  </si>
  <si>
    <t>Sorgo</t>
  </si>
  <si>
    <t>Soya</t>
  </si>
  <si>
    <t>Trigo</t>
  </si>
  <si>
    <t>% Energía</t>
  </si>
  <si>
    <t>Terreno limpio</t>
  </si>
  <si>
    <t>Uso final de energía</t>
  </si>
  <si>
    <t>Fuerza motriz</t>
  </si>
  <si>
    <t>Consumo energía [MJ/año]</t>
  </si>
  <si>
    <t>Consumo energía corregida [MJ/año]</t>
  </si>
  <si>
    <t>Sector</t>
  </si>
  <si>
    <t>Dato de información secundaria [Ha] Agronet</t>
  </si>
  <si>
    <t>Dato de información secundaria Tn/Ha Agronet</t>
  </si>
  <si>
    <t>Dato comercial por CIIU de XM [kWh/año]</t>
  </si>
  <si>
    <t>Energía eléctrica por sector [kWh/año]</t>
  </si>
  <si>
    <t>Producción [Tn/año]</t>
  </si>
  <si>
    <t>Consumo Eléctricidad por sector [MJ/año]</t>
  </si>
  <si>
    <t>energía eléctrica arveja [kWh/año]</t>
  </si>
  <si>
    <t>energía eléctrica frijol [kWh/año]</t>
  </si>
  <si>
    <t>energía eléctrica guandul [kWh/año]</t>
  </si>
  <si>
    <t>energía eléctrica haba [kWh/año]</t>
  </si>
  <si>
    <t>energía eléctrica habichuela [kWh/año]</t>
  </si>
  <si>
    <t>Total [MJ/año]</t>
  </si>
  <si>
    <t>Tabla 8. Indicador 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</si>
</sst>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"/>
      <name val="Arial"/>
      <family val="2"/>
    </font>
    <font>
      <b/>
      <sz val="16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25A18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4" fillId="4" borderId="0" xfId="0" applyFont="1" applyFill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3" fontId="0" fillId="0" borderId="0" xfId="0" applyNumberFormat="1"/>
    <xf numFmtId="3" fontId="9" fillId="0" borderId="9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8" borderId="1" xfId="0" applyNumberFormat="1" applyFont="1" applyFill="1" applyBorder="1" applyAlignment="1">
      <alignment horizontal="center"/>
    </xf>
    <xf numFmtId="4" fontId="3" fillId="0" borderId="0" xfId="0" applyNumberFormat="1" applyFont="1"/>
    <xf numFmtId="4" fontId="0" fillId="0" borderId="0" xfId="0" applyNumberFormat="1" applyFont="1" applyAlignment="1">
      <alignment horizontal="center" vertical="center"/>
    </xf>
    <xf numFmtId="0" fontId="0" fillId="0" borderId="0" xfId="0" applyFont="1"/>
    <xf numFmtId="4" fontId="0" fillId="2" borderId="1" xfId="0" applyNumberFormat="1" applyFont="1" applyFill="1" applyBorder="1"/>
    <xf numFmtId="4" fontId="0" fillId="0" borderId="1" xfId="0" applyNumberFormat="1" applyFont="1" applyBorder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6" xfId="0" applyNumberFormat="1" applyFont="1" applyBorder="1" applyAlignment="1">
      <alignment horizontal="center"/>
    </xf>
    <xf numFmtId="4" fontId="0" fillId="0" borderId="0" xfId="0" applyNumberFormat="1" applyFont="1"/>
    <xf numFmtId="0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0" fontId="0" fillId="0" borderId="1" xfId="1" applyNumberFormat="1" applyFont="1" applyBorder="1"/>
    <xf numFmtId="4" fontId="0" fillId="0" borderId="1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0" fontId="0" fillId="0" borderId="6" xfId="1" applyNumberFormat="1" applyFont="1" applyFill="1" applyBorder="1" applyAlignment="1">
      <alignment horizontal="center" vertical="center" wrapText="1"/>
    </xf>
    <xf numFmtId="10" fontId="0" fillId="0" borderId="11" xfId="1" applyNumberFormat="1" applyFont="1" applyFill="1" applyBorder="1" applyAlignment="1">
      <alignment horizontal="center" vertical="center" wrapText="1"/>
    </xf>
    <xf numFmtId="10" fontId="0" fillId="0" borderId="11" xfId="0" applyNumberFormat="1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4" fontId="0" fillId="2" borderId="14" xfId="0" applyNumberFormat="1" applyFont="1" applyFill="1" applyBorder="1" applyAlignment="1">
      <alignment horizontal="center" vertical="center" wrapText="1"/>
    </xf>
    <xf numFmtId="10" fontId="0" fillId="2" borderId="11" xfId="1" applyNumberFormat="1" applyFont="1" applyFill="1" applyBorder="1" applyAlignment="1">
      <alignment horizontal="center" vertical="center" wrapText="1"/>
    </xf>
    <xf numFmtId="10" fontId="0" fillId="0" borderId="12" xfId="0" applyNumberFormat="1" applyBorder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/>
    </xf>
    <xf numFmtId="0" fontId="0" fillId="0" borderId="0" xfId="0" applyFont="1" applyBorder="1"/>
    <xf numFmtId="4" fontId="0" fillId="0" borderId="0" xfId="0" applyNumberFormat="1" applyFont="1" applyBorder="1"/>
    <xf numFmtId="0" fontId="7" fillId="0" borderId="0" xfId="0" applyFont="1"/>
    <xf numFmtId="4" fontId="3" fillId="8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3" fillId="9" borderId="1" xfId="0" applyFont="1" applyFill="1" applyBorder="1" applyAlignment="1">
      <alignment horizontal="center"/>
    </xf>
    <xf numFmtId="4" fontId="3" fillId="9" borderId="1" xfId="0" applyNumberFormat="1" applyFont="1" applyFill="1" applyBorder="1" applyAlignment="1">
      <alignment horizontal="center"/>
    </xf>
    <xf numFmtId="9" fontId="3" fillId="9" borderId="1" xfId="1" applyFont="1" applyFill="1" applyBorder="1" applyAlignment="1">
      <alignment horizontal="center" vertical="center"/>
    </xf>
    <xf numFmtId="9" fontId="3" fillId="9" borderId="1" xfId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124"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solid">
          <fgColor indexed="64"/>
          <bgColor rgb="FF25A18E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BB180F-C9B1-47F2-9505-2BDDACA3D07B}" name="Tabla2" displayName="Tabla2" ref="B2:G8" totalsRowCount="1" headerRowDxfId="123" headerRowBorderDxfId="122" tableBorderDxfId="121" totalsRowBorderDxfId="120">
  <autoFilter ref="B2:G7" xr:uid="{31BB180F-C9B1-47F2-9505-2BDDACA3D07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C4BA889-1047-4CEE-AFE8-B078F972314C}" name="Legumbres" totalsRowLabel="Total" dataDxfId="119" totalsRowDxfId="118"/>
    <tableColumn id="2" xr3:uid="{DD6E9F51-BD45-4951-8E46-A60C0FAD220B}" name="Área sembrada (Ha)" totalsRowFunction="sum" dataDxfId="117" totalsRowDxfId="116"/>
    <tableColumn id="3" xr3:uid="{39C0D487-A324-4404-902C-6115AB0B3699}" name="Producción (Tn)" dataDxfId="115" totalsRowDxfId="114"/>
    <tableColumn id="4" xr3:uid="{9A18CFDA-8005-44D3-B8D5-F194AEEA5B5D}" name="Rendimiento (Tn/Ha)" dataDxfId="113" totalsRowDxfId="112"/>
    <tableColumn id="5" xr3:uid="{F72025F5-37BD-47D8-AE9C-25BF7326FA79}" name="% área sembrada" totalsRowFunction="sum" dataDxfId="111" totalsRowDxfId="110" dataCellStyle="Porcentaje" totalsRowCellStyle="Porcentaje">
      <calculatedColumnFormula>Tabla2[[#This Row],[Área sembrada (Ha)]]/Tabla2[[#Totals],[Área sembrada (Ha)]]</calculatedColumnFormula>
    </tableColumn>
    <tableColumn id="6" xr3:uid="{3A3AEB6C-3752-41ED-B9FC-A1F19D5F901C}" name="% Energía" totalsRowFunction="sum" dataDxfId="109" totalsRowDxfId="108" dataCellStyle="Porcentaje">
      <calculatedColumnFormula>+Tabla2[[#This Row],[% área sembrada]]*$N$12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4C2885-9F9C-4C54-99A0-2B298B38F17E}" name="Tabla24" displayName="Tabla24" ref="I2:N13" totalsRowCount="1" headerRowDxfId="107" dataDxfId="105" totalsRowDxfId="103" headerRowBorderDxfId="106" tableBorderDxfId="104" totalsRowBorderDxfId="102">
  <autoFilter ref="I2:N12" xr:uid="{504C2885-9F9C-4C54-99A0-2B298B38F17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sortState xmlns:xlrd2="http://schemas.microsoft.com/office/spreadsheetml/2017/richdata2" ref="I3:N11">
    <sortCondition ref="I10:I19"/>
  </sortState>
  <tableColumns count="6">
    <tableColumn id="1" xr3:uid="{E8883895-4234-4295-B997-1B22DFEE076E}" name="Item" totalsRowLabel="Total" dataDxfId="101" totalsRowDxfId="100"/>
    <tableColumn id="6" xr3:uid="{39E4B50C-0219-40B9-ADF6-C172CFA57824}" name="Grupo homogeneo" dataDxfId="99" totalsRowDxfId="98"/>
    <tableColumn id="2" xr3:uid="{78328E51-53BA-4443-AF1B-720321FAD388}" name="área [Ha]" totalsRowFunction="sum" dataDxfId="97" totalsRowDxfId="96"/>
    <tableColumn id="3" xr3:uid="{7150A4AC-9A78-4896-B4BC-6DCD5212FC54}" name="Prod [Tn]" dataDxfId="95" totalsRowDxfId="94"/>
    <tableColumn id="4" xr3:uid="{07F9DFEB-9EFF-4FB2-8AED-01CFBDC638B2}" name="Rendimiento" dataDxfId="93" totalsRowDxfId="92"/>
    <tableColumn id="5" xr3:uid="{E1AFFDA5-26A3-4CDA-96AE-4FFF898B0CC3}" name="% de participación área" totalsRowFunction="sum" dataDxfId="91" totalsRowDxfId="90" dataCellStyle="Porcentaje">
      <calculatedColumnFormula>Tabla24[[#This Row],[área '[Ha']]]/Tabla24[[#Totals],[área '[Ha']]]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707173-241B-4C53-BCD2-BED05BADB09F}" name="Tabla22" displayName="Tabla22" ref="F10:R18" totalsRowShown="0" headerRowDxfId="89" dataDxfId="87" headerRowBorderDxfId="88" tableBorderDxfId="86" totalsRowBorderDxfId="85">
  <autoFilter ref="F10:R18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F5FBC71-007B-46FF-BB66-C9393FCDCF5E}" name="Grupo Homogéneo" dataDxfId="84"/>
    <tableColumn id="2" xr3:uid="{754D2F41-77AC-454C-988D-F531336DB3AD}" name="Proceso" dataDxfId="83"/>
    <tableColumn id="13" xr3:uid="{1CF30311-8EA5-47E7-B9E5-0E7ADB61E8EA}" name="Uso final de energía" dataDxfId="82"/>
    <tableColumn id="3" xr3:uid="{D16E6ABF-4330-4998-AEBA-8BBF9CC25067}" name="Energético" dataDxfId="81"/>
    <tableColumn id="4" xr3:uid="{6412C870-752B-48B2-8D2C-FF8BCF4E358A}" name="Producto final" dataDxfId="80"/>
    <tableColumn id="5" xr3:uid="{36026C60-7F74-4967-9D17-A9F7B8A6C0B0}" name="Unidades indicador producción" dataDxfId="79"/>
    <tableColumn id="6" xr3:uid="{1C8DE65C-44AA-4ACC-BCE2-1601F74D5024}" name="Indicador" dataDxfId="78"/>
    <tableColumn id="7" xr3:uid="{8C2E70F0-C6FA-442E-8F81-686836239EDF}" name="Parámetro" dataDxfId="77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922E4D3B-49C9-40B0-A3E1-91A2ECC60FFD}" name="Indicador área" dataDxfId="76">
      <calculatedColumnFormula>IF(Tabla22[[#This Row],[Parámetro]]="Tn",Tabla22[[#This Row],[Indicador]]*$B$6,Tabla22[[#This Row],[Indicador]])</calculatedColumnFormula>
    </tableColumn>
    <tableColumn id="9" xr3:uid="{109ADF01-2A9E-4EA9-A544-B0718F67C39C}" name="Unidades" dataDxfId="75">
      <calculatedColumnFormula>"MJ/Ha"</calculatedColumnFormula>
    </tableColumn>
    <tableColumn id="10" xr3:uid="{84ECCF1A-4032-460C-98FB-CFF8F97B591D}" name="Consumo energía [MJ/año]" dataDxfId="14">
      <calculatedColumnFormula>(Tabla22[[#This Row],[Indicador área]]*$B$5)</calculatedColumnFormula>
    </tableColumn>
    <tableColumn id="11" xr3:uid="{A78CC943-AB6B-4C76-8484-3ECBCA42F370}" name="Participación" dataDxfId="13" dataCellStyle="Porcentaje">
      <calculatedColumnFormula>+Tabla22[[#This Row],[Consumo energía '[MJ/año']]]/$P$9</calculatedColumnFormula>
    </tableColumn>
    <tableColumn id="12" xr3:uid="{AB534B2B-994C-43D8-B160-2FA8F41BAAB4}" name="Consumo energía corregida [MJ/año]" dataDxfId="12">
      <calculatedColumnFormula>IF(Tabla22[[#This Row],[Energético]]="Energía Eléctrica",((Tabla22[[#This Row],[Participación]]*$D$29)/SUMIF(Tabla22[Energético],"Energía Eléctrica",Tabla22[Participación]))*$B$32,Tabla22[[#This Row],[Consumo energía '[MJ/año']]])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E9367A-8EC1-4E11-85CD-D9356AC7ABAB}" name="Tabla226" displayName="Tabla226" ref="F10:R18" totalsRowShown="0" headerRowDxfId="74" dataDxfId="72" headerRowBorderDxfId="73" tableBorderDxfId="71" totalsRowBorderDxfId="70">
  <autoFilter ref="F10:R18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4C7E72C4-0AD1-481E-9EDF-E45DEBBD2D67}" name="Grupo Homogéneo" dataDxfId="69"/>
    <tableColumn id="2" xr3:uid="{240C06CA-5AB3-466D-82F7-9E393B211BB8}" name="Proceso" dataDxfId="68"/>
    <tableColumn id="13" xr3:uid="{294B0138-016A-4592-BB9C-E951D0F04FA1}" name="Uso final de energía" dataDxfId="67"/>
    <tableColumn id="3" xr3:uid="{E5897EDA-A1DD-437B-95C0-36A8B8476C27}" name="Energético" dataDxfId="66"/>
    <tableColumn id="4" xr3:uid="{9E10E827-A85C-47A6-95CA-EECE04CC01ED}" name="Producto final" dataDxfId="65"/>
    <tableColumn id="5" xr3:uid="{E9896E37-9E0C-4B05-A3FE-3499607C7D27}" name="Unidades indicador producción" dataDxfId="64"/>
    <tableColumn id="6" xr3:uid="{28D7EEB0-9BC1-4A32-87E8-1A8B9BC3BB01}" name="Indicador" dataDxfId="63"/>
    <tableColumn id="7" xr3:uid="{627FB076-5A56-4EC6-A4BE-B9B07AC8EFBD}" name="Parámetro" dataDxfId="62">
      <calculatedColumnFormula>IFERROR(RIGHT(Tabla226[[#This Row],[Unidades indicador producción]], LEN(Tabla226[[#This Row],[Unidades indicador producción]])-FIND("/", Tabla226[[#This Row],[Unidades indicador producción]])), "")</calculatedColumnFormula>
    </tableColumn>
    <tableColumn id="8" xr3:uid="{5BADBE24-A303-483B-AF30-C78D2F808315}" name="Indicador área" dataDxfId="61">
      <calculatedColumnFormula>IF(Tabla226[[#This Row],[Parámetro]]="Tn",Tabla226[[#This Row],[Indicador]]*$B$6,Tabla226[[#This Row],[Indicador]])</calculatedColumnFormula>
    </tableColumn>
    <tableColumn id="9" xr3:uid="{9A77604B-BDCA-4B5A-A97A-787F6861C8C9}" name="Unidades" dataDxfId="60">
      <calculatedColumnFormula>"MJ/Ha"</calculatedColumnFormula>
    </tableColumn>
    <tableColumn id="10" xr3:uid="{7D8DA174-13E2-416C-AED7-0DEEC762B5A7}" name="Consumo energía [MJ/año]" dataDxfId="7">
      <calculatedColumnFormula>(Tabla226[[#This Row],[Indicador área]]*$B$5)</calculatedColumnFormula>
    </tableColumn>
    <tableColumn id="11" xr3:uid="{6A6BD2DA-4EC3-4A9C-8D77-4B79B7F11291}" name="Participación" dataDxfId="6" dataCellStyle="Porcentaje">
      <calculatedColumnFormula>+Tabla226[[#This Row],[Consumo energía '[MJ/año']]]/$P$9</calculatedColumnFormula>
    </tableColumn>
    <tableColumn id="12" xr3:uid="{B657E147-30A7-4C00-BD22-673191687492}" name="Consumo energía corregida [MJ/año]" dataDxfId="5">
      <calculatedColumnFormula>IF(Tabla226[[#This Row],[Energético]]="Energía Eléctrica",((Tabla226[[#This Row],[Participación]]*$D$29)/SUMIF(Tabla226[Energético],"Energía Eléctrica",Tabla226[Participación]))*$B$32,Tabla226[[#This Row],[Consumo energía '[MJ/año']]])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91DD0E2-94C1-4294-A41D-069219840F99}" name="Tabla2267" displayName="Tabla2267" ref="F10:R18" totalsRowShown="0" headerRowDxfId="59" dataDxfId="57" headerRowBorderDxfId="58" tableBorderDxfId="56" totalsRowBorderDxfId="55">
  <autoFilter ref="F10:R18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8B3CEFF2-BDB6-4793-B3E2-A2ED6DA3E546}" name="Grupo Homogéneo" dataDxfId="54"/>
    <tableColumn id="2" xr3:uid="{254007D6-426D-4858-9143-7B75B457A643}" name="Proceso" dataDxfId="53"/>
    <tableColumn id="13" xr3:uid="{895D404C-CFE4-44A0-A48D-267BA7CB3E8C}" name="Uso final de energía" dataDxfId="52"/>
    <tableColumn id="3" xr3:uid="{D551B998-EA28-480E-991D-0308D15FA898}" name="Energético" dataDxfId="51"/>
    <tableColumn id="4" xr3:uid="{61C9EB47-FCF4-4D50-BDBF-53FC56B36A87}" name="Producto final" dataDxfId="50"/>
    <tableColumn id="5" xr3:uid="{BEDD51C1-AEFA-4F64-89E0-49BDC576913D}" name="Unidades indicador producción" dataDxfId="49"/>
    <tableColumn id="6" xr3:uid="{000E11D9-1EE4-47C1-A6A4-22606F317916}" name="Indicador" dataDxfId="48"/>
    <tableColumn id="7" xr3:uid="{8C7D1623-B115-468B-A127-C8BDB0B37E70}" name="Parámetro" dataDxfId="47">
      <calculatedColumnFormula>IFERROR(RIGHT(Tabla2267[[#This Row],[Unidades indicador producción]], LEN(Tabla2267[[#This Row],[Unidades indicador producción]])-FIND("/", Tabla2267[[#This Row],[Unidades indicador producción]])), "")</calculatedColumnFormula>
    </tableColumn>
    <tableColumn id="8" xr3:uid="{9CEFD39D-6B94-44C4-BA2E-8342375A0897}" name="Indicador área" dataDxfId="46">
      <calculatedColumnFormula>IF(Tabla2267[[#This Row],[Parámetro]]="Tn",Tabla2267[[#This Row],[Indicador]]*$B$6,Tabla2267[[#This Row],[Indicador]])</calculatedColumnFormula>
    </tableColumn>
    <tableColumn id="9" xr3:uid="{37375480-C01C-4FEE-A839-D62691557A25}" name="Unidades" dataDxfId="45">
      <calculatedColumnFormula>"MJ/Ha"</calculatedColumnFormula>
    </tableColumn>
    <tableColumn id="10" xr3:uid="{40C8AAD9-23B8-4BBD-9246-F21EF11178E2}" name="Consumo energía [MJ/año]" dataDxfId="10">
      <calculatedColumnFormula>(Tabla2267[[#This Row],[Indicador área]]*$B$5)</calculatedColumnFormula>
    </tableColumn>
    <tableColumn id="11" xr3:uid="{06693760-1A6F-4E79-83FF-5D25C2F6FB7D}" name="Participación" dataDxfId="9" dataCellStyle="Porcentaje">
      <calculatedColumnFormula>+Tabla2267[[#This Row],[Consumo energía '[MJ/año']]]/$P$9</calculatedColumnFormula>
    </tableColumn>
    <tableColumn id="12" xr3:uid="{86744A62-6D7E-48FC-BC24-9D10F80334EB}" name="Consumo energía corregida [MJ/año]" dataDxfId="8">
      <calculatedColumnFormula>IF(Tabla2267[[#This Row],[Energético]]="Energía Eléctrica",((Tabla2267[[#This Row],[Participación]]*$D$29)/SUMIF(Tabla2267[Energético],"Energía Eléctrica",Tabla2267[Participación]))*$B$32,Tabla2267[[#This Row],[Consumo energía '[MJ/año']]])</calculatedColumnFormula>
    </tableColumn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FA4E10A-64C1-4862-A3EA-4D5632D0F3B1}" name="Tabla22678" displayName="Tabla22678" ref="F10:R18" totalsRowShown="0" headerRowDxfId="44" dataDxfId="42" headerRowBorderDxfId="43" tableBorderDxfId="41" totalsRowBorderDxfId="40">
  <autoFilter ref="F10:R18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6FD5516E-B842-4C88-999C-9A502B997A57}" name="Grupo Homogéneo" dataDxfId="39"/>
    <tableColumn id="2" xr3:uid="{47E39572-D29E-438B-B4BA-4AFC5595D0FB}" name="Proceso" dataDxfId="38"/>
    <tableColumn id="13" xr3:uid="{96720FDA-3EC3-4281-B32C-60417A4EDA1C}" name="Uso final de energía" dataDxfId="37"/>
    <tableColumn id="3" xr3:uid="{044B1510-3B84-4D43-9CC8-A19EE01C0F8D}" name="Energético" dataDxfId="36"/>
    <tableColumn id="4" xr3:uid="{E6F5FE78-C395-45DE-B41E-3A0777ED9A49}" name="Producto final" dataDxfId="35"/>
    <tableColumn id="5" xr3:uid="{85FCE660-EE3A-4233-9CB3-489E23A600AB}" name="Unidades indicador producción" dataDxfId="34"/>
    <tableColumn id="6" xr3:uid="{F01768FC-4EAF-455A-8946-719E4CB0DA56}" name="Indicador" dataDxfId="33"/>
    <tableColumn id="7" xr3:uid="{E9132A8B-5A41-4321-ACDB-5996D832AA09}" name="Parámetro" dataDxfId="32">
      <calculatedColumnFormula>IFERROR(RIGHT(Tabla22678[[#This Row],[Unidades indicador producción]], LEN(Tabla22678[[#This Row],[Unidades indicador producción]])-FIND("/", Tabla22678[[#This Row],[Unidades indicador producción]])), "")</calculatedColumnFormula>
    </tableColumn>
    <tableColumn id="8" xr3:uid="{1486D53A-7263-4E59-AEAA-BB235FC8B793}" name="Indicador área" dataDxfId="31">
      <calculatedColumnFormula>IF(Tabla22678[[#This Row],[Parámetro]]="Tn",Tabla22678[[#This Row],[Indicador]]*$B$6,Tabla22678[[#This Row],[Indicador]])</calculatedColumnFormula>
    </tableColumn>
    <tableColumn id="9" xr3:uid="{C540FD2F-9659-43D4-AECA-02A17BB8EEF9}" name="Unidades" dataDxfId="30">
      <calculatedColumnFormula>"MJ/Ha"</calculatedColumnFormula>
    </tableColumn>
    <tableColumn id="10" xr3:uid="{9161B51F-992D-4C87-B37F-8DAEE3A93163}" name="Consumo energía [MJ/año]" dataDxfId="11">
      <calculatedColumnFormula>(Tabla22678[[#This Row],[Indicador área]]*$B$5)</calculatedColumnFormula>
    </tableColumn>
    <tableColumn id="11" xr3:uid="{7EFC8CEA-5B3D-4C37-9C3A-D3AE9770AAA6}" name="Participación" dataDxfId="4" dataCellStyle="Porcentaje">
      <calculatedColumnFormula>+Tabla22678[[#This Row],[Consumo energía '[MJ/año']]]/$P$9</calculatedColumnFormula>
    </tableColumn>
    <tableColumn id="12" xr3:uid="{FE880BD8-24B9-4179-B951-96D6A8B06308}" name="Consumo energía corregida [MJ/año]" dataDxfId="3">
      <calculatedColumnFormula>IF(Tabla22678[[#This Row],[Energético]]="Energía Eléctrica",((Tabla22678[[#This Row],[Participación]]*$D$29)/SUMIF(Tabla22678[Energético],"Energía Eléctrica",Tabla22678[Participación]))*$B$32,Tabla22678[[#This Row],[Consumo energía '[MJ/año']]])</calculatedColumnFormula>
    </tableColumn>
  </tableColumns>
  <tableStyleInfo name="TableStyleLight1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23268E5-1ED4-4956-A1F6-24D99846CB26}" name="Tabla226789" displayName="Tabla226789" ref="F10:R18" totalsRowShown="0" headerRowDxfId="29" dataDxfId="27" headerRowBorderDxfId="28" tableBorderDxfId="26" totalsRowBorderDxfId="25">
  <autoFilter ref="F10:R18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69763D1F-D4F5-41D6-9202-B553D53DC856}" name="Grupo Homogéneo" dataDxfId="24"/>
    <tableColumn id="2" xr3:uid="{136179D7-C16C-40A1-85EA-378FB7D921A9}" name="Proceso" dataDxfId="23"/>
    <tableColumn id="13" xr3:uid="{65EE3957-25E6-47D0-9563-D4E846D2CB6D}" name="Uso final de energía" dataDxfId="22"/>
    <tableColumn id="3" xr3:uid="{980EC091-D4D1-4C7D-8F03-D32E35E7A351}" name="Energético" dataDxfId="21"/>
    <tableColumn id="4" xr3:uid="{541606A9-088E-46C5-9D5F-016770D15660}" name="Producto final" dataDxfId="20"/>
    <tableColumn id="5" xr3:uid="{6207706D-9CE9-4A9F-9A01-D0936F1C06AA}" name="Unidades indicador producción" dataDxfId="19"/>
    <tableColumn id="6" xr3:uid="{C1B611B6-F81E-4175-9A99-1A1C9561A5C6}" name="Indicador" dataDxfId="18"/>
    <tableColumn id="7" xr3:uid="{F9A104AA-9E9C-45EC-9897-2F450152FC6E}" name="Parámetro" dataDxfId="17">
      <calculatedColumnFormula>IFERROR(RIGHT(Tabla226789[[#This Row],[Unidades indicador producción]], LEN(Tabla226789[[#This Row],[Unidades indicador producción]])-FIND("/", Tabla226789[[#This Row],[Unidades indicador producción]])), "")</calculatedColumnFormula>
    </tableColumn>
    <tableColumn id="8" xr3:uid="{7607C987-C9A0-4B1F-91A5-A0C42EB39ABA}" name="Indicador área" dataDxfId="16">
      <calculatedColumnFormula>IF(Tabla226789[[#This Row],[Parámetro]]="Tn",Tabla226789[[#This Row],[Indicador]]*$B$6,Tabla226789[[#This Row],[Indicador]])</calculatedColumnFormula>
    </tableColumn>
    <tableColumn id="9" xr3:uid="{A3B3F5DA-F7BC-4800-9E13-81D504A65AB1}" name="Unidades" dataDxfId="15">
      <calculatedColumnFormula>"MJ/Ha"</calculatedColumnFormula>
    </tableColumn>
    <tableColumn id="10" xr3:uid="{0670104D-9C53-4A45-85F1-5655D4B4D7B8}" name="Consumo energía [MJ/año]" dataDxfId="2">
      <calculatedColumnFormula>(Tabla226789[[#This Row],[Indicador área]]*$B$5)</calculatedColumnFormula>
    </tableColumn>
    <tableColumn id="11" xr3:uid="{4F24BF7E-0BF9-40C1-B0BA-538E2418AAC9}" name="Participación" dataDxfId="1" dataCellStyle="Porcentaje">
      <calculatedColumnFormula>+Tabla226789[[#This Row],[Consumo energía '[MJ/año']]]/$P$9</calculatedColumnFormula>
    </tableColumn>
    <tableColumn id="12" xr3:uid="{5463C78D-CBD8-4B75-9B6D-7EC5957E6E69}" name="Consumo energía corregida [MJ/año]" dataDxfId="0">
      <calculatedColumnFormula>IF(Tabla226789[[#This Row],[Energético]]="Energía Eléctrica",((Tabla226789[[#This Row],[Participación]]*$D$29)/SUMIF(Tabla226789[Energético],"Energía Eléctrica",Tabla226789[Participación]))*$B$32,Tabla226789[[#This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B0230-12E6-444C-A58C-3BB6F410DF22}">
  <dimension ref="B2:N36"/>
  <sheetViews>
    <sheetView showGridLines="0" zoomScaleNormal="100" workbookViewId="0">
      <selection activeCell="A8" sqref="A8"/>
    </sheetView>
  </sheetViews>
  <sheetFormatPr baseColWidth="10" defaultRowHeight="12.75" x14ac:dyDescent="0.2"/>
  <cols>
    <col min="1" max="1" width="11.42578125" style="22"/>
    <col min="2" max="2" width="18.85546875" style="22" customWidth="1"/>
    <col min="3" max="3" width="17.140625" style="22" customWidth="1"/>
    <col min="4" max="4" width="13.7109375" style="22" customWidth="1"/>
    <col min="5" max="5" width="15.7109375" style="22" customWidth="1"/>
    <col min="6" max="6" width="12.5703125" style="22" bestFit="1" customWidth="1"/>
    <col min="7" max="7" width="12.5703125" style="22" customWidth="1"/>
    <col min="8" max="8" width="5.7109375" style="22" customWidth="1"/>
    <col min="9" max="9" width="11.42578125" style="22"/>
    <col min="10" max="10" width="13.42578125" style="22" customWidth="1"/>
    <col min="11" max="11" width="11.5703125" style="22" bestFit="1" customWidth="1"/>
    <col min="12" max="12" width="11.7109375" style="22" bestFit="1" customWidth="1"/>
    <col min="13" max="13" width="14.85546875" style="22" customWidth="1"/>
    <col min="14" max="14" width="11.5703125" style="22" bestFit="1" customWidth="1"/>
    <col min="15" max="16384" width="11.42578125" style="22"/>
  </cols>
  <sheetData>
    <row r="2" spans="2:14" ht="29.25" customHeight="1" x14ac:dyDescent="0.2">
      <c r="B2" s="46" t="s">
        <v>54</v>
      </c>
      <c r="C2" s="46" t="s">
        <v>35</v>
      </c>
      <c r="D2" s="46" t="s">
        <v>55</v>
      </c>
      <c r="E2" s="46" t="s">
        <v>56</v>
      </c>
      <c r="F2" s="46" t="s">
        <v>57</v>
      </c>
      <c r="G2" s="46" t="s">
        <v>73</v>
      </c>
      <c r="I2" s="46" t="s">
        <v>58</v>
      </c>
      <c r="J2" s="46" t="s">
        <v>59</v>
      </c>
      <c r="K2" s="46" t="s">
        <v>60</v>
      </c>
      <c r="L2" s="46" t="s">
        <v>61</v>
      </c>
      <c r="M2" s="46" t="s">
        <v>6</v>
      </c>
      <c r="N2" s="46" t="s">
        <v>62</v>
      </c>
    </row>
    <row r="3" spans="2:14" x14ac:dyDescent="0.2">
      <c r="B3" s="44" t="s">
        <v>49</v>
      </c>
      <c r="C3" s="43">
        <v>28079.07</v>
      </c>
      <c r="D3" s="43">
        <v>68058.289999999994</v>
      </c>
      <c r="E3" s="45">
        <v>1.77</v>
      </c>
      <c r="F3" s="42">
        <f>Tabla2[[#This Row],[Área sembrada (Ha)]]/Tabla2[[#Totals],[Área sembrada (Ha)]]</f>
        <v>0.21134493214872882</v>
      </c>
      <c r="G3" s="42">
        <f>+Tabla2[[#This Row],[% área sembrada]]*$N$12</f>
        <v>3.7375074368279429E-2</v>
      </c>
      <c r="I3" s="44" t="s">
        <v>63</v>
      </c>
      <c r="J3" s="44" t="s">
        <v>64</v>
      </c>
      <c r="K3" s="43">
        <v>4604</v>
      </c>
      <c r="L3" s="43">
        <v>3950</v>
      </c>
      <c r="M3" s="43">
        <v>0.98</v>
      </c>
      <c r="N3" s="51">
        <f>Tabla24[[#This Row],[área '[Ha']]]/Tabla24[[#Totals],[área '[Ha']]]</f>
        <v>6.1282244173884136E-3</v>
      </c>
    </row>
    <row r="4" spans="2:14" x14ac:dyDescent="0.2">
      <c r="B4" s="44" t="s">
        <v>50</v>
      </c>
      <c r="C4" s="43">
        <v>96244.58</v>
      </c>
      <c r="D4" s="43">
        <v>148829.32999999999</v>
      </c>
      <c r="E4" s="45">
        <v>1.57</v>
      </c>
      <c r="F4" s="42">
        <f>Tabla2[[#This Row],[Área sembrada (Ha)]]/Tabla2[[#Totals],[Área sembrada (Ha)]]</f>
        <v>0.72441160728552989</v>
      </c>
      <c r="G4" s="42">
        <f>+Tabla2[[#This Row],[% área sembrada]]*$N$12</f>
        <v>0.12810781607239197</v>
      </c>
      <c r="I4" s="44" t="s">
        <v>65</v>
      </c>
      <c r="J4" s="44" t="s">
        <v>64</v>
      </c>
      <c r="K4" s="43">
        <v>1532</v>
      </c>
      <c r="L4" s="43">
        <v>3793</v>
      </c>
      <c r="M4" s="43">
        <v>2.67</v>
      </c>
      <c r="N4" s="51">
        <f>Tabla24[[#This Row],[área '[Ha']]]/Tabla24[[#Totals],[área '[Ha']]]</f>
        <v>2.0391919651257711E-3</v>
      </c>
    </row>
    <row r="5" spans="2:14" x14ac:dyDescent="0.2">
      <c r="B5" s="44" t="s">
        <v>52</v>
      </c>
      <c r="C5" s="43">
        <v>1200</v>
      </c>
      <c r="D5" s="43">
        <v>3320.8</v>
      </c>
      <c r="E5" s="45">
        <v>2.5</v>
      </c>
      <c r="F5" s="42">
        <f>Tabla2[[#This Row],[Área sembrada (Ha)]]/Tabla2[[#Totals],[Área sembrada (Ha)]]</f>
        <v>9.0321338483957837E-3</v>
      </c>
      <c r="G5" s="42">
        <f>+Tabla2[[#This Row],[% área sembrada]]*$N$12</f>
        <v>1.597278301665095E-3</v>
      </c>
      <c r="I5" s="44" t="s">
        <v>66</v>
      </c>
      <c r="J5" s="44" t="s">
        <v>64</v>
      </c>
      <c r="K5" s="43">
        <v>1494</v>
      </c>
      <c r="L5" s="43">
        <v>3704</v>
      </c>
      <c r="M5" s="43">
        <v>2.65</v>
      </c>
      <c r="N5" s="51">
        <f>Tabla24[[#This Row],[área '[Ha']]]/Tabla24[[#Totals],[área '[Ha']]]</f>
        <v>1.9886114855730431E-3</v>
      </c>
    </row>
    <row r="6" spans="2:14" x14ac:dyDescent="0.2">
      <c r="B6" s="44" t="s">
        <v>53</v>
      </c>
      <c r="C6" s="43">
        <v>1076.8900000000001</v>
      </c>
      <c r="D6" s="43">
        <v>2792.03</v>
      </c>
      <c r="E6" s="45">
        <v>1.58</v>
      </c>
      <c r="F6" s="42">
        <f>Tabla2[[#This Row],[Área sembrada (Ha)]]/Tabla2[[#Totals],[Área sembrada (Ha)]]</f>
        <v>8.1055121833324469E-3</v>
      </c>
      <c r="G6" s="42">
        <f>+Tabla2[[#This Row],[% área sembrada]]*$N$12</f>
        <v>1.4334108585667702E-3</v>
      </c>
      <c r="I6" s="54" t="s">
        <v>67</v>
      </c>
      <c r="J6" s="54" t="s">
        <v>64</v>
      </c>
      <c r="K6" s="55">
        <v>535129</v>
      </c>
      <c r="L6" s="55">
        <v>1772851</v>
      </c>
      <c r="M6" s="55">
        <v>2.92</v>
      </c>
      <c r="N6" s="51">
        <f>Tabla24[[#This Row],[área '[Ha']]]/Tabla24[[#Totals],[área '[Ha']]]</f>
        <v>0.71229161690978382</v>
      </c>
    </row>
    <row r="7" spans="2:14" x14ac:dyDescent="0.2">
      <c r="B7" s="47" t="s">
        <v>51</v>
      </c>
      <c r="C7" s="48">
        <v>6258.43</v>
      </c>
      <c r="D7" s="48">
        <v>53737.120000000003</v>
      </c>
      <c r="E7" s="49">
        <v>7.18</v>
      </c>
      <c r="F7" s="42">
        <f>Tabla2[[#This Row],[Área sembrada (Ha)]]/Tabla2[[#Totals],[Área sembrada (Ha)]]</f>
        <v>4.7105814534013024E-2</v>
      </c>
      <c r="G7" s="42">
        <f>+Tabla2[[#This Row],[% área sembrada]]*$N$12</f>
        <v>8.3303787012415677E-3</v>
      </c>
      <c r="I7" s="44" t="s">
        <v>68</v>
      </c>
      <c r="J7" s="44" t="s">
        <v>64</v>
      </c>
      <c r="K7" s="43">
        <v>1805</v>
      </c>
      <c r="L7" s="43">
        <v>2645</v>
      </c>
      <c r="M7" s="43">
        <v>1.17</v>
      </c>
      <c r="N7" s="51">
        <f>Tabla24[[#This Row],[área '[Ha']]]/Tabla24[[#Totals],[área '[Ha']]]</f>
        <v>2.4025727787545803E-3</v>
      </c>
    </row>
    <row r="8" spans="2:14" x14ac:dyDescent="0.2">
      <c r="B8" s="47" t="s">
        <v>48</v>
      </c>
      <c r="C8" s="48">
        <f>SUBTOTAL(109,Tabla2[Área sembrada (Ha)])</f>
        <v>132858.97</v>
      </c>
      <c r="D8" s="50"/>
      <c r="E8" s="49"/>
      <c r="F8" s="42">
        <f>SUBTOTAL(109,Tabla2[% área sembrada])</f>
        <v>1</v>
      </c>
      <c r="G8" s="59">
        <f>SUBTOTAL(109,Tabla2[% Energía])</f>
        <v>0.1768439583021448</v>
      </c>
      <c r="I8" s="44" t="s">
        <v>69</v>
      </c>
      <c r="J8" s="44" t="s">
        <v>64</v>
      </c>
      <c r="K8" s="43">
        <v>454</v>
      </c>
      <c r="L8" s="43">
        <v>808</v>
      </c>
      <c r="M8" s="43">
        <v>2.17</v>
      </c>
      <c r="N8" s="51">
        <f>Tabla24[[#This Row],[área '[Ha']]]/Tabla24[[#Totals],[área '[Ha']]]</f>
        <v>6.0430362412996087E-4</v>
      </c>
    </row>
    <row r="9" spans="2:14" x14ac:dyDescent="0.2">
      <c r="I9" s="44" t="s">
        <v>70</v>
      </c>
      <c r="J9" s="44" t="s">
        <v>64</v>
      </c>
      <c r="K9" s="43">
        <v>1380</v>
      </c>
      <c r="L9" s="43">
        <v>4206</v>
      </c>
      <c r="M9" s="43">
        <v>2.66</v>
      </c>
      <c r="N9" s="51">
        <f>Tabla24[[#This Row],[área '[Ha']]]/Tabla24[[#Totals],[área '[Ha']]]</f>
        <v>1.8368700469148589E-3</v>
      </c>
    </row>
    <row r="10" spans="2:14" x14ac:dyDescent="0.2">
      <c r="I10" s="54" t="s">
        <v>71</v>
      </c>
      <c r="J10" s="54" t="s">
        <v>64</v>
      </c>
      <c r="K10" s="55">
        <v>70530</v>
      </c>
      <c r="L10" s="55">
        <v>173760</v>
      </c>
      <c r="M10" s="55">
        <v>2.46</v>
      </c>
      <c r="N10" s="51">
        <f>Tabla24[[#This Row],[área '[Ha']]]/Tabla24[[#Totals],[área '[Ha']]]</f>
        <v>9.3880032180365947E-2</v>
      </c>
    </row>
    <row r="11" spans="2:14" x14ac:dyDescent="0.2">
      <c r="I11" s="47" t="s">
        <v>72</v>
      </c>
      <c r="J11" s="44" t="s">
        <v>64</v>
      </c>
      <c r="K11" s="48">
        <v>1491</v>
      </c>
      <c r="L11" s="48">
        <v>2873</v>
      </c>
      <c r="M11" s="48">
        <v>1.72</v>
      </c>
      <c r="N11" s="52">
        <f>Tabla24[[#This Row],[área '[Ha']]]/Tabla24[[#Totals],[área '[Ha']]]</f>
        <v>1.9846182898188803E-3</v>
      </c>
    </row>
    <row r="12" spans="2:14" x14ac:dyDescent="0.2">
      <c r="I12" s="56" t="s">
        <v>54</v>
      </c>
      <c r="J12" s="56" t="s">
        <v>54</v>
      </c>
      <c r="K12" s="57">
        <v>132858.97</v>
      </c>
      <c r="L12" s="57">
        <v>276737.57</v>
      </c>
      <c r="M12" s="57"/>
      <c r="N12" s="58">
        <f>Tabla24[[#This Row],[área '[Ha']]]/Tabla24[[#Totals],[área '[Ha']]]</f>
        <v>0.17684395830214483</v>
      </c>
    </row>
    <row r="13" spans="2:14" x14ac:dyDescent="0.2">
      <c r="I13" s="47" t="s">
        <v>48</v>
      </c>
      <c r="J13" s="47"/>
      <c r="K13" s="48">
        <f>SUBTOTAL(109,Tabla24[área '[Ha']])</f>
        <v>751277.97</v>
      </c>
      <c r="L13" s="50"/>
      <c r="M13" s="50"/>
      <c r="N13" s="53">
        <f>SUBTOTAL(109,Tabla24[% de participación área])</f>
        <v>1.0000000000000002</v>
      </c>
    </row>
    <row r="21" spans="2:7" x14ac:dyDescent="0.2">
      <c r="G21" s="68"/>
    </row>
    <row r="22" spans="2:7" ht="20.25" x14ac:dyDescent="0.3">
      <c r="B22" s="67" t="s">
        <v>48</v>
      </c>
      <c r="C22" s="67"/>
      <c r="D22" s="67"/>
      <c r="E22" s="67"/>
      <c r="G22" s="68"/>
    </row>
    <row r="23" spans="2:7" x14ac:dyDescent="0.2">
      <c r="B23" s="9" t="s">
        <v>0</v>
      </c>
      <c r="C23" s="9" t="s">
        <v>31</v>
      </c>
      <c r="D23" s="9" t="s">
        <v>32</v>
      </c>
      <c r="E23" s="9" t="s">
        <v>1</v>
      </c>
      <c r="G23" s="68"/>
    </row>
    <row r="24" spans="2:7" x14ac:dyDescent="0.2">
      <c r="B24" s="38" t="s">
        <v>2</v>
      </c>
      <c r="C24" s="24">
        <f>+Arveja!B29+Frijol!B29+Guandul!B29+Haba!B29+Habichuela!B29</f>
        <v>1191863.200379801</v>
      </c>
      <c r="D24" s="39">
        <f>C24/1000000</f>
        <v>1.1918632003798011</v>
      </c>
      <c r="E24" s="10">
        <f>C24/$C$27</f>
        <v>2.617265916294641E-3</v>
      </c>
      <c r="G24" s="69"/>
    </row>
    <row r="25" spans="2:7" x14ac:dyDescent="0.2">
      <c r="B25" s="38" t="s">
        <v>3</v>
      </c>
      <c r="C25" s="24">
        <f>+Arveja!B30+Frijol!B30+Guandul!B30+Haba!B30+Habichuela!B30</f>
        <v>292329496.04582751</v>
      </c>
      <c r="D25" s="39">
        <f t="shared" ref="D25:D26" si="0">C25/1000000</f>
        <v>292.32949604582751</v>
      </c>
      <c r="E25" s="10">
        <f>C25/$C$27</f>
        <v>0.64193946594250428</v>
      </c>
      <c r="G25" s="69"/>
    </row>
    <row r="26" spans="2:7" x14ac:dyDescent="0.2">
      <c r="B26" s="38" t="s">
        <v>4</v>
      </c>
      <c r="C26" s="24">
        <f>+Arveja!B31+Frijol!B31+Guandul!B31+Haba!B31+Habichuela!B31</f>
        <v>161863473.05511466</v>
      </c>
      <c r="D26" s="39">
        <f t="shared" si="0"/>
        <v>161.86347305511467</v>
      </c>
      <c r="E26" s="10">
        <f>C26/$C$27</f>
        <v>0.35544326814120103</v>
      </c>
      <c r="G26" s="68"/>
    </row>
    <row r="27" spans="2:7" x14ac:dyDescent="0.2">
      <c r="B27" s="65" t="s">
        <v>48</v>
      </c>
      <c r="C27" s="66">
        <f>SUM(C24:C26)</f>
        <v>455384832.30132198</v>
      </c>
      <c r="D27" s="66">
        <f>SUM(D24:D26)</f>
        <v>455.38483230132204</v>
      </c>
      <c r="E27" s="66">
        <f>SUM(E24:E26)</f>
        <v>1</v>
      </c>
      <c r="G27" s="68"/>
    </row>
    <row r="28" spans="2:7" x14ac:dyDescent="0.2">
      <c r="G28" s="68"/>
    </row>
    <row r="29" spans="2:7" x14ac:dyDescent="0.2">
      <c r="G29" s="68"/>
    </row>
    <row r="30" spans="2:7" x14ac:dyDescent="0.2">
      <c r="G30" s="68"/>
    </row>
    <row r="31" spans="2:7" x14ac:dyDescent="0.2">
      <c r="G31" s="68"/>
    </row>
    <row r="32" spans="2:7" x14ac:dyDescent="0.2">
      <c r="G32" s="68"/>
    </row>
    <row r="33" spans="7:7" x14ac:dyDescent="0.2">
      <c r="G33" s="68"/>
    </row>
    <row r="34" spans="7:7" x14ac:dyDescent="0.2">
      <c r="G34" s="68"/>
    </row>
    <row r="35" spans="7:7" x14ac:dyDescent="0.2">
      <c r="G35" s="68"/>
    </row>
    <row r="36" spans="7:7" x14ac:dyDescent="0.2">
      <c r="G36" s="68"/>
    </row>
  </sheetData>
  <mergeCells count="1">
    <mergeCell ref="B22:E22"/>
  </mergeCells>
  <dataValidations count="1">
    <dataValidation type="list" allowBlank="1" showInputMessage="1" showErrorMessage="1" sqref="B24:B26" xr:uid="{B1C29165-BD8D-4664-A29F-D18F2F051F2B}">
      <formula1>#REF!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20634-A738-4A8E-9EFE-C2877B0B360D}">
  <dimension ref="A1:R40"/>
  <sheetViews>
    <sheetView showGridLines="0" tabSelected="1" zoomScaleNormal="100" workbookViewId="0">
      <selection activeCell="B22" sqref="B22"/>
    </sheetView>
  </sheetViews>
  <sheetFormatPr baseColWidth="10" defaultRowHeight="12.75" x14ac:dyDescent="0.2"/>
  <cols>
    <col min="1" max="1" width="28.28515625" style="22" customWidth="1"/>
    <col min="2" max="3" width="16.42578125" style="22" customWidth="1"/>
    <col min="4" max="4" width="14.28515625" style="22" customWidth="1"/>
    <col min="5" max="5" width="12.42578125" style="22" customWidth="1"/>
    <col min="6" max="6" width="22.85546875" style="22" bestFit="1" customWidth="1"/>
    <col min="7" max="8" width="24.5703125" style="22" customWidth="1"/>
    <col min="9" max="9" width="26.5703125" style="22" customWidth="1"/>
    <col min="10" max="10" width="17.7109375" style="22" bestFit="1" customWidth="1"/>
    <col min="11" max="11" width="19.7109375" style="22" customWidth="1"/>
    <col min="12" max="12" width="11.7109375" style="22" customWidth="1"/>
    <col min="13" max="13" width="11.42578125" style="22"/>
    <col min="14" max="14" width="15" style="22" customWidth="1"/>
    <col min="15" max="15" width="11.42578125" style="22"/>
    <col min="16" max="16" width="24.5703125" style="22" customWidth="1"/>
    <col min="17" max="17" width="11.42578125" style="22"/>
    <col min="18" max="18" width="18.7109375" style="22" customWidth="1"/>
    <col min="19" max="16384" width="11.42578125" style="22"/>
  </cols>
  <sheetData>
    <row r="1" spans="1:18" ht="18" x14ac:dyDescent="0.25">
      <c r="A1" s="8"/>
    </row>
    <row r="3" spans="1:18" ht="20.25" x14ac:dyDescent="0.2">
      <c r="A3" s="63" t="s">
        <v>79</v>
      </c>
      <c r="B3" s="64"/>
      <c r="C3" s="35"/>
      <c r="D3" s="35"/>
      <c r="E3" s="35"/>
    </row>
    <row r="4" spans="1:18" x14ac:dyDescent="0.2">
      <c r="A4" s="3" t="s">
        <v>30</v>
      </c>
      <c r="B4" s="30" t="str">
        <f>+Participación!B3</f>
        <v>Arveja</v>
      </c>
      <c r="C4" s="35"/>
      <c r="D4" s="35"/>
      <c r="E4" s="35"/>
    </row>
    <row r="5" spans="1:18" x14ac:dyDescent="0.2">
      <c r="A5" s="3" t="s">
        <v>5</v>
      </c>
      <c r="B5" s="31">
        <f>+Participación!C3</f>
        <v>28079.07</v>
      </c>
      <c r="C5" s="70" t="s">
        <v>80</v>
      </c>
      <c r="D5" s="35"/>
      <c r="E5" s="35"/>
    </row>
    <row r="6" spans="1:18" x14ac:dyDescent="0.2">
      <c r="A6" s="3" t="s">
        <v>6</v>
      </c>
      <c r="B6" s="31">
        <f>+Participación!E3</f>
        <v>1.77</v>
      </c>
      <c r="C6" s="70" t="s">
        <v>81</v>
      </c>
      <c r="D6" s="35"/>
      <c r="E6" s="35"/>
    </row>
    <row r="7" spans="1:18" ht="25.5" x14ac:dyDescent="0.2">
      <c r="A7" s="4" t="s">
        <v>7</v>
      </c>
      <c r="B7" s="31">
        <f>B13</f>
        <v>69970.62422634328</v>
      </c>
      <c r="C7" s="70" t="s">
        <v>82</v>
      </c>
      <c r="D7" s="35"/>
      <c r="E7" s="35"/>
    </row>
    <row r="8" spans="1:18" ht="26.25" x14ac:dyDescent="0.25">
      <c r="A8" s="4" t="s">
        <v>85</v>
      </c>
      <c r="B8" s="33">
        <f>+B7*3.6</f>
        <v>251894.24721483581</v>
      </c>
      <c r="C8" s="1"/>
      <c r="F8" s="60" t="s">
        <v>92</v>
      </c>
      <c r="G8" s="60"/>
      <c r="H8" s="60"/>
      <c r="I8" s="60"/>
      <c r="J8" s="60"/>
      <c r="K8" s="60"/>
      <c r="L8" s="60"/>
      <c r="P8" s="21"/>
      <c r="R8" s="6" t="s">
        <v>91</v>
      </c>
    </row>
    <row r="9" spans="1:18" ht="35.25" customHeight="1" x14ac:dyDescent="0.25">
      <c r="B9" s="41"/>
      <c r="K9" s="2" t="s">
        <v>26</v>
      </c>
      <c r="P9" s="7">
        <f>SUM(Tabla22[Consumo energía '[MJ/año']])</f>
        <v>95991382.237068295</v>
      </c>
      <c r="Q9" s="7"/>
      <c r="R9" s="62">
        <f>+SUM(Tabla22[Consumo energía corregida '[MJ/año']])</f>
        <v>95991382.237068295</v>
      </c>
    </row>
    <row r="10" spans="1:18" s="25" customFormat="1" ht="25.5" x14ac:dyDescent="0.2">
      <c r="A10" s="18" t="s">
        <v>84</v>
      </c>
      <c r="B10" s="39">
        <f>+Participación!D3</f>
        <v>68058.289999999994</v>
      </c>
      <c r="F10" s="26" t="s">
        <v>8</v>
      </c>
      <c r="G10" s="27" t="s">
        <v>9</v>
      </c>
      <c r="H10" s="27" t="s">
        <v>75</v>
      </c>
      <c r="I10" s="27" t="s">
        <v>10</v>
      </c>
      <c r="J10" s="27" t="s">
        <v>16</v>
      </c>
      <c r="K10" s="28" t="s">
        <v>17</v>
      </c>
      <c r="L10" s="27" t="s">
        <v>18</v>
      </c>
      <c r="M10" s="27" t="s">
        <v>23</v>
      </c>
      <c r="N10" s="27" t="s">
        <v>24</v>
      </c>
      <c r="O10" s="27" t="s">
        <v>25</v>
      </c>
      <c r="P10" s="78" t="s">
        <v>77</v>
      </c>
      <c r="Q10" s="78" t="s">
        <v>1</v>
      </c>
      <c r="R10" s="78" t="s">
        <v>78</v>
      </c>
    </row>
    <row r="11" spans="1:18" x14ac:dyDescent="0.2">
      <c r="F11" s="29" t="s">
        <v>54</v>
      </c>
      <c r="G11" s="30" t="s">
        <v>11</v>
      </c>
      <c r="H11" s="30" t="s">
        <v>76</v>
      </c>
      <c r="I11" s="30" t="s">
        <v>3</v>
      </c>
      <c r="J11" s="30" t="s">
        <v>44</v>
      </c>
      <c r="K11" s="30" t="s">
        <v>20</v>
      </c>
      <c r="L11" s="31">
        <v>521.03076920000001</v>
      </c>
      <c r="M11" s="32" t="str">
        <f>IFERROR(RIGHT(Tabla22[[#This Row],[Unidades indicador producción]], LEN(Tabla22[[#This Row],[Unidades indicador producción]])-FIND("/", Tabla22[[#This Row],[Unidades indicador producción]])), "")</f>
        <v>Ha</v>
      </c>
      <c r="N11" s="33">
        <f>IF(Tabla22[[#This Row],[Parámetro]]="Tn",Tabla22[[#This Row],[Indicador]]*$B$6,Tabla22[[#This Row],[Indicador]])</f>
        <v>521.03076920000001</v>
      </c>
      <c r="O11" s="32" t="str">
        <f t="shared" ref="O11" si="0">"MJ/Ha"</f>
        <v>MJ/Ha</v>
      </c>
      <c r="P11" s="33">
        <f>(Tabla22[[#This Row],[Indicador área]]*$B$5)</f>
        <v>14630059.440520644</v>
      </c>
      <c r="Q11" s="79">
        <f>+Tabla22[[#This Row],[Consumo energía '[MJ/año']]]/$P$9</f>
        <v>0.15241013411380028</v>
      </c>
      <c r="R11" s="33">
        <f>IF(Tabla22[[#This Row],[Energético]]="Energía Eléctrica",((Tabla22[[#This Row],[Participación]]*$D$29)/SUMIF(Tabla22[Energético],"Energía Eléctrica",Tabla22[Participación]))*$B$32,Tabla22[[#This Row],[Consumo energía '[MJ/año']]])</f>
        <v>14630059.440520644</v>
      </c>
    </row>
    <row r="12" spans="1:18" ht="25.5" x14ac:dyDescent="0.2">
      <c r="A12" s="71" t="s">
        <v>83</v>
      </c>
      <c r="B12" s="19">
        <v>1872120</v>
      </c>
      <c r="F12" s="29" t="s">
        <v>54</v>
      </c>
      <c r="G12" s="30" t="s">
        <v>12</v>
      </c>
      <c r="H12" s="30" t="s">
        <v>76</v>
      </c>
      <c r="I12" s="30" t="s">
        <v>4</v>
      </c>
      <c r="J12" s="30" t="s">
        <v>19</v>
      </c>
      <c r="K12" s="30" t="s">
        <v>20</v>
      </c>
      <c r="L12" s="31">
        <v>174.2081503</v>
      </c>
      <c r="M12" s="36" t="str">
        <f>IFERROR(RIGHT(Tabla22[[#This Row],[Unidades indicador producción]], LEN(Tabla22[[#This Row],[Unidades indicador producción]])-FIND("/", Tabla22[[#This Row],[Unidades indicador producción]])), "")</f>
        <v>Ha</v>
      </c>
      <c r="N12" s="37">
        <f>IF(Tabla22[[#This Row],[Parámetro]]="Tn",Tabla22[[#This Row],[Indicador]]*$B$6,Tabla22[[#This Row],[Indicador]])</f>
        <v>174.2081503</v>
      </c>
      <c r="O12" s="36" t="str">
        <f t="shared" ref="O12:O18" si="1">"MJ/Ha"</f>
        <v>MJ/Ha</v>
      </c>
      <c r="P12" s="33">
        <f>(Tabla22[[#This Row],[Indicador área]]*$B$5)</f>
        <v>4891602.8468442205</v>
      </c>
      <c r="Q12" s="79">
        <f>+Tabla22[[#This Row],[Consumo energía '[MJ/año']]]/$P$9</f>
        <v>5.095877080677421E-2</v>
      </c>
      <c r="R12" s="33">
        <f>IF(Tabla22[[#This Row],[Energético]]="Energía Eléctrica",((Tabla22[[#This Row],[Participación]]*$D$29)/SUMIF(Tabla22[Energético],"Energía Eléctrica",Tabla22[Participación]))*$B$32,Tabla22[[#This Row],[Consumo energía '[MJ/año']]])</f>
        <v>4891602.8468442205</v>
      </c>
    </row>
    <row r="13" spans="1:18" ht="25.5" x14ac:dyDescent="0.2">
      <c r="A13" s="72" t="s">
        <v>86</v>
      </c>
      <c r="B13" s="19">
        <f>+B12*Participación!G3</f>
        <v>69970.62422634328</v>
      </c>
      <c r="F13" s="29" t="s">
        <v>54</v>
      </c>
      <c r="G13" s="30" t="s">
        <v>13</v>
      </c>
      <c r="H13" s="30" t="s">
        <v>76</v>
      </c>
      <c r="I13" s="30" t="s">
        <v>4</v>
      </c>
      <c r="J13" s="30" t="s">
        <v>21</v>
      </c>
      <c r="K13" s="30" t="s">
        <v>20</v>
      </c>
      <c r="L13" s="31">
        <v>160.6317995</v>
      </c>
      <c r="M13" s="36" t="str">
        <f>IFERROR(RIGHT(Tabla22[[#This Row],[Unidades indicador producción]], LEN(Tabla22[[#This Row],[Unidades indicador producción]])-FIND("/", Tabla22[[#This Row],[Unidades indicador producción]])), "")</f>
        <v>Ha</v>
      </c>
      <c r="N13" s="37">
        <f>IF(Tabla22[[#This Row],[Parámetro]]="Tn",Tabla22[[#This Row],[Indicador]]*$B$6,Tabla22[[#This Row],[Indicador]])</f>
        <v>160.6317995</v>
      </c>
      <c r="O13" s="36" t="str">
        <f t="shared" si="1"/>
        <v>MJ/Ha</v>
      </c>
      <c r="P13" s="33">
        <f>(Tabla22[[#This Row],[Indicador área]]*$B$5)</f>
        <v>4510391.5423864648</v>
      </c>
      <c r="Q13" s="79">
        <f>+Tabla22[[#This Row],[Consumo energía '[MJ/año']]]/$P$9</f>
        <v>4.6987463220888176E-2</v>
      </c>
      <c r="R13" s="33">
        <f>IF(Tabla22[[#This Row],[Energético]]="Energía Eléctrica",((Tabla22[[#This Row],[Participación]]*$D$29)/SUMIF(Tabla22[Energético],"Energía Eléctrica",Tabla22[Participación]))*$B$32,Tabla22[[#This Row],[Consumo energía '[MJ/año']]])</f>
        <v>4510391.5423864648</v>
      </c>
    </row>
    <row r="14" spans="1:18" x14ac:dyDescent="0.2">
      <c r="A14" s="73"/>
      <c r="F14" s="29" t="s">
        <v>54</v>
      </c>
      <c r="G14" s="30" t="s">
        <v>45</v>
      </c>
      <c r="H14" s="30" t="s">
        <v>76</v>
      </c>
      <c r="I14" s="30" t="s">
        <v>4</v>
      </c>
      <c r="J14" s="30" t="s">
        <v>74</v>
      </c>
      <c r="K14" s="30" t="s">
        <v>20</v>
      </c>
      <c r="L14" s="31">
        <v>515.44853369999998</v>
      </c>
      <c r="M14" s="36" t="str">
        <f>IFERROR(RIGHT(Tabla22[[#This Row],[Unidades indicador producción]], LEN(Tabla22[[#This Row],[Unidades indicador producción]])-FIND("/", Tabla22[[#This Row],[Unidades indicador producción]])), "")</f>
        <v>Ha</v>
      </c>
      <c r="N14" s="37">
        <f>IF(Tabla22[[#This Row],[Parámetro]]="Tn",Tabla22[[#This Row],[Indicador]]*$B$6,Tabla22[[#This Row],[Indicador]])</f>
        <v>515.44853369999998</v>
      </c>
      <c r="O14" s="36" t="str">
        <f t="shared" si="1"/>
        <v>MJ/Ha</v>
      </c>
      <c r="P14" s="33">
        <f>(Tabla22[[#This Row],[Indicador área]]*$B$5)</f>
        <v>14473315.459159659</v>
      </c>
      <c r="Q14" s="79">
        <f>+Tabla22[[#This Row],[Consumo energía '[MJ/año']]]/$P$9</f>
        <v>0.15077723772551954</v>
      </c>
      <c r="R14" s="33">
        <f>IF(Tabla22[[#This Row],[Energético]]="Energía Eléctrica",((Tabla22[[#This Row],[Participación]]*$D$29)/SUMIF(Tabla22[Energético],"Energía Eléctrica",Tabla22[Participación]))*$B$32,Tabla22[[#This Row],[Consumo energía '[MJ/año']]])</f>
        <v>14473315.459159659</v>
      </c>
    </row>
    <row r="15" spans="1:18" x14ac:dyDescent="0.2">
      <c r="A15" s="73"/>
      <c r="F15" s="29" t="s">
        <v>54</v>
      </c>
      <c r="G15" s="30" t="s">
        <v>46</v>
      </c>
      <c r="H15" s="30" t="s">
        <v>76</v>
      </c>
      <c r="I15" s="30" t="s">
        <v>3</v>
      </c>
      <c r="J15" s="30" t="s">
        <v>44</v>
      </c>
      <c r="K15" s="30" t="s">
        <v>20</v>
      </c>
      <c r="L15" s="31">
        <v>205.58347900000001</v>
      </c>
      <c r="M15" s="36" t="str">
        <f>IFERROR(RIGHT(Tabla22[[#This Row],[Unidades indicador producción]], LEN(Tabla22[[#This Row],[Unidades indicador producción]])-FIND("/", Tabla22[[#This Row],[Unidades indicador producción]])), "")</f>
        <v>Ha</v>
      </c>
      <c r="N15" s="37">
        <f>IF(Tabla22[[#This Row],[Parámetro]]="Tn",Tabla22[[#This Row],[Indicador]]*$B$6,Tabla22[[#This Row],[Indicador]])</f>
        <v>205.58347900000001</v>
      </c>
      <c r="O15" s="36" t="str">
        <f t="shared" si="1"/>
        <v>MJ/Ha</v>
      </c>
      <c r="P15" s="33">
        <f>(Tabla22[[#This Row],[Indicador área]]*$B$5)</f>
        <v>5772592.8976845304</v>
      </c>
      <c r="Q15" s="79">
        <f>+Tabla22[[#This Row],[Consumo energía '[MJ/año']]]/$P$9</f>
        <v>6.0136574379438097E-2</v>
      </c>
      <c r="R15" s="33">
        <f>IF(Tabla22[[#This Row],[Energético]]="Energía Eléctrica",((Tabla22[[#This Row],[Participación]]*$D$29)/SUMIF(Tabla22[Energético],"Energía Eléctrica",Tabla22[Participación]))*$B$32,Tabla22[[#This Row],[Consumo energía '[MJ/año']]])</f>
        <v>5772592.8976845304</v>
      </c>
    </row>
    <row r="16" spans="1:18" x14ac:dyDescent="0.2">
      <c r="A16" s="73"/>
      <c r="F16" s="29" t="s">
        <v>54</v>
      </c>
      <c r="G16" s="30" t="s">
        <v>46</v>
      </c>
      <c r="H16" s="30" t="s">
        <v>76</v>
      </c>
      <c r="I16" s="30" t="s">
        <v>4</v>
      </c>
      <c r="J16" s="30" t="s">
        <v>44</v>
      </c>
      <c r="K16" s="30" t="s">
        <v>20</v>
      </c>
      <c r="L16" s="31">
        <v>368.02197799999999</v>
      </c>
      <c r="M16" s="36" t="str">
        <f>IFERROR(RIGHT(Tabla22[[#This Row],[Unidades indicador producción]], LEN(Tabla22[[#This Row],[Unidades indicador producción]])-FIND("/", Tabla22[[#This Row],[Unidades indicador producción]])), "")</f>
        <v>Ha</v>
      </c>
      <c r="N16" s="37">
        <f>IF(Tabla22[[#This Row],[Parámetro]]="Tn",Tabla22[[#This Row],[Indicador]]*$B$6,Tabla22[[#This Row],[Indicador]])</f>
        <v>368.02197799999999</v>
      </c>
      <c r="O16" s="36" t="str">
        <f t="shared" si="1"/>
        <v>MJ/Ha</v>
      </c>
      <c r="P16" s="33">
        <f>(Tabla22[[#This Row],[Indicador área]]*$B$5)</f>
        <v>10333714.88180046</v>
      </c>
      <c r="Q16" s="79">
        <f>+Tabla22[[#This Row],[Consumo energía '[MJ/año']]]/$P$9</f>
        <v>0.10765252714331645</v>
      </c>
      <c r="R16" s="33">
        <f>IF(Tabla22[[#This Row],[Energético]]="Energía Eléctrica",((Tabla22[[#This Row],[Participación]]*$D$29)/SUMIF(Tabla22[Energético],"Energía Eléctrica",Tabla22[Participación]))*$B$32,Tabla22[[#This Row],[Consumo energía '[MJ/año']]])</f>
        <v>10333714.88180046</v>
      </c>
    </row>
    <row r="17" spans="1:18" x14ac:dyDescent="0.2">
      <c r="A17" s="73"/>
      <c r="F17" s="29" t="s">
        <v>54</v>
      </c>
      <c r="G17" s="30" t="s">
        <v>14</v>
      </c>
      <c r="H17" s="30" t="s">
        <v>76</v>
      </c>
      <c r="I17" s="30" t="s">
        <v>3</v>
      </c>
      <c r="J17" s="30" t="s">
        <v>47</v>
      </c>
      <c r="K17" s="30" t="s">
        <v>20</v>
      </c>
      <c r="L17" s="31">
        <v>1336.9948609999999</v>
      </c>
      <c r="M17" s="36" t="str">
        <f>IFERROR(RIGHT(Tabla22[[#This Row],[Unidades indicador producción]], LEN(Tabla22[[#This Row],[Unidades indicador producción]])-FIND("/", Tabla22[[#This Row],[Unidades indicador producción]])), "")</f>
        <v>Ha</v>
      </c>
      <c r="N17" s="37">
        <f>IF(Tabla22[[#This Row],[Parámetro]]="Tn",Tabla22[[#This Row],[Indicador]]*$B$6,Tabla22[[#This Row],[Indicador]])</f>
        <v>1336.9948609999999</v>
      </c>
      <c r="O17" s="36" t="str">
        <f t="shared" si="1"/>
        <v>MJ/Ha</v>
      </c>
      <c r="P17" s="33">
        <f>(Tabla22[[#This Row],[Indicador área]]*$B$5)</f>
        <v>37541572.291659266</v>
      </c>
      <c r="Q17" s="79">
        <f>+Tabla22[[#This Row],[Consumo energía '[MJ/año']]]/$P$9</f>
        <v>0.39109315249720522</v>
      </c>
      <c r="R17" s="33">
        <f>IF(Tabla22[[#This Row],[Energético]]="Energía Eléctrica",((Tabla22[[#This Row],[Participación]]*$D$29)/SUMIF(Tabla22[Energético],"Energía Eléctrica",Tabla22[Participación]))*$B$32,Tabla22[[#This Row],[Consumo energía '[MJ/año']]])</f>
        <v>37541572.291659266</v>
      </c>
    </row>
    <row r="18" spans="1:18" x14ac:dyDescent="0.2">
      <c r="A18" s="73"/>
      <c r="F18" s="29" t="s">
        <v>54</v>
      </c>
      <c r="G18" s="30" t="s">
        <v>15</v>
      </c>
      <c r="H18" s="30" t="s">
        <v>76</v>
      </c>
      <c r="I18" s="30" t="s">
        <v>3</v>
      </c>
      <c r="J18" s="30" t="s">
        <v>22</v>
      </c>
      <c r="K18" s="30" t="s">
        <v>20</v>
      </c>
      <c r="L18" s="31">
        <v>136.6901709</v>
      </c>
      <c r="M18" s="36" t="str">
        <f>IFERROR(RIGHT(Tabla22[[#This Row],[Unidades indicador producción]], LEN(Tabla22[[#This Row],[Unidades indicador producción]])-FIND("/", Tabla22[[#This Row],[Unidades indicador producción]])), "")</f>
        <v>Ha</v>
      </c>
      <c r="N18" s="37">
        <f>IF(Tabla22[[#This Row],[Parámetro]]="Tn",Tabla22[[#This Row],[Indicador]]*$B$6,Tabla22[[#This Row],[Indicador]])</f>
        <v>136.6901709</v>
      </c>
      <c r="O18" s="36" t="str">
        <f t="shared" si="1"/>
        <v>MJ/Ha</v>
      </c>
      <c r="P18" s="33">
        <f>(Tabla22[[#This Row],[Indicador área]]*$B$5)</f>
        <v>3838132.8770130631</v>
      </c>
      <c r="Q18" s="79">
        <f>+Tabla22[[#This Row],[Consumo energía '[MJ/año']]]/$P$9</f>
        <v>3.9984140113058182E-2</v>
      </c>
      <c r="R18" s="33">
        <f>IF(Tabla22[[#This Row],[Energético]]="Energía Eléctrica",((Tabla22[[#This Row],[Participación]]*$D$29)/SUMIF(Tabla22[Energético],"Energía Eléctrica",Tabla22[Participación]))*$B$32,Tabla22[[#This Row],[Consumo energía '[MJ/año']]])</f>
        <v>3838132.8770130631</v>
      </c>
    </row>
    <row r="22" spans="1:18" x14ac:dyDescent="0.2">
      <c r="R22" s="35"/>
    </row>
    <row r="26" spans="1:18" ht="15.75" x14ac:dyDescent="0.25">
      <c r="A26" s="60" t="s">
        <v>27</v>
      </c>
      <c r="B26" s="60"/>
      <c r="C26" s="60"/>
      <c r="D26" s="60"/>
    </row>
    <row r="28" spans="1:18" x14ac:dyDescent="0.2">
      <c r="A28" s="9" t="s">
        <v>0</v>
      </c>
      <c r="B28" s="9" t="s">
        <v>31</v>
      </c>
      <c r="C28" s="9" t="s">
        <v>32</v>
      </c>
      <c r="D28" s="9" t="s">
        <v>1</v>
      </c>
    </row>
    <row r="29" spans="1:18" x14ac:dyDescent="0.2">
      <c r="A29" s="38" t="s">
        <v>2</v>
      </c>
      <c r="B29" s="24">
        <f>B8</f>
        <v>251894.24721483581</v>
      </c>
      <c r="C29" s="39">
        <f>B29/1000000</f>
        <v>0.25189424721483583</v>
      </c>
      <c r="D29" s="10">
        <f>B29/$B$32</f>
        <v>2.617265916294641E-3</v>
      </c>
    </row>
    <row r="30" spans="1:18" x14ac:dyDescent="0.2">
      <c r="A30" s="38" t="s">
        <v>3</v>
      </c>
      <c r="B30" s="23">
        <f>SUMIF(Tabla22[Energético],A30,Tabla22[Consumo energía '[MJ/año']])</f>
        <v>61782357.506877504</v>
      </c>
      <c r="C30" s="39">
        <f t="shared" ref="C30:C31" si="2">B30/1000000</f>
        <v>61.782357506877503</v>
      </c>
      <c r="D30" s="10">
        <f>B30/$B$32</f>
        <v>0.64193946594250428</v>
      </c>
      <c r="R30" s="35"/>
    </row>
    <row r="31" spans="1:18" x14ac:dyDescent="0.2">
      <c r="A31" s="38" t="s">
        <v>4</v>
      </c>
      <c r="B31" s="23">
        <f>SUMIF(Tabla22[Energético],A31,Tabla22[Consumo energía '[MJ/año']])</f>
        <v>34209024.730190806</v>
      </c>
      <c r="C31" s="39">
        <f t="shared" si="2"/>
        <v>34.209024730190805</v>
      </c>
      <c r="D31" s="10">
        <f>B31/$B$32</f>
        <v>0.35544326814120109</v>
      </c>
    </row>
    <row r="32" spans="1:18" x14ac:dyDescent="0.2">
      <c r="A32" s="65" t="s">
        <v>48</v>
      </c>
      <c r="B32" s="66">
        <f>SUM(B29:B31)</f>
        <v>96243276.484283149</v>
      </c>
      <c r="C32" s="66">
        <f t="shared" ref="C32:D32" si="3">SUM(C29:C31)</f>
        <v>96.243276484283143</v>
      </c>
      <c r="D32" s="76">
        <f t="shared" si="3"/>
        <v>1</v>
      </c>
    </row>
    <row r="35" spans="1:3" ht="18" x14ac:dyDescent="0.25">
      <c r="A35" s="61" t="s">
        <v>34</v>
      </c>
      <c r="B35" s="61"/>
      <c r="C35" s="61"/>
    </row>
    <row r="36" spans="1:3" x14ac:dyDescent="0.2">
      <c r="A36" s="5" t="str">
        <f>+A4</f>
        <v>Grupo Homogeneo</v>
      </c>
      <c r="B36" s="5" t="s">
        <v>28</v>
      </c>
      <c r="C36" s="5" t="s">
        <v>29</v>
      </c>
    </row>
    <row r="37" spans="1:3" x14ac:dyDescent="0.2">
      <c r="A37" s="40" t="str">
        <f>+$B$4</f>
        <v>Arveja</v>
      </c>
      <c r="B37" s="39">
        <f>B32/B5</f>
        <v>3427.5806315623399</v>
      </c>
      <c r="C37" s="39">
        <f>B37/$B$6</f>
        <v>1936.4862325210961</v>
      </c>
    </row>
    <row r="40" spans="1:3" x14ac:dyDescent="0.2">
      <c r="B40" s="20"/>
      <c r="C40" s="20"/>
    </row>
  </sheetData>
  <mergeCells count="4">
    <mergeCell ref="A3:B3"/>
    <mergeCell ref="F8:L8"/>
    <mergeCell ref="A26:D26"/>
    <mergeCell ref="A35:C35"/>
  </mergeCells>
  <phoneticPr fontId="10" type="noConversion"/>
  <dataValidations count="1">
    <dataValidation type="list" allowBlank="1" showInputMessage="1" showErrorMessage="1" sqref="A29:A31" xr:uid="{7998DDB8-A0A8-4547-B61C-B213BB822D8F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ABF67-9E15-451B-861C-406DD4C917B9}">
  <dimension ref="A1:R40"/>
  <sheetViews>
    <sheetView showGridLines="0" zoomScaleNormal="100" workbookViewId="0">
      <selection activeCell="F8" sqref="F8:L8"/>
    </sheetView>
  </sheetViews>
  <sheetFormatPr baseColWidth="10" defaultRowHeight="12.75" x14ac:dyDescent="0.2"/>
  <cols>
    <col min="1" max="1" width="28.28515625" style="22" customWidth="1"/>
    <col min="2" max="3" width="16.42578125" style="22" customWidth="1"/>
    <col min="4" max="4" width="14.28515625" style="22" customWidth="1"/>
    <col min="5" max="5" width="12.42578125" style="22" customWidth="1"/>
    <col min="6" max="6" width="22.85546875" style="22" bestFit="1" customWidth="1"/>
    <col min="7" max="8" width="24.5703125" style="22" customWidth="1"/>
    <col min="9" max="9" width="26.5703125" style="22" customWidth="1"/>
    <col min="10" max="10" width="17.7109375" style="22" bestFit="1" customWidth="1"/>
    <col min="11" max="11" width="19.7109375" style="22" customWidth="1"/>
    <col min="12" max="12" width="11.7109375" style="22" customWidth="1"/>
    <col min="13" max="13" width="11.42578125" style="22"/>
    <col min="14" max="14" width="15" style="22" customWidth="1"/>
    <col min="15" max="15" width="11.42578125" style="22"/>
    <col min="16" max="16" width="24.5703125" style="22" customWidth="1"/>
    <col min="17" max="17" width="12.5703125" style="22" bestFit="1" customWidth="1"/>
    <col min="18" max="18" width="20.140625" style="22" customWidth="1"/>
    <col min="19" max="16384" width="11.42578125" style="22"/>
  </cols>
  <sheetData>
    <row r="1" spans="1:18" ht="18" x14ac:dyDescent="0.25">
      <c r="A1" s="8"/>
    </row>
    <row r="3" spans="1:18" ht="20.25" x14ac:dyDescent="0.2">
      <c r="A3" s="63" t="s">
        <v>79</v>
      </c>
      <c r="B3" s="64"/>
      <c r="C3" s="35"/>
      <c r="D3" s="35"/>
      <c r="E3" s="35"/>
    </row>
    <row r="4" spans="1:18" x14ac:dyDescent="0.2">
      <c r="A4" s="3" t="s">
        <v>30</v>
      </c>
      <c r="B4" s="30" t="str">
        <f>+Tabla2[[#This Row],[Legumbres]]</f>
        <v>Frijol</v>
      </c>
      <c r="C4" s="35"/>
      <c r="D4" s="35"/>
      <c r="E4" s="35"/>
    </row>
    <row r="5" spans="1:18" x14ac:dyDescent="0.2">
      <c r="A5" s="3" t="s">
        <v>5</v>
      </c>
      <c r="B5" s="31">
        <f>+Participación!C4</f>
        <v>96244.58</v>
      </c>
      <c r="C5" s="70" t="s">
        <v>80</v>
      </c>
      <c r="D5" s="35"/>
      <c r="E5" s="35"/>
    </row>
    <row r="6" spans="1:18" x14ac:dyDescent="0.2">
      <c r="A6" s="3" t="s">
        <v>6</v>
      </c>
      <c r="B6" s="31">
        <f>+Participación!E4</f>
        <v>1.57</v>
      </c>
      <c r="C6" s="70" t="s">
        <v>81</v>
      </c>
      <c r="D6" s="35"/>
      <c r="E6" s="35"/>
    </row>
    <row r="7" spans="1:18" ht="25.5" x14ac:dyDescent="0.2">
      <c r="A7" s="4" t="s">
        <v>7</v>
      </c>
      <c r="B7" s="31">
        <f>B13</f>
        <v>239833.20462544644</v>
      </c>
      <c r="C7" s="70" t="s">
        <v>82</v>
      </c>
      <c r="D7" s="35"/>
      <c r="E7" s="35"/>
    </row>
    <row r="8" spans="1:18" ht="26.25" x14ac:dyDescent="0.25">
      <c r="A8" s="4" t="s">
        <v>85</v>
      </c>
      <c r="B8" s="33">
        <f>+B7*3.6</f>
        <v>863399.53665160714</v>
      </c>
      <c r="C8" s="1"/>
      <c r="F8" s="60" t="s">
        <v>92</v>
      </c>
      <c r="G8" s="60"/>
      <c r="H8" s="60"/>
      <c r="I8" s="60"/>
      <c r="J8" s="60"/>
      <c r="K8" s="60"/>
      <c r="L8" s="60"/>
      <c r="P8" s="21"/>
      <c r="R8" s="6" t="s">
        <v>91</v>
      </c>
    </row>
    <row r="9" spans="1:18" ht="35.25" customHeight="1" x14ac:dyDescent="0.25">
      <c r="B9" s="41"/>
      <c r="K9" s="2" t="s">
        <v>26</v>
      </c>
      <c r="P9" s="7">
        <f>SUM(Tabla226[Consumo energía '[MJ/año']])</f>
        <v>329022658.76420051</v>
      </c>
      <c r="Q9" s="7"/>
      <c r="R9" s="62">
        <f>+SUM(Tabla226[Consumo energía corregida '[MJ/año']])</f>
        <v>329022658.76420051</v>
      </c>
    </row>
    <row r="10" spans="1:18" s="25" customFormat="1" ht="51" x14ac:dyDescent="0.2">
      <c r="A10" s="18" t="s">
        <v>84</v>
      </c>
      <c r="B10" s="39">
        <f>+Participación!D3</f>
        <v>68058.289999999994</v>
      </c>
      <c r="F10" s="26" t="s">
        <v>8</v>
      </c>
      <c r="G10" s="27" t="s">
        <v>9</v>
      </c>
      <c r="H10" s="27" t="s">
        <v>75</v>
      </c>
      <c r="I10" s="27" t="s">
        <v>10</v>
      </c>
      <c r="J10" s="27" t="s">
        <v>16</v>
      </c>
      <c r="K10" s="28" t="s">
        <v>17</v>
      </c>
      <c r="L10" s="27" t="s">
        <v>18</v>
      </c>
      <c r="M10" s="27" t="s">
        <v>23</v>
      </c>
      <c r="N10" s="27" t="s">
        <v>24</v>
      </c>
      <c r="O10" s="27" t="s">
        <v>25</v>
      </c>
      <c r="P10" s="78" t="s">
        <v>77</v>
      </c>
      <c r="Q10" s="78" t="s">
        <v>1</v>
      </c>
      <c r="R10" s="78" t="s">
        <v>78</v>
      </c>
    </row>
    <row r="11" spans="1:18" x14ac:dyDescent="0.2">
      <c r="F11" s="29" t="s">
        <v>54</v>
      </c>
      <c r="G11" s="30" t="s">
        <v>11</v>
      </c>
      <c r="H11" s="30" t="s">
        <v>76</v>
      </c>
      <c r="I11" s="30" t="s">
        <v>3</v>
      </c>
      <c r="J11" s="30" t="s">
        <v>44</v>
      </c>
      <c r="K11" s="30" t="s">
        <v>20</v>
      </c>
      <c r="L11" s="31">
        <v>521.03076920000001</v>
      </c>
      <c r="M11" s="32" t="str">
        <f>IFERROR(RIGHT(Tabla226[[#This Row],[Unidades indicador producción]], LEN(Tabla226[[#This Row],[Unidades indicador producción]])-FIND("/", Tabla226[[#This Row],[Unidades indicador producción]])), "")</f>
        <v>Ha</v>
      </c>
      <c r="N11" s="33">
        <f>IF(Tabla226[[#This Row],[Parámetro]]="Tn",Tabla226[[#This Row],[Indicador]]*$B$6,Tabla226[[#This Row],[Indicador]])</f>
        <v>521.03076920000001</v>
      </c>
      <c r="O11" s="32" t="str">
        <f t="shared" ref="O11" si="0">"MJ/Ha"</f>
        <v>MJ/Ha</v>
      </c>
      <c r="P11" s="33">
        <f>(Tabla226[[#This Row],[Indicador área]]*$B$5)</f>
        <v>50146387.54873094</v>
      </c>
      <c r="Q11" s="79">
        <f>+Tabla226[[#This Row],[Consumo energía '[MJ/año']]]/$P$9</f>
        <v>0.15241013411380028</v>
      </c>
      <c r="R11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50146387.54873094</v>
      </c>
    </row>
    <row r="12" spans="1:18" ht="25.5" x14ac:dyDescent="0.2">
      <c r="A12" s="71" t="s">
        <v>83</v>
      </c>
      <c r="B12" s="19">
        <v>1872120</v>
      </c>
      <c r="F12" s="29" t="s">
        <v>54</v>
      </c>
      <c r="G12" s="30" t="s">
        <v>12</v>
      </c>
      <c r="H12" s="30" t="s">
        <v>76</v>
      </c>
      <c r="I12" s="30" t="s">
        <v>4</v>
      </c>
      <c r="J12" s="30" t="s">
        <v>19</v>
      </c>
      <c r="K12" s="30" t="s">
        <v>20</v>
      </c>
      <c r="L12" s="31">
        <v>174.2081503</v>
      </c>
      <c r="M12" s="36" t="str">
        <f>IFERROR(RIGHT(Tabla226[[#This Row],[Unidades indicador producción]], LEN(Tabla226[[#This Row],[Unidades indicador producción]])-FIND("/", Tabla226[[#This Row],[Unidades indicador producción]])), "")</f>
        <v>Ha</v>
      </c>
      <c r="N12" s="37">
        <f>IF(Tabla226[[#This Row],[Parámetro]]="Tn",Tabla226[[#This Row],[Indicador]]*$B$6,Tabla226[[#This Row],[Indicador]])</f>
        <v>174.2081503</v>
      </c>
      <c r="O12" s="36" t="str">
        <f t="shared" ref="O12:O18" si="1">"MJ/Ha"</f>
        <v>MJ/Ha</v>
      </c>
      <c r="P12" s="33">
        <f>(Tabla226[[#This Row],[Indicador área]]*$B$5)</f>
        <v>16766590.258200374</v>
      </c>
      <c r="Q12" s="79">
        <f>+Tabla226[[#This Row],[Consumo energía '[MJ/año']]]/$P$9</f>
        <v>5.095877080677421E-2</v>
      </c>
      <c r="R12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16766590.258200374</v>
      </c>
    </row>
    <row r="13" spans="1:18" ht="25.5" x14ac:dyDescent="0.2">
      <c r="A13" s="72" t="s">
        <v>87</v>
      </c>
      <c r="B13" s="19">
        <f>+B12*Participación!G4</f>
        <v>239833.20462544644</v>
      </c>
      <c r="F13" s="29" t="s">
        <v>54</v>
      </c>
      <c r="G13" s="30" t="s">
        <v>13</v>
      </c>
      <c r="H13" s="30" t="s">
        <v>76</v>
      </c>
      <c r="I13" s="30" t="s">
        <v>4</v>
      </c>
      <c r="J13" s="30" t="s">
        <v>21</v>
      </c>
      <c r="K13" s="30" t="s">
        <v>20</v>
      </c>
      <c r="L13" s="31">
        <v>160.6317995</v>
      </c>
      <c r="M13" s="36" t="str">
        <f>IFERROR(RIGHT(Tabla226[[#This Row],[Unidades indicador producción]], LEN(Tabla226[[#This Row],[Unidades indicador producción]])-FIND("/", Tabla226[[#This Row],[Unidades indicador producción]])), "")</f>
        <v>Ha</v>
      </c>
      <c r="N13" s="37">
        <f>IF(Tabla226[[#This Row],[Parámetro]]="Tn",Tabla226[[#This Row],[Indicador]]*$B$6,Tabla226[[#This Row],[Indicador]])</f>
        <v>160.6317995</v>
      </c>
      <c r="O13" s="36" t="str">
        <f t="shared" si="1"/>
        <v>MJ/Ha</v>
      </c>
      <c r="P13" s="33">
        <f>(Tabla226[[#This Row],[Indicador área]]*$B$5)</f>
        <v>15459940.07752171</v>
      </c>
      <c r="Q13" s="79">
        <f>+Tabla226[[#This Row],[Consumo energía '[MJ/año']]]/$P$9</f>
        <v>4.6987463220888169E-2</v>
      </c>
      <c r="R13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15459940.07752171</v>
      </c>
    </row>
    <row r="14" spans="1:18" x14ac:dyDescent="0.2">
      <c r="F14" s="29" t="s">
        <v>54</v>
      </c>
      <c r="G14" s="30" t="s">
        <v>45</v>
      </c>
      <c r="H14" s="30" t="s">
        <v>76</v>
      </c>
      <c r="I14" s="30" t="s">
        <v>4</v>
      </c>
      <c r="J14" s="30" t="s">
        <v>74</v>
      </c>
      <c r="K14" s="30" t="s">
        <v>20</v>
      </c>
      <c r="L14" s="31">
        <v>515.44853369999998</v>
      </c>
      <c r="M14" s="36" t="str">
        <f>IFERROR(RIGHT(Tabla226[[#This Row],[Unidades indicador producción]], LEN(Tabla226[[#This Row],[Unidades indicador producción]])-FIND("/", Tabla226[[#This Row],[Unidades indicador producción]])), "")</f>
        <v>Ha</v>
      </c>
      <c r="N14" s="37">
        <f>IF(Tabla226[[#This Row],[Parámetro]]="Tn",Tabla226[[#This Row],[Indicador]]*$B$6,Tabla226[[#This Row],[Indicador]])</f>
        <v>515.44853369999998</v>
      </c>
      <c r="O14" s="36" t="str">
        <f t="shared" si="1"/>
        <v>MJ/Ha</v>
      </c>
      <c r="P14" s="33">
        <f>(Tabla226[[#This Row],[Indicador área]]*$B$5)</f>
        <v>49609127.637572348</v>
      </c>
      <c r="Q14" s="79">
        <f>+Tabla226[[#This Row],[Consumo energía '[MJ/año']]]/$P$9</f>
        <v>0.15077723772551951</v>
      </c>
      <c r="R14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49609127.637572348</v>
      </c>
    </row>
    <row r="15" spans="1:18" x14ac:dyDescent="0.2">
      <c r="F15" s="29" t="s">
        <v>54</v>
      </c>
      <c r="G15" s="30" t="s">
        <v>46</v>
      </c>
      <c r="H15" s="30" t="s">
        <v>76</v>
      </c>
      <c r="I15" s="30" t="s">
        <v>3</v>
      </c>
      <c r="J15" s="30" t="s">
        <v>44</v>
      </c>
      <c r="K15" s="30" t="s">
        <v>20</v>
      </c>
      <c r="L15" s="31">
        <v>205.58347900000001</v>
      </c>
      <c r="M15" s="36" t="str">
        <f>IFERROR(RIGHT(Tabla226[[#This Row],[Unidades indicador producción]], LEN(Tabla226[[#This Row],[Unidades indicador producción]])-FIND("/", Tabla226[[#This Row],[Unidades indicador producción]])), "")</f>
        <v>Ha</v>
      </c>
      <c r="N15" s="37">
        <f>IF(Tabla226[[#This Row],[Parámetro]]="Tn",Tabla226[[#This Row],[Indicador]]*$B$6,Tabla226[[#This Row],[Indicador]])</f>
        <v>205.58347900000001</v>
      </c>
      <c r="O15" s="36" t="str">
        <f t="shared" si="1"/>
        <v>MJ/Ha</v>
      </c>
      <c r="P15" s="33">
        <f>(Tabla226[[#This Row],[Indicador área]]*$B$5)</f>
        <v>19786295.591293823</v>
      </c>
      <c r="Q15" s="79">
        <f>+Tabla226[[#This Row],[Consumo energía '[MJ/año']]]/$P$9</f>
        <v>6.0136574379438097E-2</v>
      </c>
      <c r="R15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19786295.591293823</v>
      </c>
    </row>
    <row r="16" spans="1:18" x14ac:dyDescent="0.2">
      <c r="F16" s="29" t="s">
        <v>54</v>
      </c>
      <c r="G16" s="30" t="s">
        <v>46</v>
      </c>
      <c r="H16" s="30" t="s">
        <v>76</v>
      </c>
      <c r="I16" s="30" t="s">
        <v>4</v>
      </c>
      <c r="J16" s="30" t="s">
        <v>44</v>
      </c>
      <c r="K16" s="30" t="s">
        <v>20</v>
      </c>
      <c r="L16" s="31">
        <v>368.02197799999999</v>
      </c>
      <c r="M16" s="36" t="str">
        <f>IFERROR(RIGHT(Tabla226[[#This Row],[Unidades indicador producción]], LEN(Tabla226[[#This Row],[Unidades indicador producción]])-FIND("/", Tabla226[[#This Row],[Unidades indicador producción]])), "")</f>
        <v>Ha</v>
      </c>
      <c r="N16" s="37">
        <f>IF(Tabla226[[#This Row],[Parámetro]]="Tn",Tabla226[[#This Row],[Indicador]]*$B$6,Tabla226[[#This Row],[Indicador]])</f>
        <v>368.02197799999999</v>
      </c>
      <c r="O16" s="36" t="str">
        <f t="shared" si="1"/>
        <v>MJ/Ha</v>
      </c>
      <c r="P16" s="33">
        <f>(Tabla226[[#This Row],[Indicador área]]*$B$5)</f>
        <v>35420120.703379236</v>
      </c>
      <c r="Q16" s="79">
        <f>+Tabla226[[#This Row],[Consumo energía '[MJ/año']]]/$P$9</f>
        <v>0.10765252714331644</v>
      </c>
      <c r="R16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35420120.703379236</v>
      </c>
    </row>
    <row r="17" spans="1:18" x14ac:dyDescent="0.2">
      <c r="F17" s="29" t="s">
        <v>54</v>
      </c>
      <c r="G17" s="30" t="s">
        <v>14</v>
      </c>
      <c r="H17" s="30" t="s">
        <v>76</v>
      </c>
      <c r="I17" s="30" t="s">
        <v>3</v>
      </c>
      <c r="J17" s="30" t="s">
        <v>47</v>
      </c>
      <c r="K17" s="30" t="s">
        <v>20</v>
      </c>
      <c r="L17" s="31">
        <v>1336.9948609999999</v>
      </c>
      <c r="M17" s="36" t="str">
        <f>IFERROR(RIGHT(Tabla226[[#This Row],[Unidades indicador producción]], LEN(Tabla226[[#This Row],[Unidades indicador producción]])-FIND("/", Tabla226[[#This Row],[Unidades indicador producción]])), "")</f>
        <v>Ha</v>
      </c>
      <c r="N17" s="37">
        <f>IF(Tabla226[[#This Row],[Parámetro]]="Tn",Tabla226[[#This Row],[Indicador]]*$B$6,Tabla226[[#This Row],[Indicador]])</f>
        <v>1336.9948609999999</v>
      </c>
      <c r="O17" s="36" t="str">
        <f t="shared" si="1"/>
        <v>MJ/Ha</v>
      </c>
      <c r="P17" s="33">
        <f>(Tabla226[[#This Row],[Indicador área]]*$B$5)</f>
        <v>128678508.85910337</v>
      </c>
      <c r="Q17" s="79">
        <f>+Tabla226[[#This Row],[Consumo energía '[MJ/año']]]/$P$9</f>
        <v>0.39109315249720517</v>
      </c>
      <c r="R17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128678508.85910337</v>
      </c>
    </row>
    <row r="18" spans="1:18" x14ac:dyDescent="0.2">
      <c r="F18" s="29" t="s">
        <v>54</v>
      </c>
      <c r="G18" s="30" t="s">
        <v>15</v>
      </c>
      <c r="H18" s="30" t="s">
        <v>76</v>
      </c>
      <c r="I18" s="30" t="s">
        <v>3</v>
      </c>
      <c r="J18" s="30" t="s">
        <v>22</v>
      </c>
      <c r="K18" s="30" t="s">
        <v>20</v>
      </c>
      <c r="L18" s="31">
        <v>136.6901709</v>
      </c>
      <c r="M18" s="36" t="str">
        <f>IFERROR(RIGHT(Tabla226[[#This Row],[Unidades indicador producción]], LEN(Tabla226[[#This Row],[Unidades indicador producción]])-FIND("/", Tabla226[[#This Row],[Unidades indicador producción]])), "")</f>
        <v>Ha</v>
      </c>
      <c r="N18" s="37">
        <f>IF(Tabla226[[#This Row],[Parámetro]]="Tn",Tabla226[[#This Row],[Indicador]]*$B$6,Tabla226[[#This Row],[Indicador]])</f>
        <v>136.6901709</v>
      </c>
      <c r="O18" s="36" t="str">
        <f t="shared" si="1"/>
        <v>MJ/Ha</v>
      </c>
      <c r="P18" s="33">
        <f>(Tabla226[[#This Row],[Indicador área]]*$B$5)</f>
        <v>13155688.088398723</v>
      </c>
      <c r="Q18" s="79">
        <f>+Tabla226[[#This Row],[Consumo energía '[MJ/año']]]/$P$9</f>
        <v>3.9984140113058182E-2</v>
      </c>
      <c r="R18" s="33">
        <f>IF(Tabla226[[#This Row],[Energético]]="Energía Eléctrica",((Tabla226[[#This Row],[Participación]]*$D$29)/SUMIF(Tabla226[Energético],"Energía Eléctrica",Tabla226[Participación]))*$B$32,Tabla226[[#This Row],[Consumo energía '[MJ/año']]])</f>
        <v>13155688.088398723</v>
      </c>
    </row>
    <row r="22" spans="1:18" x14ac:dyDescent="0.2">
      <c r="R22" s="35"/>
    </row>
    <row r="26" spans="1:18" ht="15.75" x14ac:dyDescent="0.25">
      <c r="A26" s="60" t="s">
        <v>27</v>
      </c>
      <c r="B26" s="60"/>
      <c r="C26" s="60"/>
      <c r="D26" s="60"/>
    </row>
    <row r="28" spans="1:18" x14ac:dyDescent="0.2">
      <c r="A28" s="9" t="s">
        <v>0</v>
      </c>
      <c r="B28" s="9" t="s">
        <v>31</v>
      </c>
      <c r="C28" s="9" t="s">
        <v>32</v>
      </c>
      <c r="D28" s="9" t="s">
        <v>1</v>
      </c>
    </row>
    <row r="29" spans="1:18" x14ac:dyDescent="0.2">
      <c r="A29" s="38" t="s">
        <v>2</v>
      </c>
      <c r="B29" s="24">
        <f>B8</f>
        <v>863399.53665160714</v>
      </c>
      <c r="C29" s="39">
        <f>B29/1000000</f>
        <v>0.86339953665160718</v>
      </c>
      <c r="D29" s="10">
        <f>B29/$B$32</f>
        <v>2.6172659162946406E-3</v>
      </c>
    </row>
    <row r="30" spans="1:18" x14ac:dyDescent="0.2">
      <c r="A30" s="38" t="s">
        <v>3</v>
      </c>
      <c r="B30" s="23">
        <f>SUMIF(Tabla226[Energético],A30,Tabla226[Consumo energía '[MJ/año']])</f>
        <v>211766880.08752686</v>
      </c>
      <c r="C30" s="39">
        <f t="shared" ref="C30:C31" si="2">B30/1000000</f>
        <v>211.76688008752686</v>
      </c>
      <c r="D30" s="10">
        <f>B30/$B$32</f>
        <v>0.64193946594250417</v>
      </c>
      <c r="R30" s="35"/>
    </row>
    <row r="31" spans="1:18" x14ac:dyDescent="0.2">
      <c r="A31" s="38" t="s">
        <v>4</v>
      </c>
      <c r="B31" s="23">
        <f>SUMIF(Tabla226[Energético],A31,Tabla226[Consumo energía '[MJ/año']])</f>
        <v>117255778.67667368</v>
      </c>
      <c r="C31" s="39">
        <f t="shared" si="2"/>
        <v>117.25577867667369</v>
      </c>
      <c r="D31" s="10">
        <f>B31/$B$32</f>
        <v>0.35544326814120103</v>
      </c>
    </row>
    <row r="32" spans="1:18" x14ac:dyDescent="0.2">
      <c r="A32" s="65" t="s">
        <v>48</v>
      </c>
      <c r="B32" s="66">
        <f>SUM(B29:B31)</f>
        <v>329886058.30085218</v>
      </c>
      <c r="C32" s="66">
        <f t="shared" ref="C32:D32" si="3">SUM(C29:C31)</f>
        <v>329.88605830085214</v>
      </c>
      <c r="D32" s="76">
        <f t="shared" si="3"/>
        <v>0.99999999999999978</v>
      </c>
    </row>
    <row r="35" spans="1:3" ht="18" x14ac:dyDescent="0.25">
      <c r="A35" s="61" t="s">
        <v>34</v>
      </c>
      <c r="B35" s="61"/>
      <c r="C35" s="61"/>
    </row>
    <row r="36" spans="1:3" x14ac:dyDescent="0.2">
      <c r="A36" s="5" t="str">
        <f>+A4</f>
        <v>Grupo Homogeneo</v>
      </c>
      <c r="B36" s="5" t="s">
        <v>28</v>
      </c>
      <c r="C36" s="5" t="s">
        <v>29</v>
      </c>
    </row>
    <row r="37" spans="1:3" x14ac:dyDescent="0.2">
      <c r="A37" s="40" t="str">
        <f>+$B$4</f>
        <v>Frijol</v>
      </c>
      <c r="B37" s="39">
        <f>B32/B5</f>
        <v>3427.5806315623404</v>
      </c>
      <c r="C37" s="39">
        <f>B37/$B$6</f>
        <v>2183.1723767912995</v>
      </c>
    </row>
    <row r="40" spans="1:3" x14ac:dyDescent="0.2">
      <c r="B40" s="20"/>
      <c r="C40" s="20"/>
    </row>
  </sheetData>
  <mergeCells count="4">
    <mergeCell ref="A3:B3"/>
    <mergeCell ref="F8:L8"/>
    <mergeCell ref="A26:D26"/>
    <mergeCell ref="A35:C35"/>
  </mergeCells>
  <phoneticPr fontId="10" type="noConversion"/>
  <dataValidations count="1">
    <dataValidation type="list" allowBlank="1" showInputMessage="1" showErrorMessage="1" sqref="A29:A31" xr:uid="{FED4AFCD-7703-472B-BA69-AEA20CAE5632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CA84-EE15-4122-A127-9B8D92B5D543}">
  <dimension ref="A1:R40"/>
  <sheetViews>
    <sheetView showGridLines="0" zoomScaleNormal="100" workbookViewId="0">
      <selection activeCell="F8" sqref="F8:L8"/>
    </sheetView>
  </sheetViews>
  <sheetFormatPr baseColWidth="10" defaultRowHeight="12.75" x14ac:dyDescent="0.2"/>
  <cols>
    <col min="1" max="1" width="28.28515625" style="22" customWidth="1"/>
    <col min="2" max="3" width="16.42578125" style="22" customWidth="1"/>
    <col min="4" max="4" width="14.28515625" style="22" customWidth="1"/>
    <col min="5" max="5" width="12.42578125" style="22" customWidth="1"/>
    <col min="6" max="6" width="22.85546875" style="22" bestFit="1" customWidth="1"/>
    <col min="7" max="8" width="24.5703125" style="22" customWidth="1"/>
    <col min="9" max="9" width="26.5703125" style="22" customWidth="1"/>
    <col min="10" max="10" width="17.7109375" style="22" bestFit="1" customWidth="1"/>
    <col min="11" max="11" width="19.7109375" style="22" customWidth="1"/>
    <col min="12" max="12" width="11.7109375" style="22" customWidth="1"/>
    <col min="13" max="13" width="11.42578125" style="22"/>
    <col min="14" max="14" width="15" style="22" customWidth="1"/>
    <col min="15" max="15" width="11.42578125" style="22"/>
    <col min="16" max="16" width="24.5703125" style="22" customWidth="1"/>
    <col min="17" max="17" width="11.42578125" style="22"/>
    <col min="18" max="18" width="17.28515625" style="22" customWidth="1"/>
    <col min="19" max="16384" width="11.42578125" style="22"/>
  </cols>
  <sheetData>
    <row r="1" spans="1:18" ht="18" x14ac:dyDescent="0.25">
      <c r="A1" s="8"/>
    </row>
    <row r="3" spans="1:18" ht="20.25" x14ac:dyDescent="0.2">
      <c r="A3" s="63" t="s">
        <v>79</v>
      </c>
      <c r="B3" s="64"/>
      <c r="C3" s="35"/>
      <c r="D3" s="35"/>
      <c r="E3" s="35"/>
    </row>
    <row r="4" spans="1:18" x14ac:dyDescent="0.2">
      <c r="A4" s="3" t="s">
        <v>30</v>
      </c>
      <c r="B4" s="30" t="str">
        <f>Participación!B5</f>
        <v>Guandul</v>
      </c>
      <c r="C4" s="35"/>
      <c r="D4" s="35"/>
      <c r="E4" s="35"/>
    </row>
    <row r="5" spans="1:18" x14ac:dyDescent="0.2">
      <c r="A5" s="3" t="s">
        <v>5</v>
      </c>
      <c r="B5" s="31">
        <f>+Participación!C5</f>
        <v>1200</v>
      </c>
      <c r="C5" s="70" t="s">
        <v>80</v>
      </c>
      <c r="D5" s="35"/>
      <c r="E5" s="35"/>
    </row>
    <row r="6" spans="1:18" x14ac:dyDescent="0.2">
      <c r="A6" s="3" t="s">
        <v>6</v>
      </c>
      <c r="B6" s="31">
        <f>+Participación!E5</f>
        <v>2.5</v>
      </c>
      <c r="C6" s="70" t="s">
        <v>81</v>
      </c>
      <c r="D6" s="35"/>
      <c r="E6" s="35"/>
    </row>
    <row r="7" spans="1:18" ht="25.5" x14ac:dyDescent="0.2">
      <c r="A7" s="4" t="s">
        <v>7</v>
      </c>
      <c r="B7" s="31">
        <f>B13</f>
        <v>2990.2966541132578</v>
      </c>
      <c r="C7" s="70" t="s">
        <v>82</v>
      </c>
      <c r="D7" s="35"/>
      <c r="E7" s="35"/>
    </row>
    <row r="8" spans="1:18" ht="26.25" x14ac:dyDescent="0.25">
      <c r="A8" s="4" t="s">
        <v>85</v>
      </c>
      <c r="B8" s="33">
        <f>+B7*3.6</f>
        <v>10765.067954807728</v>
      </c>
      <c r="C8" s="1"/>
      <c r="F8" s="60" t="s">
        <v>92</v>
      </c>
      <c r="G8" s="60"/>
      <c r="H8" s="60"/>
      <c r="I8" s="60"/>
      <c r="J8" s="60"/>
      <c r="K8" s="60"/>
      <c r="L8" s="60"/>
      <c r="P8" s="21"/>
      <c r="R8" s="6" t="s">
        <v>91</v>
      </c>
    </row>
    <row r="9" spans="1:18" ht="35.25" customHeight="1" x14ac:dyDescent="0.25">
      <c r="B9" s="41"/>
      <c r="K9" s="2" t="s">
        <v>26</v>
      </c>
      <c r="P9" s="7">
        <f>SUM(Tabla2267[Consumo energía '[MJ/año']])</f>
        <v>4102331.6899199998</v>
      </c>
      <c r="Q9" s="7"/>
      <c r="R9" s="62">
        <f>+SUM(Tabla2267[Consumo energía corregida '[MJ/año']])</f>
        <v>4102331.6899199998</v>
      </c>
    </row>
    <row r="10" spans="1:18" s="25" customFormat="1" ht="51" x14ac:dyDescent="0.2">
      <c r="A10" s="18" t="s">
        <v>84</v>
      </c>
      <c r="B10" s="39">
        <f>+Participación!D3</f>
        <v>68058.289999999994</v>
      </c>
      <c r="F10" s="26" t="s">
        <v>8</v>
      </c>
      <c r="G10" s="27" t="s">
        <v>9</v>
      </c>
      <c r="H10" s="27" t="s">
        <v>75</v>
      </c>
      <c r="I10" s="27" t="s">
        <v>10</v>
      </c>
      <c r="J10" s="27" t="s">
        <v>16</v>
      </c>
      <c r="K10" s="28" t="s">
        <v>17</v>
      </c>
      <c r="L10" s="27" t="s">
        <v>18</v>
      </c>
      <c r="M10" s="27" t="s">
        <v>23</v>
      </c>
      <c r="N10" s="27" t="s">
        <v>24</v>
      </c>
      <c r="O10" s="27" t="s">
        <v>25</v>
      </c>
      <c r="P10" s="78" t="s">
        <v>77</v>
      </c>
      <c r="Q10" s="78" t="s">
        <v>1</v>
      </c>
      <c r="R10" s="78" t="s">
        <v>78</v>
      </c>
    </row>
    <row r="11" spans="1:18" x14ac:dyDescent="0.2">
      <c r="F11" s="29" t="s">
        <v>54</v>
      </c>
      <c r="G11" s="30" t="s">
        <v>11</v>
      </c>
      <c r="H11" s="30" t="s">
        <v>76</v>
      </c>
      <c r="I11" s="30" t="s">
        <v>3</v>
      </c>
      <c r="J11" s="30" t="s">
        <v>44</v>
      </c>
      <c r="K11" s="30" t="s">
        <v>20</v>
      </c>
      <c r="L11" s="31">
        <v>521.03076920000001</v>
      </c>
      <c r="M11" s="32" t="str">
        <f>IFERROR(RIGHT(Tabla2267[[#This Row],[Unidades indicador producción]], LEN(Tabla2267[[#This Row],[Unidades indicador producción]])-FIND("/", Tabla2267[[#This Row],[Unidades indicador producción]])), "")</f>
        <v>Ha</v>
      </c>
      <c r="N11" s="33">
        <f>IF(Tabla2267[[#This Row],[Parámetro]]="Tn",Tabla2267[[#This Row],[Indicador]]*$B$6,Tabla2267[[#This Row],[Indicador]])</f>
        <v>521.03076920000001</v>
      </c>
      <c r="O11" s="32" t="str">
        <f t="shared" ref="O11" si="0">"MJ/Ha"</f>
        <v>MJ/Ha</v>
      </c>
      <c r="P11" s="33">
        <f>(Tabla2267[[#This Row],[Indicador área]]*$B$5)</f>
        <v>625236.92304000002</v>
      </c>
      <c r="Q11" s="79">
        <f>+Tabla2267[[#This Row],[Consumo energía '[MJ/año']]]/$P$9</f>
        <v>0.15241013411380025</v>
      </c>
      <c r="R11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625236.92304000002</v>
      </c>
    </row>
    <row r="12" spans="1:18" ht="25.5" x14ac:dyDescent="0.2">
      <c r="A12" s="71" t="s">
        <v>83</v>
      </c>
      <c r="B12" s="19">
        <v>1872120</v>
      </c>
      <c r="F12" s="29" t="s">
        <v>54</v>
      </c>
      <c r="G12" s="30" t="s">
        <v>12</v>
      </c>
      <c r="H12" s="30" t="s">
        <v>76</v>
      </c>
      <c r="I12" s="30" t="s">
        <v>4</v>
      </c>
      <c r="J12" s="30" t="s">
        <v>19</v>
      </c>
      <c r="K12" s="30" t="s">
        <v>20</v>
      </c>
      <c r="L12" s="31">
        <v>174.2081503</v>
      </c>
      <c r="M12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2" s="37">
        <f>IF(Tabla2267[[#This Row],[Parámetro]]="Tn",Tabla2267[[#This Row],[Indicador]]*$B$6,Tabla2267[[#This Row],[Indicador]])</f>
        <v>174.2081503</v>
      </c>
      <c r="O12" s="36" t="str">
        <f t="shared" ref="O12:O18" si="1">"MJ/Ha"</f>
        <v>MJ/Ha</v>
      </c>
      <c r="P12" s="33">
        <f>(Tabla2267[[#This Row],[Indicador área]]*$B$5)</f>
        <v>209049.78036</v>
      </c>
      <c r="Q12" s="79">
        <f>+Tabla2267[[#This Row],[Consumo energía '[MJ/año']]]/$P$9</f>
        <v>5.095877080677421E-2</v>
      </c>
      <c r="R12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209049.78036</v>
      </c>
    </row>
    <row r="13" spans="1:18" ht="25.5" x14ac:dyDescent="0.2">
      <c r="A13" s="72" t="s">
        <v>88</v>
      </c>
      <c r="B13" s="19">
        <f>+B12*Participación!G5</f>
        <v>2990.2966541132578</v>
      </c>
      <c r="F13" s="29" t="s">
        <v>54</v>
      </c>
      <c r="G13" s="30" t="s">
        <v>13</v>
      </c>
      <c r="H13" s="30" t="s">
        <v>76</v>
      </c>
      <c r="I13" s="30" t="s">
        <v>4</v>
      </c>
      <c r="J13" s="30" t="s">
        <v>21</v>
      </c>
      <c r="K13" s="30" t="s">
        <v>20</v>
      </c>
      <c r="L13" s="31">
        <v>160.6317995</v>
      </c>
      <c r="M13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3" s="37">
        <f>IF(Tabla2267[[#This Row],[Parámetro]]="Tn",Tabla2267[[#This Row],[Indicador]]*$B$6,Tabla2267[[#This Row],[Indicador]])</f>
        <v>160.6317995</v>
      </c>
      <c r="O13" s="36" t="str">
        <f t="shared" si="1"/>
        <v>MJ/Ha</v>
      </c>
      <c r="P13" s="33">
        <f>(Tabla2267[[#This Row],[Indicador área]]*$B$5)</f>
        <v>192758.1594</v>
      </c>
      <c r="Q13" s="79">
        <f>+Tabla2267[[#This Row],[Consumo energía '[MJ/año']]]/$P$9</f>
        <v>4.6987463220888169E-2</v>
      </c>
      <c r="R13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192758.1594</v>
      </c>
    </row>
    <row r="14" spans="1:18" x14ac:dyDescent="0.2">
      <c r="F14" s="29" t="s">
        <v>54</v>
      </c>
      <c r="G14" s="30" t="s">
        <v>45</v>
      </c>
      <c r="H14" s="30" t="s">
        <v>76</v>
      </c>
      <c r="I14" s="30" t="s">
        <v>4</v>
      </c>
      <c r="J14" s="30" t="s">
        <v>74</v>
      </c>
      <c r="K14" s="30" t="s">
        <v>20</v>
      </c>
      <c r="L14" s="31">
        <v>515.44853369999998</v>
      </c>
      <c r="M14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4" s="37">
        <f>IF(Tabla2267[[#This Row],[Parámetro]]="Tn",Tabla2267[[#This Row],[Indicador]]*$B$6,Tabla2267[[#This Row],[Indicador]])</f>
        <v>515.44853369999998</v>
      </c>
      <c r="O14" s="36" t="str">
        <f t="shared" si="1"/>
        <v>MJ/Ha</v>
      </c>
      <c r="P14" s="33">
        <f>(Tabla2267[[#This Row],[Indicador área]]*$B$5)</f>
        <v>618538.24043999997</v>
      </c>
      <c r="Q14" s="79">
        <f>+Tabla2267[[#This Row],[Consumo energía '[MJ/año']]]/$P$9</f>
        <v>0.15077723772551951</v>
      </c>
      <c r="R14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618538.24043999997</v>
      </c>
    </row>
    <row r="15" spans="1:18" x14ac:dyDescent="0.2">
      <c r="F15" s="29" t="s">
        <v>54</v>
      </c>
      <c r="G15" s="30" t="s">
        <v>46</v>
      </c>
      <c r="H15" s="30" t="s">
        <v>76</v>
      </c>
      <c r="I15" s="30" t="s">
        <v>3</v>
      </c>
      <c r="J15" s="30" t="s">
        <v>44</v>
      </c>
      <c r="K15" s="30" t="s">
        <v>20</v>
      </c>
      <c r="L15" s="31">
        <v>205.58347900000001</v>
      </c>
      <c r="M15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5" s="37">
        <f>IF(Tabla2267[[#This Row],[Parámetro]]="Tn",Tabla2267[[#This Row],[Indicador]]*$B$6,Tabla2267[[#This Row],[Indicador]])</f>
        <v>205.58347900000001</v>
      </c>
      <c r="O15" s="36" t="str">
        <f t="shared" si="1"/>
        <v>MJ/Ha</v>
      </c>
      <c r="P15" s="33">
        <f>(Tabla2267[[#This Row],[Indicador área]]*$B$5)</f>
        <v>246700.17480000001</v>
      </c>
      <c r="Q15" s="79">
        <f>+Tabla2267[[#This Row],[Consumo energía '[MJ/año']]]/$P$9</f>
        <v>6.0136574379438083E-2</v>
      </c>
      <c r="R15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246700.17480000001</v>
      </c>
    </row>
    <row r="16" spans="1:18" x14ac:dyDescent="0.2">
      <c r="F16" s="29" t="s">
        <v>54</v>
      </c>
      <c r="G16" s="30" t="s">
        <v>46</v>
      </c>
      <c r="H16" s="30" t="s">
        <v>76</v>
      </c>
      <c r="I16" s="30" t="s">
        <v>4</v>
      </c>
      <c r="J16" s="30" t="s">
        <v>44</v>
      </c>
      <c r="K16" s="30" t="s">
        <v>20</v>
      </c>
      <c r="L16" s="31">
        <v>368.02197799999999</v>
      </c>
      <c r="M16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6" s="37">
        <f>IF(Tabla2267[[#This Row],[Parámetro]]="Tn",Tabla2267[[#This Row],[Indicador]]*$B$6,Tabla2267[[#This Row],[Indicador]])</f>
        <v>368.02197799999999</v>
      </c>
      <c r="O16" s="36" t="str">
        <f t="shared" si="1"/>
        <v>MJ/Ha</v>
      </c>
      <c r="P16" s="33">
        <f>(Tabla2267[[#This Row],[Indicador área]]*$B$5)</f>
        <v>441626.37359999999</v>
      </c>
      <c r="Q16" s="79">
        <f>+Tabla2267[[#This Row],[Consumo energía '[MJ/año']]]/$P$9</f>
        <v>0.10765252714331644</v>
      </c>
      <c r="R16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441626.37359999999</v>
      </c>
    </row>
    <row r="17" spans="1:18" x14ac:dyDescent="0.2">
      <c r="F17" s="29" t="s">
        <v>54</v>
      </c>
      <c r="G17" s="30" t="s">
        <v>14</v>
      </c>
      <c r="H17" s="30" t="s">
        <v>76</v>
      </c>
      <c r="I17" s="30" t="s">
        <v>3</v>
      </c>
      <c r="J17" s="30" t="s">
        <v>47</v>
      </c>
      <c r="K17" s="30" t="s">
        <v>20</v>
      </c>
      <c r="L17" s="31">
        <v>1336.9948609999999</v>
      </c>
      <c r="M17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7" s="37">
        <f>IF(Tabla2267[[#This Row],[Parámetro]]="Tn",Tabla2267[[#This Row],[Indicador]]*$B$6,Tabla2267[[#This Row],[Indicador]])</f>
        <v>1336.9948609999999</v>
      </c>
      <c r="O17" s="36" t="str">
        <f t="shared" si="1"/>
        <v>MJ/Ha</v>
      </c>
      <c r="P17" s="33">
        <f>(Tabla2267[[#This Row],[Indicador área]]*$B$5)</f>
        <v>1604393.8332</v>
      </c>
      <c r="Q17" s="79">
        <f>+Tabla2267[[#This Row],[Consumo energía '[MJ/año']]]/$P$9</f>
        <v>0.39109315249720522</v>
      </c>
      <c r="R17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1604393.8332</v>
      </c>
    </row>
    <row r="18" spans="1:18" x14ac:dyDescent="0.2">
      <c r="F18" s="29" t="s">
        <v>54</v>
      </c>
      <c r="G18" s="30" t="s">
        <v>15</v>
      </c>
      <c r="H18" s="30" t="s">
        <v>76</v>
      </c>
      <c r="I18" s="30" t="s">
        <v>3</v>
      </c>
      <c r="J18" s="30" t="s">
        <v>22</v>
      </c>
      <c r="K18" s="30" t="s">
        <v>20</v>
      </c>
      <c r="L18" s="31">
        <v>136.6901709</v>
      </c>
      <c r="M18" s="36" t="str">
        <f>IFERROR(RIGHT(Tabla2267[[#This Row],[Unidades indicador producción]], LEN(Tabla2267[[#This Row],[Unidades indicador producción]])-FIND("/", Tabla2267[[#This Row],[Unidades indicador producción]])), "")</f>
        <v>Ha</v>
      </c>
      <c r="N18" s="37">
        <f>IF(Tabla2267[[#This Row],[Parámetro]]="Tn",Tabla2267[[#This Row],[Indicador]]*$B$6,Tabla2267[[#This Row],[Indicador]])</f>
        <v>136.6901709</v>
      </c>
      <c r="O18" s="36" t="str">
        <f t="shared" si="1"/>
        <v>MJ/Ha</v>
      </c>
      <c r="P18" s="33">
        <f>(Tabla2267[[#This Row],[Indicador área]]*$B$5)</f>
        <v>164028.20507999999</v>
      </c>
      <c r="Q18" s="79">
        <f>+Tabla2267[[#This Row],[Consumo energía '[MJ/año']]]/$P$9</f>
        <v>3.9984140113058175E-2</v>
      </c>
      <c r="R18" s="33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164028.20507999999</v>
      </c>
    </row>
    <row r="22" spans="1:18" x14ac:dyDescent="0.2">
      <c r="R22" s="35"/>
    </row>
    <row r="26" spans="1:18" ht="15.75" x14ac:dyDescent="0.25">
      <c r="A26" s="60" t="s">
        <v>27</v>
      </c>
      <c r="B26" s="60"/>
      <c r="C26" s="60"/>
      <c r="D26" s="60"/>
    </row>
    <row r="28" spans="1:18" x14ac:dyDescent="0.2">
      <c r="A28" s="9" t="s">
        <v>0</v>
      </c>
      <c r="B28" s="9" t="s">
        <v>31</v>
      </c>
      <c r="C28" s="9" t="s">
        <v>32</v>
      </c>
      <c r="D28" s="9" t="s">
        <v>1</v>
      </c>
    </row>
    <row r="29" spans="1:18" x14ac:dyDescent="0.2">
      <c r="A29" s="38" t="s">
        <v>2</v>
      </c>
      <c r="B29" s="24">
        <f>B8</f>
        <v>10765.067954807728</v>
      </c>
      <c r="C29" s="39">
        <f>B29/1000000</f>
        <v>1.0765067954807727E-2</v>
      </c>
      <c r="D29" s="10">
        <f>B29/$B$32</f>
        <v>2.6172659162946419E-3</v>
      </c>
    </row>
    <row r="30" spans="1:18" x14ac:dyDescent="0.2">
      <c r="A30" s="38" t="s">
        <v>3</v>
      </c>
      <c r="B30" s="23">
        <f>SUMIF(Tabla2267[Energético],A30,Tabla2267[Consumo energía '[MJ/año']])</f>
        <v>2640359.1361199999</v>
      </c>
      <c r="C30" s="39">
        <f t="shared" ref="C30:C31" si="2">B30/1000000</f>
        <v>2.6403591361199998</v>
      </c>
      <c r="D30" s="10">
        <f>B30/$B$32</f>
        <v>0.64193946594250439</v>
      </c>
      <c r="R30" s="35"/>
    </row>
    <row r="31" spans="1:18" x14ac:dyDescent="0.2">
      <c r="A31" s="38" t="s">
        <v>4</v>
      </c>
      <c r="B31" s="23">
        <f>SUMIF(Tabla2267[Energético],A31,Tabla2267[Consumo energía '[MJ/año']])</f>
        <v>1461972.5537999999</v>
      </c>
      <c r="C31" s="39">
        <f t="shared" si="2"/>
        <v>1.4619725537999999</v>
      </c>
      <c r="D31" s="10">
        <f>B31/$B$32</f>
        <v>0.35544326814120109</v>
      </c>
    </row>
    <row r="32" spans="1:18" x14ac:dyDescent="0.2">
      <c r="A32" s="65" t="s">
        <v>48</v>
      </c>
      <c r="B32" s="66">
        <f>SUM(B29:B31)</f>
        <v>4113096.7578748073</v>
      </c>
      <c r="C32" s="66">
        <f t="shared" ref="C32:D32" si="3">SUM(C29:C31)</f>
        <v>4.113096757874807</v>
      </c>
      <c r="D32" s="76">
        <f t="shared" si="3"/>
        <v>1</v>
      </c>
    </row>
    <row r="35" spans="1:3" ht="18" x14ac:dyDescent="0.25">
      <c r="A35" s="61" t="s">
        <v>34</v>
      </c>
      <c r="B35" s="61"/>
      <c r="C35" s="61"/>
    </row>
    <row r="36" spans="1:3" x14ac:dyDescent="0.2">
      <c r="A36" s="5" t="str">
        <f>+A4</f>
        <v>Grupo Homogeneo</v>
      </c>
      <c r="B36" s="5" t="s">
        <v>28</v>
      </c>
      <c r="C36" s="5" t="s">
        <v>29</v>
      </c>
    </row>
    <row r="37" spans="1:3" x14ac:dyDescent="0.2">
      <c r="A37" s="40" t="str">
        <f>+$B$4</f>
        <v>Guandul</v>
      </c>
      <c r="B37" s="39">
        <f>B32/B5</f>
        <v>3427.5806315623395</v>
      </c>
      <c r="C37" s="39">
        <f>B37/$B$6</f>
        <v>1371.0322526249358</v>
      </c>
    </row>
    <row r="40" spans="1:3" x14ac:dyDescent="0.2">
      <c r="B40" s="20"/>
      <c r="C40" s="20"/>
    </row>
  </sheetData>
  <mergeCells count="4">
    <mergeCell ref="A3:B3"/>
    <mergeCell ref="F8:L8"/>
    <mergeCell ref="A26:D26"/>
    <mergeCell ref="A35:C35"/>
  </mergeCells>
  <phoneticPr fontId="10" type="noConversion"/>
  <dataValidations count="1">
    <dataValidation type="list" allowBlank="1" showInputMessage="1" showErrorMessage="1" sqref="A29:A31" xr:uid="{1E7EDABF-0193-46C2-9C39-8D0C1239A143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0561-6658-43E0-AB83-2CF6012B90CE}">
  <dimension ref="A1:R40"/>
  <sheetViews>
    <sheetView showGridLines="0" zoomScaleNormal="100" workbookViewId="0">
      <selection activeCell="F8" sqref="F8:L8"/>
    </sheetView>
  </sheetViews>
  <sheetFormatPr baseColWidth="10" defaultRowHeight="12.75" x14ac:dyDescent="0.2"/>
  <cols>
    <col min="1" max="1" width="28.28515625" style="22" customWidth="1"/>
    <col min="2" max="3" width="16.42578125" style="22" customWidth="1"/>
    <col min="4" max="4" width="14.28515625" style="22" customWidth="1"/>
    <col min="5" max="5" width="12.42578125" style="22" customWidth="1"/>
    <col min="6" max="6" width="22.85546875" style="22" bestFit="1" customWidth="1"/>
    <col min="7" max="8" width="24.5703125" style="22" customWidth="1"/>
    <col min="9" max="9" width="26.5703125" style="22" customWidth="1"/>
    <col min="10" max="10" width="17.7109375" style="22" bestFit="1" customWidth="1"/>
    <col min="11" max="11" width="19.7109375" style="22" customWidth="1"/>
    <col min="12" max="12" width="11.7109375" style="22" customWidth="1"/>
    <col min="13" max="13" width="11.42578125" style="22"/>
    <col min="14" max="14" width="15" style="22" customWidth="1"/>
    <col min="15" max="15" width="11.42578125" style="22"/>
    <col min="16" max="16" width="24.5703125" style="22" customWidth="1"/>
    <col min="17" max="17" width="12.5703125" style="22" bestFit="1" customWidth="1"/>
    <col min="18" max="18" width="19.28515625" style="22" customWidth="1"/>
    <col min="19" max="16384" width="11.42578125" style="22"/>
  </cols>
  <sheetData>
    <row r="1" spans="1:18" ht="18" x14ac:dyDescent="0.25">
      <c r="A1" s="8"/>
    </row>
    <row r="3" spans="1:18" ht="20.25" x14ac:dyDescent="0.2">
      <c r="A3" s="63" t="s">
        <v>79</v>
      </c>
      <c r="B3" s="64"/>
      <c r="C3" s="35"/>
      <c r="D3" s="35"/>
      <c r="E3" s="35"/>
    </row>
    <row r="4" spans="1:18" x14ac:dyDescent="0.2">
      <c r="A4" s="3" t="s">
        <v>30</v>
      </c>
      <c r="B4" s="30" t="str">
        <f>Participación!B6</f>
        <v>Haba</v>
      </c>
      <c r="C4" s="35"/>
      <c r="D4" s="35"/>
      <c r="E4" s="35"/>
    </row>
    <row r="5" spans="1:18" x14ac:dyDescent="0.2">
      <c r="A5" s="3" t="s">
        <v>5</v>
      </c>
      <c r="B5" s="31">
        <f>+Participación!C6</f>
        <v>1076.8900000000001</v>
      </c>
      <c r="C5" s="70" t="s">
        <v>80</v>
      </c>
      <c r="D5" s="35"/>
      <c r="E5" s="35"/>
    </row>
    <row r="6" spans="1:18" x14ac:dyDescent="0.2">
      <c r="A6" s="3" t="s">
        <v>6</v>
      </c>
      <c r="B6" s="31">
        <f>+Participación!E6</f>
        <v>1.58</v>
      </c>
      <c r="C6" s="70" t="s">
        <v>81</v>
      </c>
      <c r="D6" s="35"/>
      <c r="E6" s="35"/>
    </row>
    <row r="7" spans="1:18" ht="25.5" x14ac:dyDescent="0.2">
      <c r="A7" s="4" t="s">
        <v>7</v>
      </c>
      <c r="B7" s="31">
        <f>B13</f>
        <v>2683.517136540022</v>
      </c>
      <c r="C7" s="70" t="s">
        <v>82</v>
      </c>
      <c r="D7" s="35"/>
      <c r="E7" s="35"/>
    </row>
    <row r="8" spans="1:18" ht="26.25" x14ac:dyDescent="0.25">
      <c r="A8" s="4" t="s">
        <v>85</v>
      </c>
      <c r="B8" s="33">
        <f>+B7*3.6</f>
        <v>9660.6616915440791</v>
      </c>
      <c r="C8" s="1"/>
      <c r="F8" s="60" t="s">
        <v>92</v>
      </c>
      <c r="G8" s="60"/>
      <c r="H8" s="60"/>
      <c r="I8" s="60"/>
      <c r="J8" s="60"/>
      <c r="K8" s="60"/>
      <c r="L8" s="60"/>
      <c r="P8" s="21"/>
      <c r="R8" s="6" t="s">
        <v>33</v>
      </c>
    </row>
    <row r="9" spans="1:18" ht="35.25" customHeight="1" x14ac:dyDescent="0.25">
      <c r="B9" s="41"/>
      <c r="K9" s="2" t="s">
        <v>26</v>
      </c>
      <c r="P9" s="7">
        <f>SUM(Tabla22678[Consumo energía '[MJ/año']])</f>
        <v>3681466.6446316242</v>
      </c>
      <c r="Q9" s="7"/>
      <c r="R9" s="62">
        <f>+SUM(Tabla22678[Consumo energía corregida '[MJ/año']])</f>
        <v>3681466.6446316242</v>
      </c>
    </row>
    <row r="10" spans="1:18" s="25" customFormat="1" ht="51" x14ac:dyDescent="0.2">
      <c r="A10" s="18" t="s">
        <v>84</v>
      </c>
      <c r="B10" s="39">
        <f>+Participación!D3</f>
        <v>68058.289999999994</v>
      </c>
      <c r="F10" s="26" t="s">
        <v>8</v>
      </c>
      <c r="G10" s="27" t="s">
        <v>9</v>
      </c>
      <c r="H10" s="27" t="s">
        <v>75</v>
      </c>
      <c r="I10" s="27" t="s">
        <v>10</v>
      </c>
      <c r="J10" s="27" t="s">
        <v>16</v>
      </c>
      <c r="K10" s="28" t="s">
        <v>17</v>
      </c>
      <c r="L10" s="27" t="s">
        <v>18</v>
      </c>
      <c r="M10" s="27" t="s">
        <v>23</v>
      </c>
      <c r="N10" s="27" t="s">
        <v>24</v>
      </c>
      <c r="O10" s="27" t="s">
        <v>25</v>
      </c>
      <c r="P10" s="78" t="s">
        <v>77</v>
      </c>
      <c r="Q10" s="78" t="s">
        <v>1</v>
      </c>
      <c r="R10" s="78" t="s">
        <v>78</v>
      </c>
    </row>
    <row r="11" spans="1:18" x14ac:dyDescent="0.2">
      <c r="F11" s="29" t="s">
        <v>54</v>
      </c>
      <c r="G11" s="30" t="s">
        <v>11</v>
      </c>
      <c r="H11" s="30" t="s">
        <v>76</v>
      </c>
      <c r="I11" s="30" t="s">
        <v>3</v>
      </c>
      <c r="J11" s="30" t="s">
        <v>44</v>
      </c>
      <c r="K11" s="30" t="s">
        <v>20</v>
      </c>
      <c r="L11" s="31">
        <v>521.03076920000001</v>
      </c>
      <c r="M11" s="32" t="str">
        <f>IFERROR(RIGHT(Tabla22678[[#This Row],[Unidades indicador producción]], LEN(Tabla22678[[#This Row],[Unidades indicador producción]])-FIND("/", Tabla22678[[#This Row],[Unidades indicador producción]])), "")</f>
        <v>Ha</v>
      </c>
      <c r="N11" s="33">
        <f>IF(Tabla22678[[#This Row],[Parámetro]]="Tn",Tabla22678[[#This Row],[Indicador]]*$B$6,Tabla22678[[#This Row],[Indicador]])</f>
        <v>521.03076920000001</v>
      </c>
      <c r="O11" s="32" t="str">
        <f t="shared" ref="O11" si="0">"MJ/Ha"</f>
        <v>MJ/Ha</v>
      </c>
      <c r="P11" s="34">
        <f>(Tabla22678[[#This Row],[Indicador área]]*$B$5)</f>
        <v>561092.82504378806</v>
      </c>
      <c r="Q11" s="79">
        <f>+Tabla22678[[#This Row],[Consumo energía '[MJ/año']]]/$P$9</f>
        <v>0.15241013411380025</v>
      </c>
      <c r="R11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561092.82504378806</v>
      </c>
    </row>
    <row r="12" spans="1:18" ht="25.5" x14ac:dyDescent="0.2">
      <c r="A12" s="71" t="s">
        <v>83</v>
      </c>
      <c r="B12" s="19">
        <v>1872120</v>
      </c>
      <c r="F12" s="29" t="s">
        <v>54</v>
      </c>
      <c r="G12" s="30" t="s">
        <v>12</v>
      </c>
      <c r="H12" s="30" t="s">
        <v>76</v>
      </c>
      <c r="I12" s="30" t="s">
        <v>4</v>
      </c>
      <c r="J12" s="30" t="s">
        <v>19</v>
      </c>
      <c r="K12" s="30" t="s">
        <v>20</v>
      </c>
      <c r="L12" s="31">
        <v>174.2081503</v>
      </c>
      <c r="M12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2" s="37">
        <f>IF(Tabla22678[[#This Row],[Parámetro]]="Tn",Tabla22678[[#This Row],[Indicador]]*$B$6,Tabla22678[[#This Row],[Indicador]])</f>
        <v>174.2081503</v>
      </c>
      <c r="O12" s="36" t="str">
        <f t="shared" ref="O12:O18" si="1">"MJ/Ha"</f>
        <v>MJ/Ha</v>
      </c>
      <c r="P12" s="34">
        <f>(Tabla22678[[#This Row],[Indicador área]]*$B$5)</f>
        <v>187603.01497656701</v>
      </c>
      <c r="Q12" s="79">
        <f>+Tabla22678[[#This Row],[Consumo energía '[MJ/año']]]/$P$9</f>
        <v>5.095877080677421E-2</v>
      </c>
      <c r="R12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187603.01497656701</v>
      </c>
    </row>
    <row r="13" spans="1:18" ht="25.5" x14ac:dyDescent="0.2">
      <c r="A13" s="72" t="s">
        <v>89</v>
      </c>
      <c r="B13" s="19">
        <f>+B12*Participación!G6</f>
        <v>2683.517136540022</v>
      </c>
      <c r="F13" s="29" t="s">
        <v>54</v>
      </c>
      <c r="G13" s="30" t="s">
        <v>13</v>
      </c>
      <c r="H13" s="30" t="s">
        <v>76</v>
      </c>
      <c r="I13" s="30" t="s">
        <v>4</v>
      </c>
      <c r="J13" s="30" t="s">
        <v>21</v>
      </c>
      <c r="K13" s="30" t="s">
        <v>20</v>
      </c>
      <c r="L13" s="31">
        <v>160.6317995</v>
      </c>
      <c r="M13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3" s="37">
        <f>IF(Tabla22678[[#This Row],[Parámetro]]="Tn",Tabla22678[[#This Row],[Indicador]]*$B$6,Tabla22678[[#This Row],[Indicador]])</f>
        <v>160.6317995</v>
      </c>
      <c r="O13" s="36" t="str">
        <f t="shared" si="1"/>
        <v>MJ/Ha</v>
      </c>
      <c r="P13" s="34">
        <f>(Tabla22678[[#This Row],[Indicador área]]*$B$5)</f>
        <v>172982.77856355501</v>
      </c>
      <c r="Q13" s="79">
        <f>+Tabla22678[[#This Row],[Consumo energía '[MJ/año']]]/$P$9</f>
        <v>4.6987463220888169E-2</v>
      </c>
      <c r="R13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172982.77856355501</v>
      </c>
    </row>
    <row r="14" spans="1:18" x14ac:dyDescent="0.2">
      <c r="F14" s="29" t="s">
        <v>54</v>
      </c>
      <c r="G14" s="30" t="s">
        <v>45</v>
      </c>
      <c r="H14" s="30" t="s">
        <v>76</v>
      </c>
      <c r="I14" s="30" t="s">
        <v>4</v>
      </c>
      <c r="J14" s="30" t="s">
        <v>74</v>
      </c>
      <c r="K14" s="30" t="s">
        <v>20</v>
      </c>
      <c r="L14" s="31">
        <v>515.44853369999998</v>
      </c>
      <c r="M14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4" s="37">
        <f>IF(Tabla22678[[#This Row],[Parámetro]]="Tn",Tabla22678[[#This Row],[Indicador]]*$B$6,Tabla22678[[#This Row],[Indicador]])</f>
        <v>515.44853369999998</v>
      </c>
      <c r="O14" s="36" t="str">
        <f t="shared" si="1"/>
        <v>MJ/Ha</v>
      </c>
      <c r="P14" s="34">
        <f>(Tabla22678[[#This Row],[Indicador área]]*$B$5)</f>
        <v>555081.37145619304</v>
      </c>
      <c r="Q14" s="79">
        <f>+Tabla22678[[#This Row],[Consumo energía '[MJ/año']]]/$P$9</f>
        <v>0.15077723772551951</v>
      </c>
      <c r="R14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555081.37145619304</v>
      </c>
    </row>
    <row r="15" spans="1:18" x14ac:dyDescent="0.2">
      <c r="F15" s="29" t="s">
        <v>54</v>
      </c>
      <c r="G15" s="30" t="s">
        <v>46</v>
      </c>
      <c r="H15" s="30" t="s">
        <v>76</v>
      </c>
      <c r="I15" s="30" t="s">
        <v>3</v>
      </c>
      <c r="J15" s="30" t="s">
        <v>44</v>
      </c>
      <c r="K15" s="30" t="s">
        <v>20</v>
      </c>
      <c r="L15" s="31">
        <v>205.58347900000001</v>
      </c>
      <c r="M15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5" s="37">
        <f>IF(Tabla22678[[#This Row],[Parámetro]]="Tn",Tabla22678[[#This Row],[Indicador]]*$B$6,Tabla22678[[#This Row],[Indicador]])</f>
        <v>205.58347900000001</v>
      </c>
      <c r="O15" s="36" t="str">
        <f t="shared" si="1"/>
        <v>MJ/Ha</v>
      </c>
      <c r="P15" s="34">
        <f>(Tabla22678[[#This Row],[Indicador área]]*$B$5)</f>
        <v>221390.79270031003</v>
      </c>
      <c r="Q15" s="79">
        <f>+Tabla22678[[#This Row],[Consumo energía '[MJ/año']]]/$P$9</f>
        <v>6.013657437943809E-2</v>
      </c>
      <c r="R15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221390.79270031003</v>
      </c>
    </row>
    <row r="16" spans="1:18" x14ac:dyDescent="0.2">
      <c r="F16" s="29" t="s">
        <v>54</v>
      </c>
      <c r="G16" s="30" t="s">
        <v>46</v>
      </c>
      <c r="H16" s="30" t="s">
        <v>76</v>
      </c>
      <c r="I16" s="30" t="s">
        <v>4</v>
      </c>
      <c r="J16" s="30" t="s">
        <v>44</v>
      </c>
      <c r="K16" s="30" t="s">
        <v>20</v>
      </c>
      <c r="L16" s="31">
        <v>368.02197799999999</v>
      </c>
      <c r="M16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6" s="37">
        <f>IF(Tabla22678[[#This Row],[Parámetro]]="Tn",Tabla22678[[#This Row],[Indicador]]*$B$6,Tabla22678[[#This Row],[Indicador]])</f>
        <v>368.02197799999999</v>
      </c>
      <c r="O16" s="36" t="str">
        <f t="shared" si="1"/>
        <v>MJ/Ha</v>
      </c>
      <c r="P16" s="34">
        <f>(Tabla22678[[#This Row],[Indicador área]]*$B$5)</f>
        <v>396319.18788842001</v>
      </c>
      <c r="Q16" s="79">
        <f>+Tabla22678[[#This Row],[Consumo energía '[MJ/año']]]/$P$9</f>
        <v>0.10765252714331644</v>
      </c>
      <c r="R16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396319.18788842001</v>
      </c>
    </row>
    <row r="17" spans="1:18" x14ac:dyDescent="0.2">
      <c r="F17" s="29" t="s">
        <v>54</v>
      </c>
      <c r="G17" s="30" t="s">
        <v>14</v>
      </c>
      <c r="H17" s="30" t="s">
        <v>76</v>
      </c>
      <c r="I17" s="30" t="s">
        <v>3</v>
      </c>
      <c r="J17" s="30" t="s">
        <v>47</v>
      </c>
      <c r="K17" s="30" t="s">
        <v>20</v>
      </c>
      <c r="L17" s="31">
        <v>1336.9948609999999</v>
      </c>
      <c r="M17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7" s="37">
        <f>IF(Tabla22678[[#This Row],[Parámetro]]="Tn",Tabla22678[[#This Row],[Indicador]]*$B$6,Tabla22678[[#This Row],[Indicador]])</f>
        <v>1336.9948609999999</v>
      </c>
      <c r="O17" s="36" t="str">
        <f t="shared" si="1"/>
        <v>MJ/Ha</v>
      </c>
      <c r="P17" s="34">
        <f>(Tabla22678[[#This Row],[Indicador área]]*$B$5)</f>
        <v>1439796.3958622899</v>
      </c>
      <c r="Q17" s="79">
        <f>+Tabla22678[[#This Row],[Consumo energía '[MJ/año']]]/$P$9</f>
        <v>0.39109315249720517</v>
      </c>
      <c r="R17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1439796.3958622899</v>
      </c>
    </row>
    <row r="18" spans="1:18" x14ac:dyDescent="0.2">
      <c r="F18" s="29" t="s">
        <v>54</v>
      </c>
      <c r="G18" s="30" t="s">
        <v>15</v>
      </c>
      <c r="H18" s="30" t="s">
        <v>76</v>
      </c>
      <c r="I18" s="30" t="s">
        <v>3</v>
      </c>
      <c r="J18" s="30" t="s">
        <v>22</v>
      </c>
      <c r="K18" s="30" t="s">
        <v>20</v>
      </c>
      <c r="L18" s="31">
        <v>136.6901709</v>
      </c>
      <c r="M18" s="36" t="str">
        <f>IFERROR(RIGHT(Tabla22678[[#This Row],[Unidades indicador producción]], LEN(Tabla22678[[#This Row],[Unidades indicador producción]])-FIND("/", Tabla22678[[#This Row],[Unidades indicador producción]])), "")</f>
        <v>Ha</v>
      </c>
      <c r="N18" s="37">
        <f>IF(Tabla22678[[#This Row],[Parámetro]]="Tn",Tabla22678[[#This Row],[Indicador]]*$B$6,Tabla22678[[#This Row],[Indicador]])</f>
        <v>136.6901709</v>
      </c>
      <c r="O18" s="36" t="str">
        <f t="shared" si="1"/>
        <v>MJ/Ha</v>
      </c>
      <c r="P18" s="34">
        <f>(Tabla22678[[#This Row],[Indicador área]]*$B$5)</f>
        <v>147200.278140501</v>
      </c>
      <c r="Q18" s="79">
        <f>+Tabla22678[[#This Row],[Consumo energía '[MJ/año']]]/$P$9</f>
        <v>3.9984140113058175E-2</v>
      </c>
      <c r="R18" s="33">
        <f>IF(Tabla22678[[#This Row],[Energético]]="Energía Eléctrica",((Tabla22678[[#This Row],[Participación]]*$D$29)/SUMIF(Tabla22678[Energético],"Energía Eléctrica",Tabla22678[Participación]))*$B$32,Tabla22678[[#This Row],[Consumo energía '[MJ/año']]])</f>
        <v>147200.278140501</v>
      </c>
    </row>
    <row r="22" spans="1:18" x14ac:dyDescent="0.2">
      <c r="R22" s="35"/>
    </row>
    <row r="26" spans="1:18" ht="15.75" x14ac:dyDescent="0.25">
      <c r="A26" s="60" t="s">
        <v>27</v>
      </c>
      <c r="B26" s="60"/>
      <c r="C26" s="60"/>
      <c r="D26" s="60"/>
    </row>
    <row r="28" spans="1:18" x14ac:dyDescent="0.2">
      <c r="A28" s="9" t="s">
        <v>0</v>
      </c>
      <c r="B28" s="9" t="s">
        <v>31</v>
      </c>
      <c r="C28" s="9" t="s">
        <v>32</v>
      </c>
      <c r="D28" s="9" t="s">
        <v>1</v>
      </c>
    </row>
    <row r="29" spans="1:18" x14ac:dyDescent="0.2">
      <c r="A29" s="38" t="s">
        <v>2</v>
      </c>
      <c r="B29" s="24">
        <f>B8</f>
        <v>9660.6616915440791</v>
      </c>
      <c r="C29" s="39">
        <f>B29/1000000</f>
        <v>9.6606616915440799E-3</v>
      </c>
      <c r="D29" s="10">
        <f>B29/$B$32</f>
        <v>2.6172659162946414E-3</v>
      </c>
    </row>
    <row r="30" spans="1:18" x14ac:dyDescent="0.2">
      <c r="A30" s="38" t="s">
        <v>3</v>
      </c>
      <c r="B30" s="23">
        <f>SUMIF(Tabla22678[Energético],A30,Tabla22678[Consumo energía '[MJ/año']])</f>
        <v>2369480.2917468892</v>
      </c>
      <c r="C30" s="39">
        <f t="shared" ref="C30:C31" si="2">B30/1000000</f>
        <v>2.3694802917468891</v>
      </c>
      <c r="D30" s="10">
        <f>B30/$B$32</f>
        <v>0.64193946594250428</v>
      </c>
      <c r="R30" s="35"/>
    </row>
    <row r="31" spans="1:18" x14ac:dyDescent="0.2">
      <c r="A31" s="38" t="s">
        <v>4</v>
      </c>
      <c r="B31" s="23">
        <f>SUMIF(Tabla22678[Energético],A31,Tabla22678[Consumo energía '[MJ/año']])</f>
        <v>1311986.352884735</v>
      </c>
      <c r="C31" s="39">
        <f t="shared" si="2"/>
        <v>1.3119863528847351</v>
      </c>
      <c r="D31" s="10">
        <f>B31/$B$32</f>
        <v>0.35544326814120103</v>
      </c>
    </row>
    <row r="32" spans="1:18" x14ac:dyDescent="0.2">
      <c r="A32" s="74" t="s">
        <v>48</v>
      </c>
      <c r="B32" s="75">
        <f>SUM(B29:B31)</f>
        <v>3691127.3063231683</v>
      </c>
      <c r="C32" s="75">
        <f t="shared" ref="C32:D32" si="3">SUM(C29:C31)</f>
        <v>3.6911273063231684</v>
      </c>
      <c r="D32" s="77">
        <f t="shared" si="3"/>
        <v>1</v>
      </c>
    </row>
    <row r="35" spans="1:3" ht="18" x14ac:dyDescent="0.25">
      <c r="A35" s="61" t="s">
        <v>34</v>
      </c>
      <c r="B35" s="61"/>
      <c r="C35" s="61"/>
    </row>
    <row r="36" spans="1:3" x14ac:dyDescent="0.2">
      <c r="A36" s="5" t="str">
        <f>+A4</f>
        <v>Grupo Homogeneo</v>
      </c>
      <c r="B36" s="5" t="s">
        <v>28</v>
      </c>
      <c r="C36" s="5" t="s">
        <v>29</v>
      </c>
    </row>
    <row r="37" spans="1:3" x14ac:dyDescent="0.2">
      <c r="A37" s="40" t="str">
        <f>+$B$4</f>
        <v>Haba</v>
      </c>
      <c r="B37" s="39">
        <f>B32/B5</f>
        <v>3427.5806315623395</v>
      </c>
      <c r="C37" s="39">
        <f>B37/$B$6</f>
        <v>2169.3548301027463</v>
      </c>
    </row>
    <row r="40" spans="1:3" x14ac:dyDescent="0.2">
      <c r="B40" s="20"/>
      <c r="C40" s="20"/>
    </row>
  </sheetData>
  <mergeCells count="4">
    <mergeCell ref="A3:B3"/>
    <mergeCell ref="F8:L8"/>
    <mergeCell ref="A26:D26"/>
    <mergeCell ref="A35:C35"/>
  </mergeCells>
  <phoneticPr fontId="10" type="noConversion"/>
  <dataValidations count="1">
    <dataValidation type="list" allowBlank="1" showInputMessage="1" showErrorMessage="1" sqref="A29:A31" xr:uid="{17E0FAE7-3EA7-451E-83A4-76F430B84AA7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8996C-399B-473E-9764-7D8F6B491F8E}">
  <dimension ref="A1:R40"/>
  <sheetViews>
    <sheetView showGridLines="0" zoomScaleNormal="100" workbookViewId="0">
      <selection activeCell="F9" sqref="F9"/>
    </sheetView>
  </sheetViews>
  <sheetFormatPr baseColWidth="10" defaultRowHeight="12.75" x14ac:dyDescent="0.2"/>
  <cols>
    <col min="1" max="1" width="28.28515625" style="22" customWidth="1"/>
    <col min="2" max="3" width="16.42578125" style="22" customWidth="1"/>
    <col min="4" max="4" width="14.28515625" style="22" customWidth="1"/>
    <col min="5" max="5" width="12.42578125" style="22" customWidth="1"/>
    <col min="6" max="6" width="22.85546875" style="22" bestFit="1" customWidth="1"/>
    <col min="7" max="8" width="24.5703125" style="22" customWidth="1"/>
    <col min="9" max="9" width="26.5703125" style="22" customWidth="1"/>
    <col min="10" max="10" width="17.7109375" style="22" bestFit="1" customWidth="1"/>
    <col min="11" max="11" width="19.7109375" style="22" customWidth="1"/>
    <col min="12" max="12" width="11.7109375" style="22" customWidth="1"/>
    <col min="13" max="13" width="11.42578125" style="22"/>
    <col min="14" max="14" width="15" style="22" customWidth="1"/>
    <col min="15" max="15" width="11.42578125" style="22"/>
    <col min="16" max="16" width="24.5703125" style="22" customWidth="1"/>
    <col min="17" max="17" width="11.42578125" style="22"/>
    <col min="18" max="18" width="20.7109375" style="22" customWidth="1"/>
    <col min="19" max="16384" width="11.42578125" style="22"/>
  </cols>
  <sheetData>
    <row r="1" spans="1:18" ht="18" x14ac:dyDescent="0.25">
      <c r="A1" s="8"/>
    </row>
    <row r="3" spans="1:18" ht="20.25" x14ac:dyDescent="0.2">
      <c r="A3" s="63" t="s">
        <v>79</v>
      </c>
      <c r="B3" s="64"/>
      <c r="C3" s="35"/>
      <c r="D3" s="35"/>
      <c r="E3" s="35"/>
    </row>
    <row r="4" spans="1:18" x14ac:dyDescent="0.2">
      <c r="A4" s="3" t="s">
        <v>30</v>
      </c>
      <c r="B4" s="30" t="str">
        <f>Participación!B7</f>
        <v>Habichuela</v>
      </c>
      <c r="C4" s="35"/>
      <c r="D4" s="35"/>
      <c r="E4" s="35"/>
    </row>
    <row r="5" spans="1:18" x14ac:dyDescent="0.2">
      <c r="A5" s="3" t="s">
        <v>5</v>
      </c>
      <c r="B5" s="31">
        <f>+Participación!C7</f>
        <v>6258.43</v>
      </c>
      <c r="C5" s="70" t="s">
        <v>80</v>
      </c>
      <c r="D5" s="35"/>
      <c r="E5" s="35"/>
    </row>
    <row r="6" spans="1:18" x14ac:dyDescent="0.2">
      <c r="A6" s="3" t="s">
        <v>6</v>
      </c>
      <c r="B6" s="31">
        <f>+Participación!E7</f>
        <v>7.18</v>
      </c>
      <c r="C6" s="70" t="s">
        <v>81</v>
      </c>
      <c r="D6" s="35"/>
      <c r="E6" s="35"/>
    </row>
    <row r="7" spans="1:18" ht="25.5" x14ac:dyDescent="0.2">
      <c r="A7" s="4" t="s">
        <v>7</v>
      </c>
      <c r="B7" s="31">
        <f>B13</f>
        <v>15595.468574168364</v>
      </c>
      <c r="C7" s="70" t="s">
        <v>82</v>
      </c>
      <c r="D7" s="35"/>
      <c r="E7" s="35"/>
    </row>
    <row r="8" spans="1:18" ht="26.25" x14ac:dyDescent="0.25">
      <c r="A8" s="4" t="s">
        <v>85</v>
      </c>
      <c r="B8" s="33">
        <f>+B7*3.6</f>
        <v>56143.686867006116</v>
      </c>
      <c r="C8" s="1"/>
      <c r="F8" s="60" t="s">
        <v>92</v>
      </c>
      <c r="G8" s="60"/>
      <c r="H8" s="60"/>
      <c r="I8" s="60"/>
      <c r="J8" s="60"/>
      <c r="K8" s="60"/>
      <c r="L8" s="60"/>
      <c r="P8" s="21"/>
      <c r="R8" s="6" t="s">
        <v>91</v>
      </c>
    </row>
    <row r="9" spans="1:18" ht="35.25" customHeight="1" x14ac:dyDescent="0.25">
      <c r="B9" s="41"/>
      <c r="K9" s="2" t="s">
        <v>26</v>
      </c>
      <c r="P9" s="7">
        <f>SUM(Tabla226789[Consumo energía '[MJ/año']])</f>
        <v>21395129.765121691</v>
      </c>
      <c r="Q9" s="7"/>
      <c r="R9" s="62">
        <f>+SUM(Tabla226789[Consumo energía corregida '[MJ/año']])</f>
        <v>21395129.765121691</v>
      </c>
    </row>
    <row r="10" spans="1:18" s="25" customFormat="1" ht="51" x14ac:dyDescent="0.2">
      <c r="A10" s="18" t="s">
        <v>84</v>
      </c>
      <c r="B10" s="39">
        <f>+Participación!D3</f>
        <v>68058.289999999994</v>
      </c>
      <c r="F10" s="26" t="s">
        <v>8</v>
      </c>
      <c r="G10" s="27" t="s">
        <v>9</v>
      </c>
      <c r="H10" s="27" t="s">
        <v>75</v>
      </c>
      <c r="I10" s="27" t="s">
        <v>10</v>
      </c>
      <c r="J10" s="27" t="s">
        <v>16</v>
      </c>
      <c r="K10" s="28" t="s">
        <v>17</v>
      </c>
      <c r="L10" s="27" t="s">
        <v>18</v>
      </c>
      <c r="M10" s="27" t="s">
        <v>23</v>
      </c>
      <c r="N10" s="27" t="s">
        <v>24</v>
      </c>
      <c r="O10" s="27" t="s">
        <v>25</v>
      </c>
      <c r="P10" s="78" t="s">
        <v>77</v>
      </c>
      <c r="Q10" s="78" t="s">
        <v>1</v>
      </c>
      <c r="R10" s="78" t="s">
        <v>78</v>
      </c>
    </row>
    <row r="11" spans="1:18" x14ac:dyDescent="0.2">
      <c r="F11" s="29" t="s">
        <v>54</v>
      </c>
      <c r="G11" s="30" t="s">
        <v>11</v>
      </c>
      <c r="H11" s="30" t="s">
        <v>76</v>
      </c>
      <c r="I11" s="30" t="s">
        <v>3</v>
      </c>
      <c r="J11" s="30" t="s">
        <v>44</v>
      </c>
      <c r="K11" s="30" t="s">
        <v>20</v>
      </c>
      <c r="L11" s="31">
        <v>521.03076920000001</v>
      </c>
      <c r="M11" s="32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1" s="33">
        <f>IF(Tabla226789[[#This Row],[Parámetro]]="Tn",Tabla226789[[#This Row],[Indicador]]*$B$6,Tabla226789[[#This Row],[Indicador]])</f>
        <v>521.03076920000001</v>
      </c>
      <c r="O11" s="32" t="str">
        <f t="shared" ref="O11:O12" si="0">"MJ/Ha"</f>
        <v>MJ/Ha</v>
      </c>
      <c r="P11" s="33">
        <f>(Tabla226789[[#This Row],[Indicador área]]*$B$5)</f>
        <v>3260834.5968843563</v>
      </c>
      <c r="Q11" s="79">
        <f>+Tabla226789[[#This Row],[Consumo energía '[MJ/año']]]/$P$9</f>
        <v>0.15241013411380025</v>
      </c>
      <c r="R11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3260834.5968843563</v>
      </c>
    </row>
    <row r="12" spans="1:18" ht="25.5" x14ac:dyDescent="0.2">
      <c r="A12" s="71" t="s">
        <v>83</v>
      </c>
      <c r="B12" s="19">
        <v>1872120</v>
      </c>
      <c r="F12" s="29" t="s">
        <v>54</v>
      </c>
      <c r="G12" s="30" t="s">
        <v>12</v>
      </c>
      <c r="H12" s="30" t="s">
        <v>76</v>
      </c>
      <c r="I12" s="30" t="s">
        <v>4</v>
      </c>
      <c r="J12" s="30" t="s">
        <v>19</v>
      </c>
      <c r="K12" s="30" t="s">
        <v>20</v>
      </c>
      <c r="L12" s="31">
        <v>174.2081503</v>
      </c>
      <c r="M12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2" s="37">
        <f>IF(Tabla226789[[#This Row],[Parámetro]]="Tn",Tabla226789[[#This Row],[Indicador]]*$B$6,Tabla226789[[#This Row],[Indicador]])</f>
        <v>174.2081503</v>
      </c>
      <c r="O12" s="36" t="str">
        <f t="shared" si="0"/>
        <v>MJ/Ha</v>
      </c>
      <c r="P12" s="33">
        <f>(Tabla226789[[#This Row],[Indicador área]]*$B$5)</f>
        <v>1090269.514082029</v>
      </c>
      <c r="Q12" s="79">
        <f>+Tabla226789[[#This Row],[Consumo energía '[MJ/año']]]/$P$9</f>
        <v>5.0958770806774203E-2</v>
      </c>
      <c r="R12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1090269.514082029</v>
      </c>
    </row>
    <row r="13" spans="1:18" ht="25.5" x14ac:dyDescent="0.2">
      <c r="A13" s="72" t="s">
        <v>90</v>
      </c>
      <c r="B13" s="19">
        <f>+B12*Participación!G7</f>
        <v>15595.468574168364</v>
      </c>
      <c r="F13" s="29" t="s">
        <v>54</v>
      </c>
      <c r="G13" s="30" t="s">
        <v>13</v>
      </c>
      <c r="H13" s="30" t="s">
        <v>76</v>
      </c>
      <c r="I13" s="30" t="s">
        <v>4</v>
      </c>
      <c r="J13" s="30" t="s">
        <v>21</v>
      </c>
      <c r="K13" s="30" t="s">
        <v>20</v>
      </c>
      <c r="L13" s="31">
        <v>160.6317995</v>
      </c>
      <c r="M13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3" s="37">
        <f>IF(Tabla226789[[#This Row],[Parámetro]]="Tn",Tabla226789[[#This Row],[Indicador]]*$B$6,Tabla226789[[#This Row],[Indicador]])</f>
        <v>160.6317995</v>
      </c>
      <c r="O13" s="36" t="str">
        <f t="shared" ref="O13:O18" si="1">"MJ/Ha"</f>
        <v>MJ/Ha</v>
      </c>
      <c r="P13" s="33">
        <f>(Tabla226789[[#This Row],[Indicador área]]*$B$5)</f>
        <v>1005302.872944785</v>
      </c>
      <c r="Q13" s="79">
        <f>+Tabla226789[[#This Row],[Consumo energía '[MJ/año']]]/$P$9</f>
        <v>4.6987463220888162E-2</v>
      </c>
      <c r="R13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1005302.872944785</v>
      </c>
    </row>
    <row r="14" spans="1:18" x14ac:dyDescent="0.2">
      <c r="F14" s="29" t="s">
        <v>54</v>
      </c>
      <c r="G14" s="30" t="s">
        <v>45</v>
      </c>
      <c r="H14" s="30" t="s">
        <v>76</v>
      </c>
      <c r="I14" s="30" t="s">
        <v>4</v>
      </c>
      <c r="J14" s="30" t="s">
        <v>74</v>
      </c>
      <c r="K14" s="30" t="s">
        <v>20</v>
      </c>
      <c r="L14" s="31">
        <v>515.44853369999998</v>
      </c>
      <c r="M14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4" s="37">
        <f>IF(Tabla226789[[#This Row],[Parámetro]]="Tn",Tabla226789[[#This Row],[Indicador]]*$B$6,Tabla226789[[#This Row],[Indicador]])</f>
        <v>515.44853369999998</v>
      </c>
      <c r="O14" s="36" t="str">
        <f t="shared" si="1"/>
        <v>MJ/Ha</v>
      </c>
      <c r="P14" s="33">
        <f>(Tabla226789[[#This Row],[Indicador área]]*$B$5)</f>
        <v>3225898.5667640911</v>
      </c>
      <c r="Q14" s="79">
        <f>+Tabla226789[[#This Row],[Consumo energía '[MJ/año']]]/$P$9</f>
        <v>0.15077723772551949</v>
      </c>
      <c r="R14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3225898.5667640911</v>
      </c>
    </row>
    <row r="15" spans="1:18" x14ac:dyDescent="0.2">
      <c r="F15" s="29" t="s">
        <v>54</v>
      </c>
      <c r="G15" s="30" t="s">
        <v>46</v>
      </c>
      <c r="H15" s="30" t="s">
        <v>76</v>
      </c>
      <c r="I15" s="30" t="s">
        <v>3</v>
      </c>
      <c r="J15" s="30" t="s">
        <v>44</v>
      </c>
      <c r="K15" s="30" t="s">
        <v>20</v>
      </c>
      <c r="L15" s="31">
        <v>205.58347900000001</v>
      </c>
      <c r="M15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5" s="37">
        <f>IF(Tabla226789[[#This Row],[Parámetro]]="Tn",Tabla226789[[#This Row],[Indicador]]*$B$6,Tabla226789[[#This Row],[Indicador]])</f>
        <v>205.58347900000001</v>
      </c>
      <c r="O15" s="36" t="str">
        <f t="shared" si="1"/>
        <v>MJ/Ha</v>
      </c>
      <c r="P15" s="33">
        <f>(Tabla226789[[#This Row],[Indicador área]]*$B$5)</f>
        <v>1286629.81247797</v>
      </c>
      <c r="Q15" s="79">
        <f>+Tabla226789[[#This Row],[Consumo energía '[MJ/año']]]/$P$9</f>
        <v>6.0136574379438076E-2</v>
      </c>
      <c r="R15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1286629.81247797</v>
      </c>
    </row>
    <row r="16" spans="1:18" x14ac:dyDescent="0.2">
      <c r="F16" s="29" t="s">
        <v>54</v>
      </c>
      <c r="G16" s="30" t="s">
        <v>46</v>
      </c>
      <c r="H16" s="30" t="s">
        <v>76</v>
      </c>
      <c r="I16" s="30" t="s">
        <v>4</v>
      </c>
      <c r="J16" s="30" t="s">
        <v>44</v>
      </c>
      <c r="K16" s="30" t="s">
        <v>20</v>
      </c>
      <c r="L16" s="31">
        <v>368.02197799999999</v>
      </c>
      <c r="M16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6" s="37">
        <f>IF(Tabla226789[[#This Row],[Parámetro]]="Tn",Tabla226789[[#This Row],[Indicador]]*$B$6,Tabla226789[[#This Row],[Indicador]])</f>
        <v>368.02197799999999</v>
      </c>
      <c r="O16" s="36" t="str">
        <f t="shared" si="1"/>
        <v>MJ/Ha</v>
      </c>
      <c r="P16" s="33">
        <f>(Tabla226789[[#This Row],[Indicador área]]*$B$5)</f>
        <v>2303239.78777454</v>
      </c>
      <c r="Q16" s="79">
        <f>+Tabla226789[[#This Row],[Consumo energía '[MJ/año']]]/$P$9</f>
        <v>0.10765252714331643</v>
      </c>
      <c r="R16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2303239.78777454</v>
      </c>
    </row>
    <row r="17" spans="1:18" x14ac:dyDescent="0.2">
      <c r="F17" s="29" t="s">
        <v>54</v>
      </c>
      <c r="G17" s="30" t="s">
        <v>14</v>
      </c>
      <c r="H17" s="30" t="s">
        <v>76</v>
      </c>
      <c r="I17" s="30" t="s">
        <v>3</v>
      </c>
      <c r="J17" s="30" t="s">
        <v>47</v>
      </c>
      <c r="K17" s="30" t="s">
        <v>20</v>
      </c>
      <c r="L17" s="31">
        <v>1336.9948609999999</v>
      </c>
      <c r="M17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7" s="37">
        <f>IF(Tabla226789[[#This Row],[Parámetro]]="Tn",Tabla226789[[#This Row],[Indicador]]*$B$6,Tabla226789[[#This Row],[Indicador]])</f>
        <v>1336.9948609999999</v>
      </c>
      <c r="O17" s="36" t="str">
        <f t="shared" si="1"/>
        <v>MJ/Ha</v>
      </c>
      <c r="P17" s="33">
        <f>(Tabla226789[[#This Row],[Indicador área]]*$B$5)</f>
        <v>8367488.7479282301</v>
      </c>
      <c r="Q17" s="79">
        <f>+Tabla226789[[#This Row],[Consumo energía '[MJ/año']]]/$P$9</f>
        <v>0.39109315249720511</v>
      </c>
      <c r="R17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8367488.7479282301</v>
      </c>
    </row>
    <row r="18" spans="1:18" x14ac:dyDescent="0.2">
      <c r="F18" s="29" t="s">
        <v>54</v>
      </c>
      <c r="G18" s="30" t="s">
        <v>15</v>
      </c>
      <c r="H18" s="30" t="s">
        <v>76</v>
      </c>
      <c r="I18" s="30" t="s">
        <v>3</v>
      </c>
      <c r="J18" s="30" t="s">
        <v>22</v>
      </c>
      <c r="K18" s="30" t="s">
        <v>20</v>
      </c>
      <c r="L18" s="31">
        <v>136.6901709</v>
      </c>
      <c r="M18" s="36" t="str">
        <f>IFERROR(RIGHT(Tabla226789[[#This Row],[Unidades indicador producción]], LEN(Tabla226789[[#This Row],[Unidades indicador producción]])-FIND("/", Tabla226789[[#This Row],[Unidades indicador producción]])), "")</f>
        <v>Ha</v>
      </c>
      <c r="N18" s="37">
        <f>IF(Tabla226789[[#This Row],[Parámetro]]="Tn",Tabla226789[[#This Row],[Indicador]]*$B$6,Tabla226789[[#This Row],[Indicador]])</f>
        <v>136.6901709</v>
      </c>
      <c r="O18" s="36" t="str">
        <f t="shared" si="1"/>
        <v>MJ/Ha</v>
      </c>
      <c r="P18" s="33">
        <f>(Tabla226789[[#This Row],[Indicador área]]*$B$5)</f>
        <v>855465.86626568704</v>
      </c>
      <c r="Q18" s="79">
        <f>+Tabla226789[[#This Row],[Consumo energía '[MJ/año']]]/$P$9</f>
        <v>3.9984140113058168E-2</v>
      </c>
      <c r="R18" s="33">
        <f>IF(Tabla226789[[#This Row],[Energético]]="Energía Eléctrica",((Tabla226789[[#This Row],[Participación]]*$D$29)/SUMIF(Tabla226789[Energético],"Energía Eléctrica",Tabla226789[Participación]))*$B$32,Tabla226789[[#This Row],[Consumo energía '[MJ/año']]])</f>
        <v>855465.86626568704</v>
      </c>
    </row>
    <row r="22" spans="1:18" x14ac:dyDescent="0.2">
      <c r="R22" s="35"/>
    </row>
    <row r="26" spans="1:18" ht="15.75" x14ac:dyDescent="0.25">
      <c r="A26" s="60" t="s">
        <v>27</v>
      </c>
      <c r="B26" s="60"/>
      <c r="C26" s="60"/>
      <c r="D26" s="60"/>
    </row>
    <row r="28" spans="1:18" x14ac:dyDescent="0.2">
      <c r="A28" s="9" t="s">
        <v>0</v>
      </c>
      <c r="B28" s="9" t="s">
        <v>31</v>
      </c>
      <c r="C28" s="9" t="s">
        <v>32</v>
      </c>
      <c r="D28" s="9" t="s">
        <v>1</v>
      </c>
    </row>
    <row r="29" spans="1:18" x14ac:dyDescent="0.2">
      <c r="A29" s="38" t="s">
        <v>2</v>
      </c>
      <c r="B29" s="24">
        <f>B8</f>
        <v>56143.686867006116</v>
      </c>
      <c r="C29" s="39">
        <f>B29/1000000</f>
        <v>5.6143686867006118E-2</v>
      </c>
      <c r="D29" s="10">
        <f>B29/$B$32</f>
        <v>2.6172659162946419E-3</v>
      </c>
    </row>
    <row r="30" spans="1:18" x14ac:dyDescent="0.2">
      <c r="A30" s="38" t="s">
        <v>3</v>
      </c>
      <c r="B30" s="23">
        <f>SUMIF(Tabla226789[Energético],A30,Tabla226789[Consumo energía '[MJ/año']])</f>
        <v>13770419.023556242</v>
      </c>
      <c r="C30" s="39">
        <f t="shared" ref="C30:C31" si="2">B30/1000000</f>
        <v>13.770419023556242</v>
      </c>
      <c r="D30" s="10">
        <f>B30/$B$32</f>
        <v>0.64193946594250428</v>
      </c>
      <c r="R30" s="35"/>
    </row>
    <row r="31" spans="1:18" x14ac:dyDescent="0.2">
      <c r="A31" s="38" t="s">
        <v>4</v>
      </c>
      <c r="B31" s="23">
        <f>SUMIF(Tabla226789[Energético],A31,Tabla226789[Consumo energía '[MJ/año']])</f>
        <v>7624710.7415654454</v>
      </c>
      <c r="C31" s="39">
        <f t="shared" si="2"/>
        <v>7.6247107415654458</v>
      </c>
      <c r="D31" s="10">
        <f>B31/$B$32</f>
        <v>0.35544326814120109</v>
      </c>
    </row>
    <row r="32" spans="1:18" x14ac:dyDescent="0.2">
      <c r="A32" s="74" t="s">
        <v>48</v>
      </c>
      <c r="B32" s="75">
        <f>SUM(B29:B31)</f>
        <v>21451273.451988693</v>
      </c>
      <c r="C32" s="75">
        <f t="shared" ref="C32:D32" si="3">SUM(C29:C31)</f>
        <v>21.451273451988694</v>
      </c>
      <c r="D32" s="77">
        <f t="shared" si="3"/>
        <v>1</v>
      </c>
    </row>
    <row r="35" spans="1:3" ht="18" x14ac:dyDescent="0.25">
      <c r="A35" s="61" t="s">
        <v>34</v>
      </c>
      <c r="B35" s="61"/>
      <c r="C35" s="61"/>
    </row>
    <row r="36" spans="1:3" x14ac:dyDescent="0.2">
      <c r="A36" s="5" t="str">
        <f>+A4</f>
        <v>Grupo Homogeneo</v>
      </c>
      <c r="B36" s="5" t="s">
        <v>28</v>
      </c>
      <c r="C36" s="5" t="s">
        <v>29</v>
      </c>
    </row>
    <row r="37" spans="1:3" x14ac:dyDescent="0.2">
      <c r="A37" s="40" t="str">
        <f>+$B$4</f>
        <v>Habichuela</v>
      </c>
      <c r="B37" s="39">
        <f>B32/B5</f>
        <v>3427.5806315623395</v>
      </c>
      <c r="C37" s="39">
        <f>B37/$B$6</f>
        <v>477.37891804489408</v>
      </c>
    </row>
    <row r="40" spans="1:3" x14ac:dyDescent="0.2">
      <c r="B40" s="20"/>
      <c r="C40" s="20"/>
    </row>
  </sheetData>
  <mergeCells count="4">
    <mergeCell ref="A3:B3"/>
    <mergeCell ref="F8:L8"/>
    <mergeCell ref="A26:D26"/>
    <mergeCell ref="A35:C35"/>
  </mergeCells>
  <phoneticPr fontId="10" type="noConversion"/>
  <dataValidations count="1">
    <dataValidation type="list" allowBlank="1" showInputMessage="1" showErrorMessage="1" sqref="A29:A31" xr:uid="{746467DF-4888-4B35-B9BA-C0A5447CED3A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9022F-AD1D-4980-A1A5-05E0F1CE9225}">
  <dimension ref="B1:D22"/>
  <sheetViews>
    <sheetView topLeftCell="A2" workbookViewId="0">
      <selection activeCell="D11" sqref="D11"/>
    </sheetView>
  </sheetViews>
  <sheetFormatPr baseColWidth="10" defaultRowHeight="12.75" x14ac:dyDescent="0.2"/>
  <cols>
    <col min="2" max="2" width="16.28515625" customWidth="1"/>
    <col min="3" max="3" width="24.5703125" customWidth="1"/>
  </cols>
  <sheetData>
    <row r="1" spans="2:4" ht="13.5" thickBot="1" x14ac:dyDescent="0.25"/>
    <row r="2" spans="2:4" ht="26.25" thickBot="1" x14ac:dyDescent="0.25">
      <c r="B2" s="11" t="s">
        <v>35</v>
      </c>
      <c r="C2" s="12" t="s">
        <v>36</v>
      </c>
    </row>
    <row r="3" spans="2:4" ht="13.5" thickBot="1" x14ac:dyDescent="0.25">
      <c r="B3" s="14">
        <v>36205</v>
      </c>
      <c r="C3" s="15">
        <v>1174995</v>
      </c>
      <c r="D3" s="16">
        <f>C3/B3</f>
        <v>32.453942825576576</v>
      </c>
    </row>
    <row r="4" spans="2:4" ht="13.5" thickBot="1" x14ac:dyDescent="0.25">
      <c r="B4" s="14">
        <v>13779</v>
      </c>
      <c r="C4" s="15">
        <v>453310</v>
      </c>
      <c r="D4" s="16">
        <f>C4/B4</f>
        <v>32.898613832643875</v>
      </c>
    </row>
    <row r="5" spans="2:4" ht="13.5" thickBot="1" x14ac:dyDescent="0.25">
      <c r="B5" s="14">
        <v>7347</v>
      </c>
      <c r="C5" s="15">
        <v>170604</v>
      </c>
      <c r="D5" s="16">
        <f t="shared" ref="D5:D8" si="0">C5/B5</f>
        <v>23.220906492445895</v>
      </c>
    </row>
    <row r="6" spans="2:4" ht="13.5" thickBot="1" x14ac:dyDescent="0.25">
      <c r="B6" s="14">
        <v>1713</v>
      </c>
      <c r="C6" s="15">
        <v>16377</v>
      </c>
      <c r="D6" s="16">
        <f t="shared" si="0"/>
        <v>9.5604203152364278</v>
      </c>
    </row>
    <row r="7" spans="2:4" ht="13.5" thickBot="1" x14ac:dyDescent="0.25">
      <c r="B7" s="14">
        <v>19853</v>
      </c>
      <c r="C7" s="15">
        <v>220920</v>
      </c>
      <c r="D7" s="16">
        <f t="shared" si="0"/>
        <v>11.127789250994812</v>
      </c>
    </row>
    <row r="8" spans="2:4" ht="13.5" thickBot="1" x14ac:dyDescent="0.25">
      <c r="B8" s="14">
        <v>4949</v>
      </c>
      <c r="C8" s="15">
        <v>71595</v>
      </c>
      <c r="D8" s="16">
        <f t="shared" si="0"/>
        <v>14.466558900788039</v>
      </c>
    </row>
    <row r="10" spans="2:4" x14ac:dyDescent="0.2">
      <c r="B10" s="13">
        <f>SUM(B3:B8)</f>
        <v>83846</v>
      </c>
      <c r="C10" s="13">
        <f>SUM(C3:C8)</f>
        <v>2107801</v>
      </c>
      <c r="D10" s="16">
        <f>C10/B10</f>
        <v>25.138957135701165</v>
      </c>
    </row>
    <row r="15" spans="2:4" ht="13.5" thickBot="1" x14ac:dyDescent="0.25"/>
    <row r="16" spans="2:4" ht="39" thickBot="1" x14ac:dyDescent="0.25">
      <c r="D16" s="11" t="s">
        <v>37</v>
      </c>
    </row>
    <row r="17" spans="4:4" ht="13.5" thickBot="1" x14ac:dyDescent="0.25">
      <c r="D17" s="17" t="s">
        <v>38</v>
      </c>
    </row>
    <row r="18" spans="4:4" ht="13.5" thickBot="1" x14ac:dyDescent="0.25">
      <c r="D18" s="17" t="s">
        <v>39</v>
      </c>
    </row>
    <row r="19" spans="4:4" ht="13.5" thickBot="1" x14ac:dyDescent="0.25">
      <c r="D19" s="17" t="s">
        <v>40</v>
      </c>
    </row>
    <row r="20" spans="4:4" ht="13.5" thickBot="1" x14ac:dyDescent="0.25">
      <c r="D20" s="17" t="s">
        <v>41</v>
      </c>
    </row>
    <row r="21" spans="4:4" ht="13.5" thickBot="1" x14ac:dyDescent="0.25">
      <c r="D21" s="17" t="s">
        <v>42</v>
      </c>
    </row>
    <row r="22" spans="4:4" ht="13.5" thickBot="1" x14ac:dyDescent="0.25">
      <c r="D22" s="1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</vt:lpstr>
      <vt:lpstr>Arveja</vt:lpstr>
      <vt:lpstr>Frijol</vt:lpstr>
      <vt:lpstr>Guandul</vt:lpstr>
      <vt:lpstr>Haba</vt:lpstr>
      <vt:lpstr>Habichuela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2024-01-23T23:39:13Z</dcterms:modified>
</cp:coreProperties>
</file>