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DCC0A26C-B0CF-4642-AC90-F6DC61035AF7}" xr6:coauthVersionLast="47" xr6:coauthVersionMax="47" xr10:uidLastSave="{00000000-0000-0000-0000-000000000000}"/>
  <bookViews>
    <workbookView xWindow="-19320" yWindow="-120" windowWidth="19440" windowHeight="15000" xr2:uid="{4F4AC0FB-F22A-4F96-AA86-2713B2BEDCFC}"/>
  </bookViews>
  <sheets>
    <sheet name="Participación" sheetId="2" r:id="rId1"/>
    <sheet name="Maderable" sheetId="1" r:id="rId2"/>
    <sheet name="NO Maderable" sheetId="3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2" l="1"/>
  <c r="M31" i="2"/>
  <c r="I31" i="2"/>
  <c r="A35" i="3"/>
  <c r="A34" i="3"/>
  <c r="M11" i="2"/>
  <c r="M13" i="2"/>
  <c r="M16" i="2"/>
  <c r="M17" i="2"/>
  <c r="M18" i="2"/>
  <c r="M19" i="2"/>
  <c r="M21" i="2"/>
  <c r="M24" i="2"/>
  <c r="M25" i="2"/>
  <c r="M26" i="2"/>
  <c r="M27" i="2"/>
  <c r="M28" i="2"/>
  <c r="M30" i="2"/>
  <c r="B5" i="1"/>
  <c r="B5" i="3"/>
  <c r="L11" i="3" l="1"/>
  <c r="L10" i="3"/>
  <c r="L9" i="3"/>
  <c r="L12" i="3"/>
  <c r="L10" i="1"/>
  <c r="L11" i="1"/>
  <c r="L12" i="1"/>
  <c r="B27" i="3" l="1"/>
  <c r="C27" i="3" s="1"/>
  <c r="L7" i="3"/>
  <c r="B28" i="3"/>
  <c r="C28" i="3" s="1"/>
  <c r="H32" i="2"/>
  <c r="K6" i="2"/>
  <c r="M6" i="2" s="1"/>
  <c r="K7" i="2"/>
  <c r="M7" i="2" s="1"/>
  <c r="K8" i="2"/>
  <c r="M8" i="2" s="1"/>
  <c r="K9" i="2"/>
  <c r="M9" i="2" s="1"/>
  <c r="K10" i="2"/>
  <c r="M10" i="2" s="1"/>
  <c r="K12" i="2"/>
  <c r="M12" i="2" s="1"/>
  <c r="K14" i="2"/>
  <c r="M14" i="2" s="1"/>
  <c r="K15" i="2"/>
  <c r="M15" i="2" s="1"/>
  <c r="K20" i="2"/>
  <c r="M20" i="2" s="1"/>
  <c r="K22" i="2"/>
  <c r="M22" i="2" s="1"/>
  <c r="K23" i="2"/>
  <c r="M23" i="2" s="1"/>
  <c r="K29" i="2"/>
  <c r="M29" i="2" s="1"/>
  <c r="A34" i="1"/>
  <c r="A35" i="1"/>
  <c r="C29" i="3" l="1"/>
  <c r="B29" i="3"/>
  <c r="K32" i="2"/>
  <c r="B35" i="3" l="1"/>
  <c r="D27" i="3"/>
  <c r="D28" i="3"/>
  <c r="L9" i="1"/>
  <c r="D29" i="3" l="1"/>
  <c r="J32" i="2"/>
  <c r="M32" i="2"/>
  <c r="L7" i="1"/>
  <c r="B27" i="1"/>
  <c r="B28" i="1"/>
  <c r="C28" i="1" l="1"/>
  <c r="B23" i="2"/>
  <c r="C27" i="1"/>
  <c r="B22" i="2"/>
  <c r="B29" i="1"/>
  <c r="B35" i="1" s="1"/>
  <c r="C29" i="1" l="1"/>
  <c r="C22" i="2"/>
  <c r="B25" i="2"/>
  <c r="C23" i="2"/>
  <c r="D28" i="1"/>
  <c r="D27" i="1"/>
  <c r="D29" i="1" s="1"/>
  <c r="D22" i="2" l="1"/>
  <c r="D24" i="2"/>
  <c r="D23" i="2"/>
  <c r="C25" i="2"/>
  <c r="D25" i="2" l="1"/>
</calcChain>
</file>

<file path=xl/sharedStrings.xml><?xml version="1.0" encoding="utf-8"?>
<sst xmlns="http://schemas.openxmlformats.org/spreadsheetml/2006/main" count="212" uniqueCount="95">
  <si>
    <t>Energetico</t>
  </si>
  <si>
    <t>Participación</t>
  </si>
  <si>
    <t>Energía Eléctrica</t>
  </si>
  <si>
    <t>ACPM</t>
  </si>
  <si>
    <t>Gasolina</t>
  </si>
  <si>
    <t>Grupo Homogéneo</t>
  </si>
  <si>
    <t>Proceso</t>
  </si>
  <si>
    <t>Energético</t>
  </si>
  <si>
    <t>Unidades indicador producción</t>
  </si>
  <si>
    <t>Indicador</t>
  </si>
  <si>
    <t>Tabla 7 y Tabla 10</t>
  </si>
  <si>
    <t>Grupo Homogeneo</t>
  </si>
  <si>
    <t>MJ/año</t>
  </si>
  <si>
    <t>TJ/año</t>
  </si>
  <si>
    <t>Tabla 9</t>
  </si>
  <si>
    <t>Producto final</t>
  </si>
  <si>
    <t>Total</t>
  </si>
  <si>
    <t>Promedio todas especies</t>
  </si>
  <si>
    <t>Otras Introducidas</t>
  </si>
  <si>
    <t>https://www.forestalmaderero.com/articulos/item/tabla-de-densidades-de-especies-maderables-del-tropico-colombiano.html</t>
  </si>
  <si>
    <t>Balso</t>
  </si>
  <si>
    <t>n.d.</t>
  </si>
  <si>
    <t>Eucalipto camaldulensis</t>
  </si>
  <si>
    <t>Otros Eucaliptos</t>
  </si>
  <si>
    <t>Otros Pinos</t>
  </si>
  <si>
    <t>Cedro</t>
  </si>
  <si>
    <t>Eucalipto globulus</t>
  </si>
  <si>
    <t>Cipres</t>
  </si>
  <si>
    <t>Ceiba</t>
  </si>
  <si>
    <t>Roble</t>
  </si>
  <si>
    <t>Eucalipto tereticornis</t>
  </si>
  <si>
    <t>https://catalogofloravalleaburra.eia.edu.co/species/110</t>
  </si>
  <si>
    <t>Nogal</t>
  </si>
  <si>
    <t>Pino oocarpa</t>
  </si>
  <si>
    <t>Pino maximinoi</t>
  </si>
  <si>
    <t>https://ecuadorforestal.org/fichas-tecnicas-de-especies-forestales/ficha-tecnica-no-10-eucalipto/#:~:text=Propiedades%20f%C3%ADsicas%20y%20mec%C3%A1nicas.%20Densidad,aparente%20%28de%20450%20a%20550%20kg%2Fm3-liviana%29</t>
  </si>
  <si>
    <t>Eucalipto urophylla</t>
  </si>
  <si>
    <t>Melina</t>
  </si>
  <si>
    <t>Otras Nativas</t>
  </si>
  <si>
    <t>Pino tecunumanii</t>
  </si>
  <si>
    <t>https://www.lopezpigueiras.com/sites/default/files/2018-04/FICHA%20TECNICA%20EUCALIPTO_0.pdf#:~:text=Densidad%20media%20797%20kg%2Fm3,Densidad%205o%20percentil%20672%20kg%2Fm</t>
  </si>
  <si>
    <t>Eucalipto Pellita</t>
  </si>
  <si>
    <t>Teca</t>
  </si>
  <si>
    <t>Eucalipto grandis</t>
  </si>
  <si>
    <t>Pinus caribaea</t>
  </si>
  <si>
    <t>Pino pátula</t>
  </si>
  <si>
    <t>https://www.miteco.gob.es/content/dam/miteco/es/biodiversidad/temas/internacional-especies-madera/1_acacia-mangium_tcm30-544074.pdf#:~:text=Descripci%C3%B3n%20de%20la,madera%20Densidad%3A%20430-550-720%20Kg%2Fm3.</t>
  </si>
  <si>
    <t>Acacia mangium</t>
  </si>
  <si>
    <t>Referencia</t>
  </si>
  <si>
    <t>Densidad [kg/m3]</t>
  </si>
  <si>
    <t>%</t>
  </si>
  <si>
    <t>Especie</t>
  </si>
  <si>
    <t>Dato de información secundaria [Tn/año]</t>
  </si>
  <si>
    <t>https://fedemaderas.org.co/boletin-forestal-2023/</t>
  </si>
  <si>
    <t>Referencia densidad</t>
  </si>
  <si>
    <t>Promedio Pinos</t>
  </si>
  <si>
    <t>Promedio Eucaliptos</t>
  </si>
  <si>
    <t>Producción [Tn/año]</t>
  </si>
  <si>
    <t>Producción registrada en diciembre 2022</t>
  </si>
  <si>
    <t>Guadua</t>
  </si>
  <si>
    <t>Se quito el Caucho ya que este es no maderable</t>
  </si>
  <si>
    <t>Volumen movilizado de madera maderable [m3]</t>
  </si>
  <si>
    <t>https://repository.ucatolica.edu.co/server/api/core/bitstreams/eff7348d-f496-4af1-9d18-957af5ae1ef5/content</t>
  </si>
  <si>
    <t>Volumen movilizado de madera NO maderable (Guadua) [m3]</t>
  </si>
  <si>
    <t>Volumen movilizado [m3]</t>
  </si>
  <si>
    <t>Maderable</t>
  </si>
  <si>
    <t>NO maderable</t>
  </si>
  <si>
    <t>Tipo</t>
  </si>
  <si>
    <t>https://sioc.minagricultura.gov.co/Guadua/Documentos/2021-03-31%20Cifras%20Sectoriales.pdf</t>
  </si>
  <si>
    <t>A su vez el área de la guadua es de 45.000 Ha para el 2018</t>
  </si>
  <si>
    <t>Etiquetas de fila</t>
  </si>
  <si>
    <t>Total general</t>
  </si>
  <si>
    <t>Suma de Volumen movilizado [m3]</t>
  </si>
  <si>
    <t>Porcentaje %</t>
  </si>
  <si>
    <t>Suma de Producción [Tn/año]</t>
  </si>
  <si>
    <t>Porcentaje (%)</t>
  </si>
  <si>
    <t>Corte de árboles</t>
  </si>
  <si>
    <t>Cosecha</t>
  </si>
  <si>
    <t>Madera sin procesar</t>
  </si>
  <si>
    <t>MJ/Tn</t>
  </si>
  <si>
    <t>Transporte interno</t>
  </si>
  <si>
    <t>Despeje de arboles</t>
  </si>
  <si>
    <t>Extracción de madera</t>
  </si>
  <si>
    <t>Suma de Hectáreas</t>
  </si>
  <si>
    <t>Corte de árboles (Maderable)</t>
  </si>
  <si>
    <t>Indicador [MJ/Tn]</t>
  </si>
  <si>
    <t>Corte de árboles (NO Maderable)</t>
  </si>
  <si>
    <t>Producción total [Tn]</t>
  </si>
  <si>
    <t>Sin embargo en dato entrevista es de 50.000 Ha</t>
  </si>
  <si>
    <t>Hectáreas sembradas</t>
  </si>
  <si>
    <t>Dato comercial por CIIU de XM [kWh/año]</t>
  </si>
  <si>
    <t>Tabla 8. Indicador producción</t>
  </si>
  <si>
    <t>Total [MJ/año]</t>
  </si>
  <si>
    <t>Consumo energía [MJ/año]</t>
  </si>
  <si>
    <t>Sector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</si>
</sst>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2" tint="-0.89999084444715716"/>
      <name val="Arial"/>
      <family val="2"/>
    </font>
    <font>
      <b/>
      <sz val="16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25A18E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3" fillId="0" borderId="1" xfId="0" applyFont="1" applyBorder="1" applyAlignment="1"/>
    <xf numFmtId="0" fontId="3" fillId="0" borderId="1" xfId="0" applyFont="1" applyBorder="1"/>
    <xf numFmtId="4" fontId="0" fillId="2" borderId="1" xfId="0" applyNumberFormat="1" applyFill="1" applyBorder="1"/>
    <xf numFmtId="0" fontId="2" fillId="6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0" fillId="2" borderId="1" xfId="0" applyFill="1" applyBorder="1" applyAlignment="1"/>
    <xf numFmtId="0" fontId="6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4" fontId="0" fillId="0" borderId="1" xfId="0" applyNumberFormat="1" applyFon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4" fontId="0" fillId="2" borderId="1" xfId="0" applyNumberFormat="1" applyFont="1" applyFill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0" fontId="7" fillId="0" borderId="0" xfId="0" applyFont="1"/>
    <xf numFmtId="2" fontId="0" fillId="2" borderId="1" xfId="0" applyNumberFormat="1" applyFill="1" applyBorder="1" applyAlignment="1">
      <alignment horizontal="center"/>
    </xf>
    <xf numFmtId="2" fontId="0" fillId="0" borderId="0" xfId="0" applyNumberFormat="1"/>
    <xf numFmtId="10" fontId="8" fillId="0" borderId="8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10" fontId="8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9" fillId="7" borderId="3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3" fontId="8" fillId="0" borderId="8" xfId="0" applyNumberFormat="1" applyFont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vertical="center"/>
    </xf>
    <xf numFmtId="0" fontId="8" fillId="2" borderId="6" xfId="0" applyFont="1" applyFill="1" applyBorder="1" applyAlignment="1">
      <alignment horizontal="left" vertical="center"/>
    </xf>
    <xf numFmtId="3" fontId="8" fillId="2" borderId="1" xfId="0" applyNumberFormat="1" applyFont="1" applyFill="1" applyBorder="1" applyAlignment="1">
      <alignment horizontal="center" vertical="center"/>
    </xf>
    <xf numFmtId="10" fontId="8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0" fontId="0" fillId="0" borderId="0" xfId="0" pivotButton="1" applyAlignment="1">
      <alignment wrapText="1"/>
    </xf>
    <xf numFmtId="0" fontId="0" fillId="0" borderId="0" xfId="0" applyAlignment="1">
      <alignment horizontal="left" wrapText="1"/>
    </xf>
    <xf numFmtId="4" fontId="0" fillId="0" borderId="0" xfId="0" applyNumberFormat="1" applyAlignment="1">
      <alignment wrapText="1"/>
    </xf>
    <xf numFmtId="10" fontId="0" fillId="0" borderId="0" xfId="0" applyNumberFormat="1" applyAlignment="1">
      <alignment wrapText="1"/>
    </xf>
    <xf numFmtId="0" fontId="0" fillId="0" borderId="1" xfId="0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3" fontId="0" fillId="0" borderId="1" xfId="1" applyNumberFormat="1" applyFont="1" applyBorder="1" applyAlignment="1">
      <alignment vertical="center"/>
    </xf>
    <xf numFmtId="2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2" borderId="1" xfId="0" applyFill="1" applyBorder="1" applyAlignment="1">
      <alignment vertical="center"/>
    </xf>
    <xf numFmtId="2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3" fontId="0" fillId="2" borderId="1" xfId="1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Font="1" applyFill="1" applyBorder="1"/>
    <xf numFmtId="0" fontId="9" fillId="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8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10" fillId="9" borderId="1" xfId="0" applyFont="1" applyFill="1" applyBorder="1" applyAlignment="1">
      <alignment horizontal="center"/>
    </xf>
    <xf numFmtId="4" fontId="10" fillId="9" borderId="1" xfId="0" applyNumberFormat="1" applyFont="1" applyFill="1" applyBorder="1" applyAlignment="1">
      <alignment horizontal="center"/>
    </xf>
    <xf numFmtId="9" fontId="10" fillId="9" borderId="1" xfId="1" applyFont="1" applyFill="1" applyBorder="1" applyAlignment="1">
      <alignment horizontal="center"/>
    </xf>
    <xf numFmtId="0" fontId="3" fillId="0" borderId="0" xfId="0" applyFont="1" applyBorder="1" applyAlignment="1">
      <alignment wrapText="1"/>
    </xf>
    <xf numFmtId="4" fontId="0" fillId="0" borderId="0" xfId="0" applyNumberFormat="1" applyFill="1" applyBorder="1"/>
    <xf numFmtId="0" fontId="3" fillId="0" borderId="0" xfId="0" applyFont="1" applyBorder="1"/>
    <xf numFmtId="0" fontId="3" fillId="9" borderId="1" xfId="0" applyFont="1" applyFill="1" applyBorder="1" applyAlignment="1">
      <alignment horizontal="center"/>
    </xf>
    <xf numFmtId="4" fontId="7" fillId="9" borderId="1" xfId="0" applyNumberFormat="1" applyFont="1" applyFill="1" applyBorder="1" applyAlignment="1">
      <alignment horizontal="center"/>
    </xf>
    <xf numFmtId="4" fontId="3" fillId="9" borderId="1" xfId="0" applyNumberFormat="1" applyFont="1" applyFill="1" applyBorder="1" applyAlignment="1">
      <alignment horizontal="center"/>
    </xf>
    <xf numFmtId="9" fontId="3" fillId="9" borderId="1" xfId="1" applyFont="1" applyFill="1" applyBorder="1" applyAlignment="1">
      <alignment horizontal="center"/>
    </xf>
    <xf numFmtId="0" fontId="5" fillId="0" borderId="0" xfId="0" applyFont="1" applyBorder="1" applyAlignment="1"/>
    <xf numFmtId="0" fontId="0" fillId="0" borderId="0" xfId="0" applyBorder="1"/>
    <xf numFmtId="0" fontId="5" fillId="0" borderId="1" xfId="0" applyFont="1" applyBorder="1" applyAlignment="1">
      <alignment horizontal="center"/>
    </xf>
    <xf numFmtId="4" fontId="4" fillId="5" borderId="0" xfId="0" applyNumberFormat="1" applyFont="1" applyFill="1" applyAlignment="1">
      <alignment horizontal="center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0" fillId="9" borderId="10" xfId="0" applyFill="1" applyBorder="1" applyAlignment="1">
      <alignment vertical="center"/>
    </xf>
    <xf numFmtId="0" fontId="8" fillId="9" borderId="9" xfId="0" applyFont="1" applyFill="1" applyBorder="1" applyAlignment="1">
      <alignment horizontal="left" vertical="center"/>
    </xf>
    <xf numFmtId="3" fontId="8" fillId="9" borderId="8" xfId="0" applyNumberFormat="1" applyFont="1" applyFill="1" applyBorder="1" applyAlignment="1">
      <alignment horizontal="center" vertical="center"/>
    </xf>
    <xf numFmtId="10" fontId="8" fillId="9" borderId="8" xfId="0" applyNumberFormat="1" applyFont="1" applyFill="1" applyBorder="1" applyAlignment="1">
      <alignment horizontal="center" vertical="center"/>
    </xf>
    <xf numFmtId="2" fontId="0" fillId="9" borderId="8" xfId="0" applyNumberFormat="1" applyFont="1" applyFill="1" applyBorder="1" applyAlignment="1">
      <alignment horizontal="center" vertical="center"/>
    </xf>
    <xf numFmtId="0" fontId="0" fillId="9" borderId="8" xfId="0" applyFont="1" applyFill="1" applyBorder="1" applyAlignment="1">
      <alignment vertical="center"/>
    </xf>
    <xf numFmtId="3" fontId="0" fillId="9" borderId="1" xfId="0" applyNumberFormat="1" applyFont="1" applyFill="1" applyBorder="1" applyAlignment="1">
      <alignment vertical="center"/>
    </xf>
  </cellXfs>
  <cellStyles count="2">
    <cellStyle name="Normal" xfId="0" builtinId="0"/>
    <cellStyle name="Porcentaje" xfId="1" builtinId="5"/>
  </cellStyles>
  <dxfs count="66">
    <dxf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9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9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2" formatCode="0.0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14" formatCode="0.00%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solid">
          <fgColor indexed="64"/>
          <bgColor theme="9" tint="0.79998168889431442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9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center" textRotation="0" indent="0" justifyLastLine="0" shrinkToFit="0" readingOrder="0"/>
    </dxf>
    <dxf>
      <border>
        <bottom style="thin">
          <color rgb="FF000000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14" formatCode="0.00%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solid">
          <fgColor indexed="64"/>
          <bgColor rgb="FF25A18E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4" formatCode="#,##0.00"/>
    </dxf>
    <dxf>
      <numFmt numFmtId="4" formatCode="#,##0.00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smoralesr" refreshedDate="45307.299459259259" createdVersion="7" refreshedVersion="7" minRefreshableVersion="3" recordCount="26" xr:uid="{B442EE80-3BB5-494C-A083-70A6737BBB37}">
  <cacheSource type="worksheet">
    <worksheetSource name="Tabla1"/>
  </cacheSource>
  <cacheFields count="9">
    <cacheField name="Tipo" numFmtId="0">
      <sharedItems count="2">
        <s v="Maderable"/>
        <s v="NO maderable"/>
      </sharedItems>
    </cacheField>
    <cacheField name="Especie" numFmtId="0">
      <sharedItems/>
    </cacheField>
    <cacheField name="Hectáreas" numFmtId="0">
      <sharedItems containsSemiMixedTypes="0" containsString="0" containsNumber="1" containsInteger="1" minValue="203" maxValue="67581"/>
    </cacheField>
    <cacheField name="%" numFmtId="10">
      <sharedItems containsString="0" containsBlank="1" containsNumber="1" minValue="4.0184651442688371E-4" maxValue="0.13377925759351345"/>
    </cacheField>
    <cacheField name="Volumen movilizado [m3]" numFmtId="3">
      <sharedItems containsSemiMixedTypes="0" containsString="0" containsNumber="1" minValue="1007.9367438159186" maxValue="672587"/>
    </cacheField>
    <cacheField name="Densidad [kg/m3]" numFmtId="2">
      <sharedItems containsSemiMixedTypes="0" containsString="0" containsNumber="1" minValue="120" maxValue="950"/>
    </cacheField>
    <cacheField name="Referencia densidad" numFmtId="0">
      <sharedItems/>
    </cacheField>
    <cacheField name="Producción [Tn/año]" numFmtId="3">
      <sharedItems containsSemiMixedTypes="0" containsString="0" containsNumber="1" minValue="589.64299513231231" maxValue="408698.16380958696"/>
    </cacheField>
    <cacheField name="Rendimiento [Tn/Ha]" numFmtId="4">
      <sharedItems containsSemiMixedTypes="0" containsString="0" containsNumber="1" minValue="0.59582467614734103" maxValue="9.082181417990820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">
  <r>
    <x v="0"/>
    <s v="Acacia mangium"/>
    <n v="67581"/>
    <n v="0.13377925759351345"/>
    <n v="335553.56198927882"/>
    <n v="566.66666666666663"/>
    <s v="https://www.miteco.gob.es/content/dam/miteco/es/biodiversidad/temas/internacional-especies-madera/1_acacia-mangium_tcm30-544074.pdf#:~:text=Descripci%C3%B3n%20de%20la,madera%20Densidad%3A%20430-550-720%20Kg%2Fm3."/>
    <n v="190147.01846059132"/>
    <n v="2.8136165262513328"/>
  </r>
  <r>
    <x v="0"/>
    <s v="Pino pátula"/>
    <n v="59336"/>
    <n v="0.11745795458144617"/>
    <n v="294615.44153232191"/>
    <n v="570"/>
    <s v="https://www.forestalmaderero.com/articulos/item/tabla-de-densidades-de-especies-maderables-del-tropico-colombiano.html"/>
    <n v="167930.80167342347"/>
    <n v="2.8301672116998695"/>
  </r>
  <r>
    <x v="0"/>
    <s v="Pinus caribaea"/>
    <n v="51174"/>
    <n v="0.10130095334621354"/>
    <n v="254089.43314303362"/>
    <n v="555"/>
    <s v="https://www.forestalmaderero.com/articulos/item/tabla-de-densidades-de-especies-maderables-del-tropico-colombiano.html"/>
    <n v="141019.63539438366"/>
    <n v="2.7556891271814528"/>
  </r>
  <r>
    <x v="0"/>
    <s v="Eucalipto grandis"/>
    <n v="42378"/>
    <n v="8.3888924080701865E-2"/>
    <n v="210415.48438143349"/>
    <n v="665"/>
    <s v="https://www.forestalmaderero.com/articulos/item/tabla-de-densidades-de-especies-maderables-del-tropico-colombiano.html"/>
    <n v="139926.29711365327"/>
    <n v="3.3018617469831817"/>
  </r>
  <r>
    <x v="0"/>
    <s v="Teca"/>
    <n v="40295"/>
    <n v="7.9765543343996451E-2"/>
    <n v="200072.96104464258"/>
    <n v="650"/>
    <s v="https://www.forestalmaderero.com/articulos/item/tabla-de-densidades-de-especies-maderables-del-tropico-colombiano.html"/>
    <n v="130047.42467901768"/>
    <n v="3.2273836624647645"/>
  </r>
  <r>
    <x v="0"/>
    <s v="Eucalipto Pellita"/>
    <n v="37168"/>
    <n v="7.3575523390238498E-2"/>
    <n v="184546.76302536979"/>
    <n v="747"/>
    <s v="https://www.lopezpigueiras.com/sites/default/files/2018-04/FICHA%20TECNICA%20EUCALIPTO_0.pdf#:~:text=Densidad%20media%20797%20kg%2Fm3,Densidad%205o%20percentil%20672%20kg%2Fm"/>
    <n v="137856.43197995122"/>
    <n v="3.7090086090171979"/>
  </r>
  <r>
    <x v="0"/>
    <s v="Pino tecunumanii"/>
    <n v="32622"/>
    <n v="6.4576536914452226E-2"/>
    <n v="161974.93821065468"/>
    <n v="610"/>
    <s v="https://www.forestalmaderero.com/articulos/item/tabla-de-densidades-de-especies-maderables-del-tropico-colombiano.html"/>
    <n v="98804.712308499351"/>
    <n v="3.028775437082317"/>
  </r>
  <r>
    <x v="0"/>
    <s v="Otras Nativas"/>
    <n v="20924"/>
    <n v="4.1419884078168052E-2"/>
    <n v="103891.96269755803"/>
    <n v="585"/>
    <s v="Promedio todas especies"/>
    <n v="60776.798178071447"/>
    <n v="2.9046452962182876"/>
  </r>
  <r>
    <x v="0"/>
    <s v="Melina"/>
    <n v="17866"/>
    <n v="3.5366452348525639E-2"/>
    <n v="88708.363867069958"/>
    <n v="495"/>
    <s v="https://www.forestalmaderero.com/articulos/item/tabla-de-densidades-de-especies-maderables-del-tropico-colombiano.html"/>
    <n v="43910.640114199632"/>
    <n v="2.4577767891077817"/>
  </r>
  <r>
    <x v="0"/>
    <s v="Eucalipto urophylla"/>
    <n v="17639"/>
    <n v="3.4917096886580304E-2"/>
    <n v="87581.262188024572"/>
    <n v="500"/>
    <s v="https://ecuadorforestal.org/fichas-tecnicas-de-especies-forestales/ficha-tecnica-no-10-eucalipto/#:~:text=Propiedades%20f%C3%ADsicas%20y%20mec%C3%A1nicas.%20Densidad,aparente%20%28de%20450%20a%20550%20kg%2Fm3-liviana%29"/>
    <n v="43790.631094012286"/>
    <n v="2.4826028172805876"/>
  </r>
  <r>
    <x v="0"/>
    <s v="Pino maximinoi"/>
    <n v="17168"/>
    <n v="3.398473379153074E-2"/>
    <n v="85242.650334146267"/>
    <n v="578.33000000000004"/>
    <s v="Promedio Pinos"/>
    <n v="49298.381967746813"/>
    <n v="2.871527374635765"/>
  </r>
  <r>
    <x v="0"/>
    <s v="Pino oocarpa"/>
    <n v="16344"/>
    <n v="3.2353593260063977E-2"/>
    <n v="81151.320891267853"/>
    <n v="578.33000000000004"/>
    <s v="Promedio Pinos"/>
    <n v="46932.24341104694"/>
    <n v="2.871527374635765"/>
  </r>
  <r>
    <x v="0"/>
    <s v="Nogal"/>
    <n v="16290"/>
    <n v="3.2246698128147469E-2"/>
    <n v="80883.199787001562"/>
    <n v="460"/>
    <s v="https://catalogofloravalleaburra.eia.edu.co/species/110"/>
    <n v="37206.271902020722"/>
    <n v="2.2839945918981415"/>
  </r>
  <r>
    <x v="0"/>
    <s v="Eucalipto tereticornis"/>
    <n v="10581"/>
    <n v="2.0945507237196338E-2"/>
    <n v="52536.8408192918"/>
    <n v="653"/>
    <s v="Promedio Eucaliptos"/>
    <n v="34306.557054997545"/>
    <n v="3.2422792793684478"/>
  </r>
  <r>
    <x v="0"/>
    <s v="Roble"/>
    <n v="10395"/>
    <n v="2.0577312893928355E-2"/>
    <n v="51613.312571263421"/>
    <n v="950"/>
    <s v="https://www.forestalmaderero.com/articulos/item/tabla-de-densidades-de-especies-maderables-del-tropico-colombiano.html"/>
    <n v="49032.646942700245"/>
    <n v="4.7169453528331164"/>
  </r>
  <r>
    <x v="0"/>
    <s v="Ceiba"/>
    <n v="10027"/>
    <n v="1.9848842365312133E-2"/>
    <n v="49786.116897744905"/>
    <n v="590"/>
    <s v="https://www.forestalmaderero.com/articulos/item/tabla-de-densidades-de-especies-maderables-del-tropico-colombiano.html"/>
    <n v="29373.808969669491"/>
    <n v="2.929471324391093"/>
  </r>
  <r>
    <x v="0"/>
    <s v="Cipres"/>
    <n v="9729"/>
    <n v="1.9258939600291389E-2"/>
    <n v="48306.485618645682"/>
    <n v="520"/>
    <s v="https://www.forestalmaderero.com/articulos/item/tabla-de-densidades-de-especies-maderables-del-tropico-colombiano.html"/>
    <n v="25119.372521695754"/>
    <n v="2.5819069299718116"/>
  </r>
  <r>
    <x v="0"/>
    <s v="Eucalipto globulus"/>
    <n v="8641"/>
    <n v="1.7105200646121685E-2"/>
    <n v="42904.341888243114"/>
    <n v="700"/>
    <s v="https://www.forestalmaderero.com/articulos/item/tabla-de-densidades-de-especies-maderables-del-tropico-colombiano.html"/>
    <n v="30033.039321770179"/>
    <n v="3.4756439441928224"/>
  </r>
  <r>
    <x v="0"/>
    <s v="Cedro"/>
    <n v="6452"/>
    <n v="1.2771988724543121E-2"/>
    <n v="32035.506754188704"/>
    <n v="500"/>
    <s v="https://www.forestalmaderero.com/articulos/item/tabla-de-densidades-de-especies-maderables-del-tropico-colombiano.html"/>
    <n v="16017.753377094352"/>
    <n v="2.4826028172805876"/>
  </r>
  <r>
    <x v="0"/>
    <s v="Otros Pinos"/>
    <n v="3394"/>
    <n v="6.7185569949007066E-3"/>
    <n v="16851.90792370063"/>
    <n v="578.33000000000004"/>
    <s v="Promedio Pinos"/>
    <n v="9745.9639095137863"/>
    <n v="2.871527374635765"/>
  </r>
  <r>
    <x v="0"/>
    <s v="Otros Eucaliptos"/>
    <n v="2849"/>
    <n v="5.63970797833592E-3"/>
    <n v="14145.870852864789"/>
    <n v="653"/>
    <s v="Promedio Eucaliptos"/>
    <n v="9237.2536669207075"/>
    <n v="3.2422792793684478"/>
  </r>
  <r>
    <x v="0"/>
    <s v="Eucalipto camaldulensis"/>
    <n v="2734"/>
    <n v="5.4120609381433501E-3"/>
    <n v="13574.872204890255"/>
    <n v="653"/>
    <s v="Promedio Eucaliptos"/>
    <n v="8864.3915497933358"/>
    <n v="3.2422792793684478"/>
  </r>
  <r>
    <x v="0"/>
    <s v="n.d."/>
    <n v="2118"/>
    <n v="4.1926646185031511E-3"/>
    <n v="10516.305534000569"/>
    <n v="585"/>
    <s v="Promedio todas especies"/>
    <n v="6152.0387373903322"/>
    <n v="2.9046452962182872"/>
  </r>
  <r>
    <x v="0"/>
    <s v="Balso"/>
    <n v="1260"/>
    <n v="2.4942197447185887E-3"/>
    <n v="6256.1590995470815"/>
    <n v="120"/>
    <s v="https://www.forestalmaderero.com/articulos/item/tabla-de-densidades-de-especies-maderables-del-tropico-colombiano.html"/>
    <n v="750.73909194564976"/>
    <n v="0.59582467614734103"/>
  </r>
  <r>
    <x v="0"/>
    <s v="Otras Introducidas"/>
    <n v="203"/>
    <n v="4.0184651442688371E-4"/>
    <n v="1007.9367438159186"/>
    <n v="585"/>
    <s v="Promedio todas especies"/>
    <n v="589.64299513231231"/>
    <n v="2.9046452962182872"/>
  </r>
  <r>
    <x v="1"/>
    <s v="Guadua"/>
    <n v="45000"/>
    <m/>
    <n v="672587"/>
    <n v="607.65100099999995"/>
    <s v="https://repository.ucatolica.edu.co/server/api/core/bitstreams/eff7348d-f496-4af1-9d18-957af5ae1ef5/content"/>
    <n v="408698.16380958696"/>
    <n v="9.082181417990820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4A64C15-F917-4475-B378-C59F6834FD37}" name="TablaDinámica2" cacheId="0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O11:Q14" firstHeaderRow="0" firstDataRow="1" firstDataCol="1"/>
  <pivotFields count="9"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dataField="1" numFmtId="3" showAll="0"/>
    <pivotField numFmtId="2" showAll="0"/>
    <pivotField showAll="0"/>
    <pivotField numFmtId="3" showAll="0"/>
    <pivotField numFmtId="4" showAll="0"/>
  </pivotFields>
  <rowFields count="1">
    <field x="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Volumen movilizado [m3]" fld="4" baseField="0" baseItem="0" numFmtId="4"/>
    <dataField name="Porcentaje %" fld="4" showDataAs="percentOfTotal" baseField="0" baseItem="0" numFmtId="10"/>
  </dataFields>
  <formats count="7">
    <format dxfId="5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50">
      <pivotArea type="all" dataOnly="0" outline="0" fieldPosition="0"/>
    </format>
    <format dxfId="49">
      <pivotArea outline="0" collapsedLevelsAreSubtotals="1" fieldPosition="0"/>
    </format>
    <format dxfId="48">
      <pivotArea field="0" type="button" dataOnly="0" labelOnly="1" outline="0" axis="axisRow" fieldPosition="0"/>
    </format>
    <format dxfId="47">
      <pivotArea dataOnly="0" labelOnly="1" fieldPosition="0">
        <references count="1">
          <reference field="0" count="0"/>
        </references>
      </pivotArea>
    </format>
    <format dxfId="46">
      <pivotArea dataOnly="0" labelOnly="1" grandRow="1" outline="0" fieldPosition="0"/>
    </format>
    <format dxfId="4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0A1ED94-3709-483B-92E8-EBCA5A6D9863}" name="TablaDinámica5" cacheId="0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O23:P26" firstHeaderRow="1" firstDataRow="1" firstDataCol="1"/>
  <pivotFields count="9">
    <pivotField axis="axisRow" showAll="0">
      <items count="3">
        <item x="0"/>
        <item x="1"/>
        <item t="default"/>
      </items>
    </pivotField>
    <pivotField showAll="0"/>
    <pivotField dataField="1" showAll="0"/>
    <pivotField showAll="0"/>
    <pivotField numFmtId="3" showAll="0"/>
    <pivotField numFmtId="2" showAll="0"/>
    <pivotField showAll="0"/>
    <pivotField numFmtId="3" showAll="0"/>
    <pivotField numFmtId="4" showAll="0"/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Suma de Hectáreas" fld="2" baseField="0" baseItem="0" numFmtId="4"/>
  </dataFields>
  <formats count="7">
    <format dxfId="58">
      <pivotArea type="all" dataOnly="0" outline="0" fieldPosition="0"/>
    </format>
    <format dxfId="57">
      <pivotArea outline="0" collapsedLevelsAreSubtotals="1" fieldPosition="0"/>
    </format>
    <format dxfId="56">
      <pivotArea field="0" type="button" dataOnly="0" labelOnly="1" outline="0" axis="axisRow" fieldPosition="0"/>
    </format>
    <format dxfId="55">
      <pivotArea dataOnly="0" labelOnly="1" fieldPosition="0">
        <references count="1">
          <reference field="0" count="0"/>
        </references>
      </pivotArea>
    </format>
    <format dxfId="54">
      <pivotArea dataOnly="0" labelOnly="1" grandRow="1" outline="0" fieldPosition="0"/>
    </format>
    <format dxfId="53">
      <pivotArea dataOnly="0" labelOnly="1" outline="0" axis="axisValues" fieldPosition="0"/>
    </format>
    <format dxfId="5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1F7E7E5-6909-4CD6-84B3-B0EFE3B5BAE0}" name="TablaDinámica4" cacheId="0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O17:Q20" firstHeaderRow="0" firstDataRow="1" firstDataCol="1"/>
  <pivotFields count="9"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numFmtId="3" showAll="0"/>
    <pivotField numFmtId="2" showAll="0"/>
    <pivotField showAll="0"/>
    <pivotField dataField="1" numFmtId="3" showAll="0"/>
    <pivotField numFmtId="4" showAll="0"/>
  </pivotFields>
  <rowFields count="1">
    <field x="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Producción [Tn/año]" fld="7" baseField="0" baseItem="0" numFmtId="4"/>
    <dataField name="Porcentaje (%)" fld="7" showDataAs="percentOfTotal" baseField="0" baseItem="0" numFmtId="10"/>
  </dataFields>
  <formats count="7">
    <format dxfId="6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4">
      <pivotArea type="all" dataOnly="0" outline="0" fieldPosition="0"/>
    </format>
    <format dxfId="63">
      <pivotArea outline="0" collapsedLevelsAreSubtotals="1" fieldPosition="0"/>
    </format>
    <format dxfId="62">
      <pivotArea field="0" type="button" dataOnly="0" labelOnly="1" outline="0" axis="axisRow" fieldPosition="0"/>
    </format>
    <format dxfId="61">
      <pivotArea dataOnly="0" labelOnly="1" fieldPosition="0">
        <references count="1">
          <reference field="0" count="0"/>
        </references>
      </pivotArea>
    </format>
    <format dxfId="60">
      <pivotArea dataOnly="0" labelOnly="1" grandRow="1" outline="0" fieldPosition="0"/>
    </format>
    <format dxfId="5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7DB8CE2-1328-406D-82E9-9C7950EFB659}" name="Tabla1" displayName="Tabla1" ref="F5:M32" totalsRowCount="1" headerRowDxfId="44" totalsRowDxfId="0" headerRowBorderDxfId="43" tableBorderDxfId="42" totalsRowBorderDxfId="41">
  <autoFilter ref="F5:M31" xr:uid="{7E59C0E4-286C-4A2A-93E3-7BACEF5E75A3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0" xr3:uid="{521B336B-F7C0-4302-9D92-A0DA383A97A5}" name="Tipo" dataDxfId="40" totalsRowDxfId="8"/>
    <tableColumn id="1" xr3:uid="{323B04EC-B69C-4583-8AC4-DC59761273A9}" name="Especie" totalsRowLabel="Total" dataDxfId="39" totalsRowDxfId="7"/>
    <tableColumn id="2" xr3:uid="{D978A61F-E9BE-40E7-A2A8-2CD730B04B69}" name="Hectáreas sembradas" totalsRowFunction="sum" dataDxfId="38" totalsRowDxfId="6"/>
    <tableColumn id="3" xr3:uid="{7F1E78C3-EAD9-4ABD-BA39-E75FD2411361}" name="%" dataDxfId="37" totalsRowDxfId="5">
      <calculatedColumnFormula>Tabla1[[#This Row],[Hectáreas sembradas]]/Tabla1[[#Totals],[Hectáreas sembradas]]</calculatedColumnFormula>
    </tableColumn>
    <tableColumn id="9" xr3:uid="{165F02A1-A086-4A87-8F09-D81DB1B384EF}" name="Volumen movilizado [m3]" totalsRowFunction="sum" dataDxfId="36" totalsRowDxfId="4"/>
    <tableColumn id="4" xr3:uid="{85F28BDD-BC3B-45EA-A582-5BAACEC16ABA}" name="Densidad [kg/m3]" totalsRowFunction="average" dataDxfId="35" totalsRowDxfId="3"/>
    <tableColumn id="5" xr3:uid="{B2380A06-8006-42B6-BC5D-6E25F7A19CCC}" name="Referencia densidad" dataDxfId="34" totalsRowDxfId="2"/>
    <tableColumn id="6" xr3:uid="{7E4AA64B-B3AA-4DE2-BDCD-4F1D00A01C4C}" name="Producción [Tn/año]" totalsRowFunction="sum" dataDxfId="33" totalsRowDxfId="1" dataCellStyle="Porcentaje">
      <calculatedColumnFormula>(Tabla1[[#This Row],[Densidad '[kg/m3']]]/1000)*Tabla1[[#This Row],[Volumen movilizado '[m3']]]</calculatedColumnFormula>
    </tableColumn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A9D08-1377-468A-AF05-D7853C9878D0}" name="Tabla2" displayName="Tabla2" ref="F8:L12" totalsRowShown="0" headerRowDxfId="32" dataDxfId="30" headerRowBorderDxfId="31" tableBorderDxfId="29" totalsRowBorderDxfId="28">
  <autoFilter ref="F8:L12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97AA7CE-2C19-4522-AFCC-2D7077ABB6B9}" name="Grupo Homogéneo" dataDxfId="27"/>
    <tableColumn id="2" xr3:uid="{B5D1F10D-371F-4B26-972F-7E20D881EF10}" name="Proceso" dataDxfId="26"/>
    <tableColumn id="3" xr3:uid="{D5C4E4C9-E4CD-42F0-B878-EAED958F5FA0}" name="Energético" dataDxfId="25"/>
    <tableColumn id="6" xr3:uid="{E8A83313-E884-4B46-BF9D-C8E060882C5F}" name="Producto final" dataDxfId="24"/>
    <tableColumn id="4" xr3:uid="{B7B5D837-72C9-44E9-A5D9-0A2D73C6B023}" name="Unidades indicador producción" dataDxfId="23"/>
    <tableColumn id="5" xr3:uid="{3CF749A7-0CC3-4EAE-8383-BA07291F80FF}" name="Indicador" dataDxfId="22"/>
    <tableColumn id="10" xr3:uid="{E16307D2-7B0D-4BEC-94C3-8D5C9401D2A7}" name="Consumo energía [MJ/año]" dataDxfId="21">
      <calculatedColumnFormula>Tabla2[[#This Row],[Indicador]]*$B$5</calculatedColumnFormula>
    </tableColumn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8F0144A-F138-4C3F-93B2-D99AF9CACFD4}" name="Tabla24" displayName="Tabla24" ref="F8:L12" totalsRowShown="0" headerRowDxfId="20" dataDxfId="18" headerRowBorderDxfId="19" tableBorderDxfId="17" totalsRowBorderDxfId="16">
  <autoFilter ref="F8:L12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FCB51975-1CFA-4895-BCC7-2EE047984EA2}" name="Grupo Homogéneo" dataDxfId="15"/>
    <tableColumn id="2" xr3:uid="{180CD3EB-5F62-4D1E-AA14-7ED7FC625088}" name="Proceso" dataDxfId="14"/>
    <tableColumn id="3" xr3:uid="{F223C655-893A-4879-8021-1C26BA282ED2}" name="Energético" dataDxfId="13"/>
    <tableColumn id="6" xr3:uid="{80F36FD0-76FC-42E3-A9FA-95C103CED418}" name="Producto final" dataDxfId="12"/>
    <tableColumn id="4" xr3:uid="{F08B3BD3-BF57-4D00-A1E7-9454207EED9B}" name="Unidades indicador producción" dataDxfId="11"/>
    <tableColumn id="5" xr3:uid="{3BFC91FE-E73E-4074-971B-CFE5DEA2156C}" name="Indicador" dataDxfId="10"/>
    <tableColumn id="10" xr3:uid="{979B50BA-7D12-4846-8F2C-18D06036716B}" name="Consumo energía [MJ/año]" dataDxfId="9">
      <calculatedColumnFormula>Tabla24[[#This Row],[Indicador]]*$B$5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table" Target="../tables/table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Q32"/>
  <sheetViews>
    <sheetView showGridLines="0" tabSelected="1" workbookViewId="0">
      <selection activeCell="A36" sqref="A36"/>
    </sheetView>
  </sheetViews>
  <sheetFormatPr baseColWidth="10" defaultRowHeight="12.75" x14ac:dyDescent="0.2"/>
  <cols>
    <col min="1" max="1" width="18" customWidth="1"/>
    <col min="2" max="2" width="12.7109375" bestFit="1" customWidth="1"/>
    <col min="5" max="5" width="24" customWidth="1"/>
    <col min="6" max="6" width="15.7109375" customWidth="1"/>
    <col min="7" max="7" width="21.140625" customWidth="1"/>
    <col min="8" max="8" width="11.7109375" bestFit="1" customWidth="1"/>
    <col min="9" max="9" width="17.28515625" customWidth="1"/>
    <col min="10" max="10" width="14.7109375" customWidth="1"/>
    <col min="11" max="11" width="11.85546875" customWidth="1"/>
    <col min="12" max="12" width="15.28515625" customWidth="1"/>
    <col min="13" max="13" width="16.5703125" customWidth="1"/>
    <col min="15" max="15" width="17.85546875" style="37" bestFit="1" customWidth="1"/>
    <col min="16" max="16" width="18.85546875" style="37" bestFit="1" customWidth="1"/>
    <col min="17" max="17" width="14" style="37" bestFit="1" customWidth="1"/>
  </cols>
  <sheetData>
    <row r="1" spans="5:17" ht="38.25" x14ac:dyDescent="0.2">
      <c r="E1" s="62" t="s">
        <v>48</v>
      </c>
      <c r="F1" s="63" t="s">
        <v>53</v>
      </c>
      <c r="G1" s="39" t="s">
        <v>61</v>
      </c>
      <c r="H1" s="40">
        <v>2508263</v>
      </c>
      <c r="J1" s="45" t="s">
        <v>48</v>
      </c>
    </row>
    <row r="2" spans="5:17" ht="51" x14ac:dyDescent="0.2">
      <c r="E2" s="62"/>
      <c r="F2" s="63"/>
      <c r="G2" s="39" t="s">
        <v>63</v>
      </c>
      <c r="H2" s="40">
        <v>672587</v>
      </c>
      <c r="I2" s="44" t="s">
        <v>69</v>
      </c>
      <c r="J2" s="46" t="s">
        <v>68</v>
      </c>
      <c r="K2" t="s">
        <v>88</v>
      </c>
    </row>
    <row r="3" spans="5:17" ht="38.25" x14ac:dyDescent="0.2">
      <c r="G3" s="37" t="s">
        <v>60</v>
      </c>
    </row>
    <row r="4" spans="5:17" x14ac:dyDescent="0.2">
      <c r="M4" t="s">
        <v>58</v>
      </c>
    </row>
    <row r="5" spans="5:17" ht="38.25" x14ac:dyDescent="0.2">
      <c r="F5" s="35" t="s">
        <v>67</v>
      </c>
      <c r="G5" s="34" t="s">
        <v>51</v>
      </c>
      <c r="H5" s="35" t="s">
        <v>89</v>
      </c>
      <c r="I5" s="35" t="s">
        <v>50</v>
      </c>
      <c r="J5" s="35" t="s">
        <v>64</v>
      </c>
      <c r="K5" s="35" t="s">
        <v>49</v>
      </c>
      <c r="L5" s="35" t="s">
        <v>54</v>
      </c>
      <c r="M5" s="36" t="s">
        <v>57</v>
      </c>
      <c r="O5"/>
      <c r="P5"/>
    </row>
    <row r="6" spans="5:17" x14ac:dyDescent="0.2">
      <c r="F6" s="51" t="s">
        <v>65</v>
      </c>
      <c r="G6" s="33" t="s">
        <v>47</v>
      </c>
      <c r="H6" s="32">
        <v>67581</v>
      </c>
      <c r="I6" s="31">
        <v>0.13377925759351345</v>
      </c>
      <c r="J6" s="32">
        <v>335553.56198927882</v>
      </c>
      <c r="K6" s="52">
        <f>+(430+550+720)/3</f>
        <v>566.66666666666663</v>
      </c>
      <c r="L6" s="51" t="s">
        <v>46</v>
      </c>
      <c r="M6" s="53">
        <f>(Tabla1[[#This Row],[Densidad '[kg/m3']]]/1000)*Tabla1[[#This Row],[Volumen movilizado '[m3']]]</f>
        <v>190147.01846059132</v>
      </c>
      <c r="O6"/>
      <c r="P6"/>
    </row>
    <row r="7" spans="5:17" x14ac:dyDescent="0.2">
      <c r="F7" s="51" t="s">
        <v>65</v>
      </c>
      <c r="G7" s="33" t="s">
        <v>45</v>
      </c>
      <c r="H7" s="32">
        <v>59336</v>
      </c>
      <c r="I7" s="31">
        <v>0.11745795458144617</v>
      </c>
      <c r="J7" s="32">
        <v>294615.44153232191</v>
      </c>
      <c r="K7" s="52">
        <f>+(460+680)/2</f>
        <v>570</v>
      </c>
      <c r="L7" s="51" t="s">
        <v>19</v>
      </c>
      <c r="M7" s="53">
        <f>(Tabla1[[#This Row],[Densidad '[kg/m3']]]/1000)*Tabla1[[#This Row],[Volumen movilizado '[m3']]]</f>
        <v>167930.80167342347</v>
      </c>
      <c r="O7"/>
      <c r="P7"/>
    </row>
    <row r="8" spans="5:17" x14ac:dyDescent="0.2">
      <c r="F8" s="51" t="s">
        <v>65</v>
      </c>
      <c r="G8" s="33" t="s">
        <v>44</v>
      </c>
      <c r="H8" s="32">
        <v>51174</v>
      </c>
      <c r="I8" s="31">
        <v>0.10130095334621354</v>
      </c>
      <c r="J8" s="32">
        <v>254089.43314303362</v>
      </c>
      <c r="K8" s="52">
        <f>+(510+600)/2</f>
        <v>555</v>
      </c>
      <c r="L8" s="51" t="s">
        <v>19</v>
      </c>
      <c r="M8" s="53">
        <f>(Tabla1[[#This Row],[Densidad '[kg/m3']]]/1000)*Tabla1[[#This Row],[Volumen movilizado '[m3']]]</f>
        <v>141019.63539438366</v>
      </c>
      <c r="O8"/>
      <c r="P8"/>
    </row>
    <row r="9" spans="5:17" x14ac:dyDescent="0.2">
      <c r="F9" s="51" t="s">
        <v>65</v>
      </c>
      <c r="G9" s="33" t="s">
        <v>43</v>
      </c>
      <c r="H9" s="32">
        <v>42378</v>
      </c>
      <c r="I9" s="31">
        <v>8.3888924080701865E-2</v>
      </c>
      <c r="J9" s="32">
        <v>210415.48438143349</v>
      </c>
      <c r="K9" s="52">
        <f>+(460+870)/2</f>
        <v>665</v>
      </c>
      <c r="L9" s="51" t="s">
        <v>19</v>
      </c>
      <c r="M9" s="53">
        <f>(Tabla1[[#This Row],[Densidad '[kg/m3']]]/1000)*Tabla1[[#This Row],[Volumen movilizado '[m3']]]</f>
        <v>139926.29711365327</v>
      </c>
    </row>
    <row r="10" spans="5:17" x14ac:dyDescent="0.2">
      <c r="F10" s="51" t="s">
        <v>65</v>
      </c>
      <c r="G10" s="33" t="s">
        <v>42</v>
      </c>
      <c r="H10" s="32">
        <v>40295</v>
      </c>
      <c r="I10" s="31">
        <v>7.9765543343996451E-2</v>
      </c>
      <c r="J10" s="32">
        <v>200072.96104464258</v>
      </c>
      <c r="K10" s="52">
        <f>+(550+750)/2</f>
        <v>650</v>
      </c>
      <c r="L10" s="51" t="s">
        <v>19</v>
      </c>
      <c r="M10" s="53">
        <f>(Tabla1[[#This Row],[Densidad '[kg/m3']]]/1000)*Tabla1[[#This Row],[Volumen movilizado '[m3']]]</f>
        <v>130047.42467901768</v>
      </c>
    </row>
    <row r="11" spans="5:17" ht="25.5" x14ac:dyDescent="0.2">
      <c r="F11" s="51" t="s">
        <v>65</v>
      </c>
      <c r="G11" s="33" t="s">
        <v>41</v>
      </c>
      <c r="H11" s="32">
        <v>37168</v>
      </c>
      <c r="I11" s="31">
        <v>7.3575523390238498E-2</v>
      </c>
      <c r="J11" s="32">
        <v>184546.76302536979</v>
      </c>
      <c r="K11" s="52">
        <v>747</v>
      </c>
      <c r="L11" s="51" t="s">
        <v>40</v>
      </c>
      <c r="M11" s="53">
        <f>(Tabla1[[#This Row],[Densidad '[kg/m3']]]/1000)*Tabla1[[#This Row],[Volumen movilizado '[m3']]]</f>
        <v>137856.43197995122</v>
      </c>
      <c r="O11" s="47" t="s">
        <v>70</v>
      </c>
      <c r="P11" s="37" t="s">
        <v>72</v>
      </c>
      <c r="Q11" s="37" t="s">
        <v>73</v>
      </c>
    </row>
    <row r="12" spans="5:17" x14ac:dyDescent="0.2">
      <c r="F12" s="51" t="s">
        <v>65</v>
      </c>
      <c r="G12" s="33" t="s">
        <v>39</v>
      </c>
      <c r="H12" s="32">
        <v>32622</v>
      </c>
      <c r="I12" s="31">
        <v>6.4576536914452226E-2</v>
      </c>
      <c r="J12" s="32">
        <v>161974.93821065468</v>
      </c>
      <c r="K12" s="52">
        <f>+(490+730)/2</f>
        <v>610</v>
      </c>
      <c r="L12" s="51" t="s">
        <v>19</v>
      </c>
      <c r="M12" s="53">
        <f>(Tabla1[[#This Row],[Densidad '[kg/m3']]]/1000)*Tabla1[[#This Row],[Volumen movilizado '[m3']]]</f>
        <v>98804.712308499351</v>
      </c>
      <c r="O12" s="48" t="s">
        <v>65</v>
      </c>
      <c r="P12" s="49">
        <v>2508263.0000000014</v>
      </c>
      <c r="Q12" s="50">
        <v>0.78855117342848624</v>
      </c>
    </row>
    <row r="13" spans="5:17" x14ac:dyDescent="0.2">
      <c r="F13" s="51" t="s">
        <v>65</v>
      </c>
      <c r="G13" s="33" t="s">
        <v>38</v>
      </c>
      <c r="H13" s="32">
        <v>20924</v>
      </c>
      <c r="I13" s="31">
        <v>4.1419884078168052E-2</v>
      </c>
      <c r="J13" s="32">
        <v>103891.96269755803</v>
      </c>
      <c r="K13" s="52">
        <v>585</v>
      </c>
      <c r="L13" s="51" t="s">
        <v>17</v>
      </c>
      <c r="M13" s="53">
        <f>(Tabla1[[#This Row],[Densidad '[kg/m3']]]/1000)*Tabla1[[#This Row],[Volumen movilizado '[m3']]]</f>
        <v>60776.798178071447</v>
      </c>
      <c r="O13" s="48" t="s">
        <v>66</v>
      </c>
      <c r="P13" s="49">
        <v>672587</v>
      </c>
      <c r="Q13" s="50">
        <v>0.21144882657151381</v>
      </c>
    </row>
    <row r="14" spans="5:17" x14ac:dyDescent="0.2">
      <c r="F14" s="51" t="s">
        <v>65</v>
      </c>
      <c r="G14" s="33" t="s">
        <v>37</v>
      </c>
      <c r="H14" s="32">
        <v>17866</v>
      </c>
      <c r="I14" s="31">
        <v>3.5366452348525639E-2</v>
      </c>
      <c r="J14" s="32">
        <v>88708.363867069958</v>
      </c>
      <c r="K14" s="52">
        <f>+(300+690)/2</f>
        <v>495</v>
      </c>
      <c r="L14" s="51" t="s">
        <v>19</v>
      </c>
      <c r="M14" s="53">
        <f>(Tabla1[[#This Row],[Densidad '[kg/m3']]]/1000)*Tabla1[[#This Row],[Volumen movilizado '[m3']]]</f>
        <v>43910.640114199632</v>
      </c>
      <c r="O14" s="48" t="s">
        <v>71</v>
      </c>
      <c r="P14" s="49">
        <v>3180850.0000000014</v>
      </c>
      <c r="Q14" s="50">
        <v>1</v>
      </c>
    </row>
    <row r="15" spans="5:17" x14ac:dyDescent="0.2">
      <c r="F15" s="51" t="s">
        <v>65</v>
      </c>
      <c r="G15" s="33" t="s">
        <v>36</v>
      </c>
      <c r="H15" s="32">
        <v>17639</v>
      </c>
      <c r="I15" s="31">
        <v>3.4917096886580304E-2</v>
      </c>
      <c r="J15" s="32">
        <v>87581.262188024572</v>
      </c>
      <c r="K15" s="52">
        <f>+(450+550)/2</f>
        <v>500</v>
      </c>
      <c r="L15" s="51" t="s">
        <v>35</v>
      </c>
      <c r="M15" s="53">
        <f>(Tabla1[[#This Row],[Densidad '[kg/m3']]]/1000)*Tabla1[[#This Row],[Volumen movilizado '[m3']]]</f>
        <v>43790.631094012286</v>
      </c>
    </row>
    <row r="16" spans="5:17" x14ac:dyDescent="0.2">
      <c r="F16" s="51" t="s">
        <v>65</v>
      </c>
      <c r="G16" s="33" t="s">
        <v>34</v>
      </c>
      <c r="H16" s="32">
        <v>17168</v>
      </c>
      <c r="I16" s="31">
        <v>3.398473379153074E-2</v>
      </c>
      <c r="J16" s="32">
        <v>85242.650334146267</v>
      </c>
      <c r="K16" s="52">
        <v>578.33000000000004</v>
      </c>
      <c r="L16" s="51" t="s">
        <v>55</v>
      </c>
      <c r="M16" s="53">
        <f>(Tabla1[[#This Row],[Densidad '[kg/m3']]]/1000)*Tabla1[[#This Row],[Volumen movilizado '[m3']]]</f>
        <v>49298.381967746813</v>
      </c>
    </row>
    <row r="17" spans="1:17" ht="25.5" x14ac:dyDescent="0.2">
      <c r="F17" s="51" t="s">
        <v>65</v>
      </c>
      <c r="G17" s="33" t="s">
        <v>33</v>
      </c>
      <c r="H17" s="32">
        <v>16344</v>
      </c>
      <c r="I17" s="31">
        <v>3.2353593260063977E-2</v>
      </c>
      <c r="J17" s="32">
        <v>81151.320891267853</v>
      </c>
      <c r="K17" s="52">
        <v>578.33000000000004</v>
      </c>
      <c r="L17" s="51" t="s">
        <v>55</v>
      </c>
      <c r="M17" s="53">
        <f>(Tabla1[[#This Row],[Densidad '[kg/m3']]]/1000)*Tabla1[[#This Row],[Volumen movilizado '[m3']]]</f>
        <v>46932.24341104694</v>
      </c>
      <c r="O17" s="47" t="s">
        <v>70</v>
      </c>
      <c r="P17" s="37" t="s">
        <v>74</v>
      </c>
      <c r="Q17" s="37" t="s">
        <v>75</v>
      </c>
    </row>
    <row r="18" spans="1:17" x14ac:dyDescent="0.2">
      <c r="F18" s="51" t="s">
        <v>65</v>
      </c>
      <c r="G18" s="33" t="s">
        <v>32</v>
      </c>
      <c r="H18" s="32">
        <v>16290</v>
      </c>
      <c r="I18" s="31">
        <v>3.2246698128147469E-2</v>
      </c>
      <c r="J18" s="32">
        <v>80883.199787001562</v>
      </c>
      <c r="K18" s="52">
        <v>460</v>
      </c>
      <c r="L18" s="51" t="s">
        <v>31</v>
      </c>
      <c r="M18" s="53">
        <f>(Tabla1[[#This Row],[Densidad '[kg/m3']]]/1000)*Tabla1[[#This Row],[Volumen movilizado '[m3']]]</f>
        <v>37206.271902020722</v>
      </c>
      <c r="O18" s="48" t="s">
        <v>65</v>
      </c>
      <c r="P18" s="49">
        <v>1506870.4964152419</v>
      </c>
      <c r="Q18" s="50">
        <v>0.78664394949872563</v>
      </c>
    </row>
    <row r="19" spans="1:17" x14ac:dyDescent="0.2">
      <c r="F19" s="51" t="s">
        <v>65</v>
      </c>
      <c r="G19" s="33" t="s">
        <v>30</v>
      </c>
      <c r="H19" s="32">
        <v>10581</v>
      </c>
      <c r="I19" s="31">
        <v>2.0945507237196338E-2</v>
      </c>
      <c r="J19" s="32">
        <v>52536.8408192918</v>
      </c>
      <c r="K19" s="52">
        <v>653</v>
      </c>
      <c r="L19" s="51" t="s">
        <v>56</v>
      </c>
      <c r="M19" s="53">
        <f>(Tabla1[[#This Row],[Densidad '[kg/m3']]]/1000)*Tabla1[[#This Row],[Volumen movilizado '[m3']]]</f>
        <v>34306.557054997545</v>
      </c>
      <c r="O19" s="48" t="s">
        <v>66</v>
      </c>
      <c r="P19" s="49">
        <v>408698.16380958696</v>
      </c>
      <c r="Q19" s="50">
        <v>0.21335605050127432</v>
      </c>
    </row>
    <row r="20" spans="1:17" ht="18" x14ac:dyDescent="0.25">
      <c r="A20" s="64" t="s">
        <v>16</v>
      </c>
      <c r="B20" s="64"/>
      <c r="C20" s="64"/>
      <c r="D20" s="64"/>
      <c r="F20" s="51" t="s">
        <v>65</v>
      </c>
      <c r="G20" s="33" t="s">
        <v>29</v>
      </c>
      <c r="H20" s="32">
        <v>10395</v>
      </c>
      <c r="I20" s="31">
        <v>2.0577312893928355E-2</v>
      </c>
      <c r="J20" s="32">
        <v>51613.312571263421</v>
      </c>
      <c r="K20" s="52">
        <f>+(900+1000)/2</f>
        <v>950</v>
      </c>
      <c r="L20" s="51" t="s">
        <v>19</v>
      </c>
      <c r="M20" s="53">
        <f>(Tabla1[[#This Row],[Densidad '[kg/m3']]]/1000)*Tabla1[[#This Row],[Volumen movilizado '[m3']]]</f>
        <v>49032.646942700245</v>
      </c>
      <c r="O20" s="48" t="s">
        <v>71</v>
      </c>
      <c r="P20" s="49">
        <v>1915568.6602248289</v>
      </c>
      <c r="Q20" s="50">
        <v>1</v>
      </c>
    </row>
    <row r="21" spans="1:17" ht="25.5" x14ac:dyDescent="0.2">
      <c r="A21" s="13" t="s">
        <v>0</v>
      </c>
      <c r="B21" s="13" t="s">
        <v>12</v>
      </c>
      <c r="C21" s="13" t="s">
        <v>13</v>
      </c>
      <c r="D21" s="13" t="s">
        <v>1</v>
      </c>
      <c r="F21" s="51" t="s">
        <v>65</v>
      </c>
      <c r="G21" s="33" t="s">
        <v>28</v>
      </c>
      <c r="H21" s="32">
        <v>10027</v>
      </c>
      <c r="I21" s="31">
        <v>1.9848842365312133E-2</v>
      </c>
      <c r="J21" s="32">
        <v>49786.116897744905</v>
      </c>
      <c r="K21" s="52">
        <v>590</v>
      </c>
      <c r="L21" s="51" t="s">
        <v>19</v>
      </c>
      <c r="M21" s="53">
        <f>(Tabla1[[#This Row],[Densidad '[kg/m3']]]/1000)*Tabla1[[#This Row],[Volumen movilizado '[m3']]]</f>
        <v>29373.808969669491</v>
      </c>
    </row>
    <row r="22" spans="1:17" x14ac:dyDescent="0.2">
      <c r="A22" s="14" t="s">
        <v>3</v>
      </c>
      <c r="B22" s="17">
        <f>+Maderable!B27+'NO Maderable'!B27</f>
        <v>34027352.46549347</v>
      </c>
      <c r="C22" s="15">
        <f>B22/1000000</f>
        <v>34.027352465493472</v>
      </c>
      <c r="D22" s="16">
        <f>B22/$B$25</f>
        <v>0.9612239228806746</v>
      </c>
      <c r="F22" s="51" t="s">
        <v>65</v>
      </c>
      <c r="G22" s="33" t="s">
        <v>27</v>
      </c>
      <c r="H22" s="32">
        <v>9729</v>
      </c>
      <c r="I22" s="31">
        <v>1.9258939600291389E-2</v>
      </c>
      <c r="J22" s="32">
        <v>48306.485618645682</v>
      </c>
      <c r="K22" s="52">
        <f>+(480+560)/2</f>
        <v>520</v>
      </c>
      <c r="L22" s="51" t="s">
        <v>19</v>
      </c>
      <c r="M22" s="53">
        <f>(Tabla1[[#This Row],[Densidad '[kg/m3']]]/1000)*Tabla1[[#This Row],[Volumen movilizado '[m3']]]</f>
        <v>25119.372521695754</v>
      </c>
    </row>
    <row r="23" spans="1:17" x14ac:dyDescent="0.2">
      <c r="A23" s="14" t="s">
        <v>4</v>
      </c>
      <c r="B23" s="17">
        <f>+Maderable!B28+'NO Maderable'!B28</f>
        <v>1372674.1625553968</v>
      </c>
      <c r="C23" s="15">
        <f>B23/1000000</f>
        <v>1.3726741625553969</v>
      </c>
      <c r="D23" s="16">
        <f>B23/$B$25</f>
        <v>3.8776077119325437E-2</v>
      </c>
      <c r="F23" s="51" t="s">
        <v>65</v>
      </c>
      <c r="G23" s="33" t="s">
        <v>26</v>
      </c>
      <c r="H23" s="32">
        <v>8641</v>
      </c>
      <c r="I23" s="31">
        <v>1.7105200646121685E-2</v>
      </c>
      <c r="J23" s="32">
        <v>42904.341888243114</v>
      </c>
      <c r="K23" s="52">
        <f>+(600+800)/2</f>
        <v>700</v>
      </c>
      <c r="L23" s="51" t="s">
        <v>19</v>
      </c>
      <c r="M23" s="53">
        <f>(Tabla1[[#This Row],[Densidad '[kg/m3']]]/1000)*Tabla1[[#This Row],[Volumen movilizado '[m3']]]</f>
        <v>30033.039321770179</v>
      </c>
      <c r="O23" s="47" t="s">
        <v>70</v>
      </c>
      <c r="P23" s="37" t="s">
        <v>83</v>
      </c>
    </row>
    <row r="24" spans="1:17" ht="25.5" x14ac:dyDescent="0.2">
      <c r="A24" s="14" t="s">
        <v>2</v>
      </c>
      <c r="B24" s="61">
        <v>451345.60538548452</v>
      </c>
      <c r="C24" s="15">
        <f>B24/1000000</f>
        <v>0.45134560538548452</v>
      </c>
      <c r="D24" s="16">
        <f>B24/$B$25</f>
        <v>1.2749866267836793E-2</v>
      </c>
      <c r="E24" s="37" t="s">
        <v>90</v>
      </c>
      <c r="F24" s="51" t="s">
        <v>65</v>
      </c>
      <c r="G24" s="33" t="s">
        <v>25</v>
      </c>
      <c r="H24" s="32">
        <v>6452</v>
      </c>
      <c r="I24" s="31">
        <v>1.2771988724543121E-2</v>
      </c>
      <c r="J24" s="32">
        <v>32035.506754188704</v>
      </c>
      <c r="K24" s="52">
        <v>500</v>
      </c>
      <c r="L24" s="51" t="s">
        <v>19</v>
      </c>
      <c r="M24" s="53">
        <f>(Tabla1[[#This Row],[Densidad '[kg/m3']]]/1000)*Tabla1[[#This Row],[Volumen movilizado '[m3']]]</f>
        <v>16017.753377094352</v>
      </c>
      <c r="O24" s="48" t="s">
        <v>65</v>
      </c>
      <c r="P24" s="49">
        <v>505168</v>
      </c>
    </row>
    <row r="25" spans="1:17" x14ac:dyDescent="0.2">
      <c r="A25" s="67" t="s">
        <v>16</v>
      </c>
      <c r="B25" s="68">
        <f>SUM(B22:B23)</f>
        <v>35400026.628048867</v>
      </c>
      <c r="C25" s="68">
        <f>SUM(C22:C23)</f>
        <v>35.40002662804887</v>
      </c>
      <c r="D25" s="69">
        <f>SUM(D22:D23)</f>
        <v>1</v>
      </c>
      <c r="F25" s="51" t="s">
        <v>65</v>
      </c>
      <c r="G25" s="33" t="s">
        <v>24</v>
      </c>
      <c r="H25" s="32">
        <v>3394</v>
      </c>
      <c r="I25" s="31">
        <v>6.7185569949007066E-3</v>
      </c>
      <c r="J25" s="32">
        <v>16851.90792370063</v>
      </c>
      <c r="K25" s="52">
        <v>578.33000000000004</v>
      </c>
      <c r="L25" s="51" t="s">
        <v>55</v>
      </c>
      <c r="M25" s="53">
        <f>(Tabla1[[#This Row],[Densidad '[kg/m3']]]/1000)*Tabla1[[#This Row],[Volumen movilizado '[m3']]]</f>
        <v>9745.9639095137863</v>
      </c>
      <c r="O25" s="48" t="s">
        <v>66</v>
      </c>
      <c r="P25" s="49">
        <v>45000</v>
      </c>
    </row>
    <row r="26" spans="1:17" x14ac:dyDescent="0.2">
      <c r="F26" s="51" t="s">
        <v>65</v>
      </c>
      <c r="G26" s="33" t="s">
        <v>23</v>
      </c>
      <c r="H26" s="32">
        <v>2849</v>
      </c>
      <c r="I26" s="31">
        <v>5.63970797833592E-3</v>
      </c>
      <c r="J26" s="32">
        <v>14145.870852864789</v>
      </c>
      <c r="K26" s="52">
        <v>653</v>
      </c>
      <c r="L26" s="51" t="s">
        <v>56</v>
      </c>
      <c r="M26" s="53">
        <f>(Tabla1[[#This Row],[Densidad '[kg/m3']]]/1000)*Tabla1[[#This Row],[Volumen movilizado '[m3']]]</f>
        <v>9237.2536669207075</v>
      </c>
      <c r="O26" s="48" t="s">
        <v>71</v>
      </c>
      <c r="P26" s="49">
        <v>550168</v>
      </c>
    </row>
    <row r="27" spans="1:17" x14ac:dyDescent="0.2">
      <c r="F27" s="51" t="s">
        <v>65</v>
      </c>
      <c r="G27" s="33" t="s">
        <v>22</v>
      </c>
      <c r="H27" s="32">
        <v>2734</v>
      </c>
      <c r="I27" s="31">
        <v>5.4120609381433501E-3</v>
      </c>
      <c r="J27" s="32">
        <v>13574.872204890255</v>
      </c>
      <c r="K27" s="52">
        <v>653</v>
      </c>
      <c r="L27" s="51" t="s">
        <v>56</v>
      </c>
      <c r="M27" s="53">
        <f>(Tabla1[[#This Row],[Densidad '[kg/m3']]]/1000)*Tabla1[[#This Row],[Volumen movilizado '[m3']]]</f>
        <v>8864.3915497933358</v>
      </c>
    </row>
    <row r="28" spans="1:17" x14ac:dyDescent="0.2">
      <c r="F28" s="51" t="s">
        <v>65</v>
      </c>
      <c r="G28" s="33" t="s">
        <v>21</v>
      </c>
      <c r="H28" s="32">
        <v>2118</v>
      </c>
      <c r="I28" s="31">
        <v>4.1926646185031511E-3</v>
      </c>
      <c r="J28" s="32">
        <v>10516.305534000569</v>
      </c>
      <c r="K28" s="52">
        <v>585</v>
      </c>
      <c r="L28" s="51" t="s">
        <v>17</v>
      </c>
      <c r="M28" s="53">
        <f>(Tabla1[[#This Row],[Densidad '[kg/m3']]]/1000)*Tabla1[[#This Row],[Volumen movilizado '[m3']]]</f>
        <v>6152.0387373903322</v>
      </c>
    </row>
    <row r="29" spans="1:17" x14ac:dyDescent="0.2">
      <c r="F29" s="51" t="s">
        <v>65</v>
      </c>
      <c r="G29" s="33" t="s">
        <v>20</v>
      </c>
      <c r="H29" s="32">
        <v>1260</v>
      </c>
      <c r="I29" s="31">
        <v>2.4942197447185887E-3</v>
      </c>
      <c r="J29" s="32">
        <v>6256.1590995470815</v>
      </c>
      <c r="K29" s="52">
        <f>+(80+160)/2</f>
        <v>120</v>
      </c>
      <c r="L29" s="51" t="s">
        <v>19</v>
      </c>
      <c r="M29" s="53">
        <f>(Tabla1[[#This Row],[Densidad '[kg/m3']]]/1000)*Tabla1[[#This Row],[Volumen movilizado '[m3']]]</f>
        <v>750.73909194564976</v>
      </c>
    </row>
    <row r="30" spans="1:17" x14ac:dyDescent="0.2">
      <c r="F30" s="51" t="s">
        <v>65</v>
      </c>
      <c r="G30" s="30" t="s">
        <v>18</v>
      </c>
      <c r="H30" s="29">
        <v>203</v>
      </c>
      <c r="I30" s="28">
        <v>4.0184651442688371E-4</v>
      </c>
      <c r="J30" s="38">
        <v>1007.9367438159186</v>
      </c>
      <c r="K30" s="54">
        <v>585</v>
      </c>
      <c r="L30" s="55" t="s">
        <v>17</v>
      </c>
      <c r="M30" s="53">
        <f>(Tabla1[[#This Row],[Densidad '[kg/m3']]]/1000)*Tabla1[[#This Row],[Volumen movilizado '[m3']]]</f>
        <v>589.64299513231231</v>
      </c>
    </row>
    <row r="31" spans="1:17" x14ac:dyDescent="0.2">
      <c r="F31" s="56" t="s">
        <v>66</v>
      </c>
      <c r="G31" s="41" t="s">
        <v>59</v>
      </c>
      <c r="H31" s="42">
        <v>50000</v>
      </c>
      <c r="I31" s="43">
        <f>2100/Tabla1[[#This Row],[Hectáreas sembradas]]</f>
        <v>4.2000000000000003E-2</v>
      </c>
      <c r="J31" s="42">
        <v>672587</v>
      </c>
      <c r="K31" s="57">
        <v>607.65100099999995</v>
      </c>
      <c r="L31" s="58" t="s">
        <v>62</v>
      </c>
      <c r="M31" s="59">
        <f>(Tabla1[[#This Row],[Densidad '[kg/m3']]]/1000)*Tabla1[[#This Row],[Volumen movilizado '[m3']]]</f>
        <v>408698.16380958696</v>
      </c>
    </row>
    <row r="32" spans="1:17" x14ac:dyDescent="0.2">
      <c r="F32" s="83"/>
      <c r="G32" s="84" t="s">
        <v>16</v>
      </c>
      <c r="H32" s="85">
        <f>SUBTOTAL(109,Tabla1[Hectáreas sembradas])</f>
        <v>555168</v>
      </c>
      <c r="I32" s="86"/>
      <c r="J32" s="85">
        <f>SUBTOTAL(109,Tabla1[Volumen movilizado '[m3']])</f>
        <v>3180850.0000000014</v>
      </c>
      <c r="K32" s="87">
        <f>SUBTOTAL(101,Tabla1[Densidad '[kg/m3']])</f>
        <v>586.74260260256403</v>
      </c>
      <c r="L32" s="88"/>
      <c r="M32" s="89">
        <f>SUBTOTAL(109,Tabla1[Producción '[Tn/año']])</f>
        <v>1915568.6602248289</v>
      </c>
    </row>
  </sheetData>
  <mergeCells count="3">
    <mergeCell ref="E1:E2"/>
    <mergeCell ref="F1:F2"/>
    <mergeCell ref="A20:D20"/>
  </mergeCells>
  <dataValidations count="1">
    <dataValidation type="list" allowBlank="1" showInputMessage="1" showErrorMessage="1" sqref="A22:A24" xr:uid="{DDE4AEE2-38AA-4EDF-89C9-5EA41820365C}">
      <formula1>$A$1:$A$11</formula1>
    </dataValidation>
  </dataValidations>
  <pageMargins left="0.7" right="0.7" top="0.75" bottom="0.75" header="0.3" footer="0.3"/>
  <pageSetup paperSize="9" orientation="portrait" r:id="rId4"/>
  <ignoredErrors>
    <ignoredError sqref="I6:I30" calculatedColumn="1"/>
  </ignoredErrors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L35"/>
  <sheetViews>
    <sheetView showGridLines="0" topLeftCell="A3" workbookViewId="0">
      <selection activeCell="C19" sqref="C19"/>
    </sheetView>
  </sheetViews>
  <sheetFormatPr baseColWidth="10" defaultRowHeight="12.75" x14ac:dyDescent="0.2"/>
  <cols>
    <col min="1" max="1" width="28.28515625" customWidth="1"/>
    <col min="2" max="2" width="24.5703125" customWidth="1"/>
    <col min="3" max="3" width="20.85546875" customWidth="1"/>
    <col min="4" max="4" width="16.42578125" customWidth="1"/>
    <col min="6" max="6" width="20.28515625" customWidth="1"/>
    <col min="7" max="7" width="24.5703125" customWidth="1"/>
    <col min="8" max="9" width="26.5703125" customWidth="1"/>
    <col min="10" max="10" width="17.7109375" bestFit="1" customWidth="1"/>
    <col min="11" max="11" width="9.5703125" bestFit="1" customWidth="1"/>
    <col min="12" max="12" width="24.5703125" customWidth="1"/>
  </cols>
  <sheetData>
    <row r="1" spans="1:12" ht="18" x14ac:dyDescent="0.25">
      <c r="A1" s="12"/>
    </row>
    <row r="3" spans="1:12" ht="20.25" x14ac:dyDescent="0.2">
      <c r="A3" s="81" t="s">
        <v>94</v>
      </c>
      <c r="B3" s="82"/>
      <c r="C3" s="3"/>
    </row>
    <row r="4" spans="1:12" x14ac:dyDescent="0.2">
      <c r="A4" s="4" t="s">
        <v>11</v>
      </c>
      <c r="B4" s="11" t="s">
        <v>84</v>
      </c>
      <c r="C4" s="3"/>
    </row>
    <row r="5" spans="1:12" x14ac:dyDescent="0.2">
      <c r="A5" s="5" t="s">
        <v>87</v>
      </c>
      <c r="B5" s="6">
        <f>+GETPIVOTDATA("Suma de Producción [Tn/año]",Participación!$O$17,"Tipo","Maderable")</f>
        <v>1506870.4964152419</v>
      </c>
      <c r="C5" s="25" t="s">
        <v>52</v>
      </c>
    </row>
    <row r="6" spans="1:12" ht="15.75" x14ac:dyDescent="0.25">
      <c r="A6" s="70"/>
      <c r="B6" s="71"/>
      <c r="C6" s="72"/>
      <c r="F6" s="65" t="s">
        <v>91</v>
      </c>
      <c r="G6" s="65"/>
      <c r="H6" s="65"/>
      <c r="I6" s="65"/>
      <c r="J6" s="65"/>
      <c r="K6" s="65"/>
      <c r="L6" s="9" t="s">
        <v>92</v>
      </c>
    </row>
    <row r="7" spans="1:12" ht="35.25" customHeight="1" x14ac:dyDescent="0.2">
      <c r="L7" s="80">
        <f>SUM(Tabla2[Consumo energía '[MJ/año']])</f>
        <v>27847216.759048417</v>
      </c>
    </row>
    <row r="8" spans="1:12" s="2" customFormat="1" ht="38.25" x14ac:dyDescent="0.2">
      <c r="F8" s="18" t="s">
        <v>5</v>
      </c>
      <c r="G8" s="19" t="s">
        <v>6</v>
      </c>
      <c r="H8" s="19" t="s">
        <v>7</v>
      </c>
      <c r="I8" s="19" t="s">
        <v>15</v>
      </c>
      <c r="J8" s="20" t="s">
        <v>8</v>
      </c>
      <c r="K8" s="19" t="s">
        <v>9</v>
      </c>
      <c r="L8" s="21" t="s">
        <v>93</v>
      </c>
    </row>
    <row r="9" spans="1:12" x14ac:dyDescent="0.2">
      <c r="F9" s="22" t="s">
        <v>76</v>
      </c>
      <c r="G9" s="23" t="s">
        <v>77</v>
      </c>
      <c r="H9" s="23" t="s">
        <v>4</v>
      </c>
      <c r="I9" s="23" t="s">
        <v>78</v>
      </c>
      <c r="J9" s="23" t="s">
        <v>79</v>
      </c>
      <c r="K9" s="26">
        <v>0.71658833799999999</v>
      </c>
      <c r="L9" s="24">
        <f>Tabla2[[#This Row],[Indicador]]*$B$5</f>
        <v>1079805.8246074331</v>
      </c>
    </row>
    <row r="10" spans="1:12" x14ac:dyDescent="0.2">
      <c r="F10" s="22" t="s">
        <v>76</v>
      </c>
      <c r="G10" s="23" t="s">
        <v>80</v>
      </c>
      <c r="H10" s="23" t="s">
        <v>3</v>
      </c>
      <c r="I10" s="23" t="s">
        <v>78</v>
      </c>
      <c r="J10" s="23" t="s">
        <v>79</v>
      </c>
      <c r="K10" s="26">
        <v>7.0999404090000002</v>
      </c>
      <c r="L10" s="24">
        <f>Tabla2[[#This Row],[Indicador]]*$B$5</f>
        <v>10698690.728628466</v>
      </c>
    </row>
    <row r="11" spans="1:12" x14ac:dyDescent="0.2">
      <c r="F11" s="22" t="s">
        <v>76</v>
      </c>
      <c r="G11" s="23" t="s">
        <v>81</v>
      </c>
      <c r="H11" s="23" t="s">
        <v>3</v>
      </c>
      <c r="I11" s="23" t="s">
        <v>78</v>
      </c>
      <c r="J11" s="23" t="s">
        <v>79</v>
      </c>
      <c r="K11" s="26">
        <v>0.54039208999999999</v>
      </c>
      <c r="L11" s="24">
        <f>Tabla2[[#This Row],[Indicador]]*$B$5</f>
        <v>814300.89691717003</v>
      </c>
    </row>
    <row r="12" spans="1:12" x14ac:dyDescent="0.2">
      <c r="F12" s="22" t="s">
        <v>76</v>
      </c>
      <c r="G12" s="23" t="s">
        <v>82</v>
      </c>
      <c r="H12" s="23" t="s">
        <v>3</v>
      </c>
      <c r="I12" s="23" t="s">
        <v>78</v>
      </c>
      <c r="J12" s="23" t="s">
        <v>79</v>
      </c>
      <c r="K12" s="26">
        <v>10.12324506</v>
      </c>
      <c r="L12" s="24">
        <f>Tabla2[[#This Row],[Indicador]]*$B$5</f>
        <v>15254419.308895346</v>
      </c>
    </row>
    <row r="24" spans="1:4" ht="15.75" x14ac:dyDescent="0.25">
      <c r="A24" s="65" t="s">
        <v>10</v>
      </c>
      <c r="B24" s="65"/>
      <c r="C24" s="65"/>
      <c r="D24" s="65"/>
    </row>
    <row r="26" spans="1:4" x14ac:dyDescent="0.2">
      <c r="A26" s="13" t="s">
        <v>0</v>
      </c>
      <c r="B26" s="13" t="s">
        <v>12</v>
      </c>
      <c r="C26" s="13" t="s">
        <v>13</v>
      </c>
      <c r="D26" s="13" t="s">
        <v>1</v>
      </c>
    </row>
    <row r="27" spans="1:4" x14ac:dyDescent="0.2">
      <c r="A27" s="14" t="s">
        <v>3</v>
      </c>
      <c r="B27" s="17">
        <f>SUMIF(Tabla2[Energético],A27,Tabla2[Consumo energía '[MJ/año']])</f>
        <v>26767410.934440982</v>
      </c>
      <c r="C27" s="15">
        <f>Maderable!$B27/1000000</f>
        <v>26.767410934440981</v>
      </c>
      <c r="D27" s="16">
        <f>B27/$B$29</f>
        <v>0.9612239228806746</v>
      </c>
    </row>
    <row r="28" spans="1:4" x14ac:dyDescent="0.2">
      <c r="A28" s="14" t="s">
        <v>4</v>
      </c>
      <c r="B28" s="17">
        <f>SUMIF(Tabla2[Energético],A28,Tabla2[Consumo energía '[MJ/año']])</f>
        <v>1079805.8246074331</v>
      </c>
      <c r="C28" s="15">
        <f>Maderable!$B28/1000000</f>
        <v>1.0798058246074331</v>
      </c>
      <c r="D28" s="16">
        <f>B28/$B$29</f>
        <v>3.8776077119325437E-2</v>
      </c>
    </row>
    <row r="29" spans="1:4" x14ac:dyDescent="0.2">
      <c r="A29" s="73" t="s">
        <v>16</v>
      </c>
      <c r="B29" s="74">
        <f>SUM(B27:B28)</f>
        <v>27847216.759048413</v>
      </c>
      <c r="C29" s="75">
        <f>SUM(C27:C28)</f>
        <v>27.847216759048415</v>
      </c>
      <c r="D29" s="76">
        <f>SUM(D27:D28)</f>
        <v>1</v>
      </c>
    </row>
    <row r="31" spans="1:4" x14ac:dyDescent="0.2">
      <c r="C31" s="27"/>
    </row>
    <row r="33" spans="1:3" ht="18" x14ac:dyDescent="0.25">
      <c r="A33" s="79" t="s">
        <v>14</v>
      </c>
      <c r="B33" s="79"/>
      <c r="C33" s="77"/>
    </row>
    <row r="34" spans="1:3" x14ac:dyDescent="0.2">
      <c r="A34" s="7" t="str">
        <f>+A4</f>
        <v>Grupo Homogeneo</v>
      </c>
      <c r="B34" s="7" t="s">
        <v>85</v>
      </c>
      <c r="C34" s="78"/>
    </row>
    <row r="35" spans="1:3" x14ac:dyDescent="0.2">
      <c r="A35" s="60" t="str">
        <f>+$B$4</f>
        <v>Corte de árboles (Maderable)</v>
      </c>
      <c r="B35" s="8">
        <f>B29/B5</f>
        <v>18.480165896999999</v>
      </c>
      <c r="C35" s="78"/>
    </row>
  </sheetData>
  <mergeCells count="4">
    <mergeCell ref="A3:B3"/>
    <mergeCell ref="A24:D24"/>
    <mergeCell ref="F6:K6"/>
    <mergeCell ref="A33:B33"/>
  </mergeCell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6025C92-C95A-4C51-AC01-1A2B533DB7BD}">
          <x14:formula1>
            <xm:f>Participación!$A$1:$A$11</xm:f>
          </x14:formula1>
          <xm:sqref>A27:A28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57680-0D38-4B70-99DC-2716EF3D4543}">
  <dimension ref="A1:L38"/>
  <sheetViews>
    <sheetView showGridLines="0" workbookViewId="0">
      <selection activeCell="A3" sqref="A3:B3"/>
    </sheetView>
  </sheetViews>
  <sheetFormatPr baseColWidth="10" defaultRowHeight="12.75" x14ac:dyDescent="0.2"/>
  <cols>
    <col min="1" max="1" width="28.28515625" customWidth="1"/>
    <col min="2" max="2" width="28.42578125" customWidth="1"/>
    <col min="3" max="3" width="20.85546875" customWidth="1"/>
    <col min="4" max="4" width="16.42578125" customWidth="1"/>
    <col min="6" max="6" width="20.28515625" customWidth="1"/>
    <col min="7" max="7" width="24.5703125" customWidth="1"/>
    <col min="8" max="9" width="26.5703125" customWidth="1"/>
    <col min="10" max="10" width="17.7109375" bestFit="1" customWidth="1"/>
    <col min="11" max="11" width="9.5703125" bestFit="1" customWidth="1"/>
    <col min="12" max="12" width="24.5703125" customWidth="1"/>
  </cols>
  <sheetData>
    <row r="1" spans="1:12" ht="18" x14ac:dyDescent="0.25">
      <c r="A1" s="12"/>
    </row>
    <row r="3" spans="1:12" ht="20.25" x14ac:dyDescent="0.2">
      <c r="A3" s="81" t="s">
        <v>94</v>
      </c>
      <c r="B3" s="82"/>
      <c r="C3" s="3"/>
    </row>
    <row r="4" spans="1:12" x14ac:dyDescent="0.2">
      <c r="A4" s="4" t="s">
        <v>11</v>
      </c>
      <c r="B4" s="11" t="s">
        <v>86</v>
      </c>
      <c r="C4" s="3"/>
    </row>
    <row r="5" spans="1:12" x14ac:dyDescent="0.2">
      <c r="A5" s="5" t="s">
        <v>87</v>
      </c>
      <c r="B5" s="6">
        <f>+GETPIVOTDATA("Suma de Producción [Tn/año]",Participación!$O$17,"Tipo","NO maderable")</f>
        <v>408698.16380958696</v>
      </c>
      <c r="C5" s="25" t="s">
        <v>52</v>
      </c>
    </row>
    <row r="6" spans="1:12" ht="15.75" x14ac:dyDescent="0.25">
      <c r="A6" s="70"/>
      <c r="B6" s="71"/>
      <c r="C6" s="1"/>
      <c r="F6" s="65" t="s">
        <v>91</v>
      </c>
      <c r="G6" s="65"/>
      <c r="H6" s="65"/>
      <c r="I6" s="65"/>
      <c r="J6" s="65"/>
      <c r="K6" s="65"/>
      <c r="L6" s="9" t="s">
        <v>92</v>
      </c>
    </row>
    <row r="7" spans="1:12" ht="35.25" customHeight="1" x14ac:dyDescent="0.2">
      <c r="L7" s="10">
        <f>SUM(Tabla24[Consumo energía '[MJ/año']])</f>
        <v>7552809.8690004488</v>
      </c>
    </row>
    <row r="8" spans="1:12" s="2" customFormat="1" ht="38.25" x14ac:dyDescent="0.2">
      <c r="F8" s="18" t="s">
        <v>5</v>
      </c>
      <c r="G8" s="19" t="s">
        <v>6</v>
      </c>
      <c r="H8" s="19" t="s">
        <v>7</v>
      </c>
      <c r="I8" s="19" t="s">
        <v>15</v>
      </c>
      <c r="J8" s="20" t="s">
        <v>8</v>
      </c>
      <c r="K8" s="19" t="s">
        <v>9</v>
      </c>
      <c r="L8" s="21" t="s">
        <v>93</v>
      </c>
    </row>
    <row r="9" spans="1:12" x14ac:dyDescent="0.2">
      <c r="F9" s="22" t="s">
        <v>76</v>
      </c>
      <c r="G9" s="23" t="s">
        <v>77</v>
      </c>
      <c r="H9" s="23" t="s">
        <v>4</v>
      </c>
      <c r="I9" s="23" t="s">
        <v>78</v>
      </c>
      <c r="J9" s="23" t="s">
        <v>79</v>
      </c>
      <c r="K9" s="26">
        <v>0.71658833799999999</v>
      </c>
      <c r="L9" s="24">
        <f>Tabla24[[#This Row],[Indicador]]*$B$5</f>
        <v>292868.33794796368</v>
      </c>
    </row>
    <row r="10" spans="1:12" x14ac:dyDescent="0.2">
      <c r="F10" s="22" t="s">
        <v>76</v>
      </c>
      <c r="G10" s="23" t="s">
        <v>80</v>
      </c>
      <c r="H10" s="23" t="s">
        <v>3</v>
      </c>
      <c r="I10" s="23" t="s">
        <v>78</v>
      </c>
      <c r="J10" s="23" t="s">
        <v>79</v>
      </c>
      <c r="K10" s="26">
        <v>7.0999404090000002</v>
      </c>
      <c r="L10" s="24">
        <f>Tabla24[[#This Row],[Indicador]]*$B$5</f>
        <v>2901732.6083157877</v>
      </c>
    </row>
    <row r="11" spans="1:12" x14ac:dyDescent="0.2">
      <c r="F11" s="22" t="s">
        <v>76</v>
      </c>
      <c r="G11" s="23" t="s">
        <v>81</v>
      </c>
      <c r="H11" s="23" t="s">
        <v>3</v>
      </c>
      <c r="I11" s="23" t="s">
        <v>78</v>
      </c>
      <c r="J11" s="23" t="s">
        <v>79</v>
      </c>
      <c r="K11" s="26">
        <v>0.54039208999999999</v>
      </c>
      <c r="L11" s="24">
        <f>Tabla24[[#This Row],[Indicador]]*$B$5</f>
        <v>220857.25492022507</v>
      </c>
    </row>
    <row r="12" spans="1:12" x14ac:dyDescent="0.2">
      <c r="F12" s="22" t="s">
        <v>76</v>
      </c>
      <c r="G12" s="23" t="s">
        <v>82</v>
      </c>
      <c r="H12" s="23" t="s">
        <v>3</v>
      </c>
      <c r="I12" s="23" t="s">
        <v>78</v>
      </c>
      <c r="J12" s="23" t="s">
        <v>79</v>
      </c>
      <c r="K12" s="26">
        <v>10.12324506</v>
      </c>
      <c r="L12" s="24">
        <f>Tabla24[[#This Row],[Indicador]]*$B$5</f>
        <v>4137351.6678164722</v>
      </c>
    </row>
    <row r="24" spans="1:4" ht="15.75" x14ac:dyDescent="0.25">
      <c r="A24" s="65" t="s">
        <v>10</v>
      </c>
      <c r="B24" s="65"/>
      <c r="C24" s="65"/>
      <c r="D24" s="65"/>
    </row>
    <row r="26" spans="1:4" x14ac:dyDescent="0.2">
      <c r="A26" s="13" t="s">
        <v>0</v>
      </c>
      <c r="B26" s="13" t="s">
        <v>12</v>
      </c>
      <c r="C26" s="13" t="s">
        <v>13</v>
      </c>
      <c r="D26" s="13" t="s">
        <v>1</v>
      </c>
    </row>
    <row r="27" spans="1:4" x14ac:dyDescent="0.2">
      <c r="A27" s="14" t="s">
        <v>3</v>
      </c>
      <c r="B27" s="17">
        <f>SUMIF(Tabla24[Energético],A27,Tabla24[Consumo energía '[MJ/año']])</f>
        <v>7259941.5310524851</v>
      </c>
      <c r="C27" s="15">
        <f>'NO Maderable'!$B27/1000000</f>
        <v>7.2599415310524851</v>
      </c>
      <c r="D27" s="16">
        <f>B27/$B$29</f>
        <v>0.9612239228806746</v>
      </c>
    </row>
    <row r="28" spans="1:4" x14ac:dyDescent="0.2">
      <c r="A28" s="14" t="s">
        <v>4</v>
      </c>
      <c r="B28" s="17">
        <f>SUMIF(Tabla24[Energético],A28,Tabla24[Consumo energía '[MJ/año']])</f>
        <v>292868.33794796368</v>
      </c>
      <c r="C28" s="15">
        <f>'NO Maderable'!$B28/1000000</f>
        <v>0.29286833794796369</v>
      </c>
      <c r="D28" s="16">
        <f>B28/$B$29</f>
        <v>3.8776077119325437E-2</v>
      </c>
    </row>
    <row r="29" spans="1:4" x14ac:dyDescent="0.2">
      <c r="A29" s="67" t="s">
        <v>16</v>
      </c>
      <c r="B29" s="68">
        <f>SUM(B27:B28)</f>
        <v>7552809.8690004488</v>
      </c>
      <c r="C29" s="68">
        <f>SUM(C27:C28)</f>
        <v>7.5528098690004484</v>
      </c>
      <c r="D29" s="69">
        <f>SUM(D27:D28)</f>
        <v>1</v>
      </c>
    </row>
    <row r="31" spans="1:4" x14ac:dyDescent="0.2">
      <c r="C31" s="27"/>
    </row>
    <row r="33" spans="1:3" ht="18" x14ac:dyDescent="0.25">
      <c r="A33" s="66" t="s">
        <v>14</v>
      </c>
      <c r="B33" s="66"/>
      <c r="C33" s="77"/>
    </row>
    <row r="34" spans="1:3" x14ac:dyDescent="0.2">
      <c r="A34" s="7" t="str">
        <f>+A4</f>
        <v>Grupo Homogeneo</v>
      </c>
      <c r="B34" s="7" t="s">
        <v>85</v>
      </c>
      <c r="C34" s="78"/>
    </row>
    <row r="35" spans="1:3" x14ac:dyDescent="0.2">
      <c r="A35" s="60" t="str">
        <f>+$B$4</f>
        <v>Corte de árboles (NO Maderable)</v>
      </c>
      <c r="B35" s="8">
        <f>B29/B5</f>
        <v>18.480165897000003</v>
      </c>
      <c r="C35" s="78"/>
    </row>
    <row r="36" spans="1:3" x14ac:dyDescent="0.2">
      <c r="C36" s="78"/>
    </row>
    <row r="37" spans="1:3" x14ac:dyDescent="0.2">
      <c r="C37" s="78"/>
    </row>
    <row r="38" spans="1:3" x14ac:dyDescent="0.2">
      <c r="C38" s="78"/>
    </row>
  </sheetData>
  <mergeCells count="4">
    <mergeCell ref="A3:B3"/>
    <mergeCell ref="F6:K6"/>
    <mergeCell ref="A24:D24"/>
    <mergeCell ref="A33:B33"/>
  </mergeCell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51FF29C-99B8-45FD-8B69-DBED1163933D}">
          <x14:formula1>
            <xm:f>Participación!$A$1:$A$11</xm:f>
          </x14:formula1>
          <xm:sqref>A27:A28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Participación</vt:lpstr>
      <vt:lpstr>Maderable</vt:lpstr>
      <vt:lpstr>NO Maderable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2024-01-24T00:13:52Z</dcterms:modified>
</cp:coreProperties>
</file>