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moralesr\Documents\1- Trabajos\3- Corpoema\2- Proyectos\8- Agroindustria\Plantillas\"/>
    </mc:Choice>
  </mc:AlternateContent>
  <xr:revisionPtr revIDLastSave="0" documentId="13_ncr:1_{D4BD8287-31C9-4B04-ABE1-333A574F3222}" xr6:coauthVersionLast="47" xr6:coauthVersionMax="47" xr10:uidLastSave="{00000000-0000-0000-0000-000000000000}"/>
  <bookViews>
    <workbookView xWindow="-19320" yWindow="-120" windowWidth="19440" windowHeight="15000" activeTab="1" xr2:uid="{4F4AC0FB-F22A-4F96-AA86-2713B2BEDCFC}"/>
  </bookViews>
  <sheets>
    <sheet name="Familiares" sheetId="1" r:id="rId1"/>
    <sheet name="Tecnificado" sheetId="3" r:id="rId2"/>
    <sheet name="Hoja2" sheetId="2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3" l="1"/>
  <c r="M15" i="1"/>
  <c r="N15" i="1" s="1"/>
  <c r="M16" i="1"/>
  <c r="N16" i="1" s="1"/>
  <c r="M17" i="1"/>
  <c r="N17" i="1"/>
  <c r="O15" i="1"/>
  <c r="O16" i="1"/>
  <c r="O17" i="1"/>
  <c r="M13" i="1"/>
  <c r="N13" i="1" s="1"/>
  <c r="M14" i="1"/>
  <c r="N14" i="1" s="1"/>
  <c r="O13" i="1"/>
  <c r="O14" i="1"/>
  <c r="B5" i="3"/>
  <c r="B5" i="1"/>
  <c r="A38" i="3"/>
  <c r="A37" i="3"/>
  <c r="O20" i="3"/>
  <c r="M20" i="3"/>
  <c r="N20" i="3" s="1"/>
  <c r="O19" i="3"/>
  <c r="M19" i="3"/>
  <c r="N19" i="3" s="1"/>
  <c r="O18" i="3"/>
  <c r="M18" i="3"/>
  <c r="N18" i="3" s="1"/>
  <c r="O17" i="3"/>
  <c r="M17" i="3"/>
  <c r="N17" i="3" s="1"/>
  <c r="O16" i="3"/>
  <c r="M16" i="3"/>
  <c r="N16" i="3" s="1"/>
  <c r="O15" i="3"/>
  <c r="M15" i="3"/>
  <c r="N15" i="3" s="1"/>
  <c r="O14" i="3"/>
  <c r="M14" i="3"/>
  <c r="N14" i="3" s="1"/>
  <c r="O13" i="3"/>
  <c r="M13" i="3"/>
  <c r="N13" i="3" s="1"/>
  <c r="O12" i="3"/>
  <c r="M12" i="3"/>
  <c r="N12" i="3" s="1"/>
  <c r="O11" i="3"/>
  <c r="M11" i="3"/>
  <c r="N11" i="3" s="1"/>
  <c r="M11" i="1"/>
  <c r="N11" i="1" s="1"/>
  <c r="M12" i="1"/>
  <c r="N12" i="1" s="1"/>
  <c r="O11" i="1"/>
  <c r="O12" i="1"/>
  <c r="A37" i="1"/>
  <c r="A38" i="1"/>
  <c r="P17" i="1" l="1"/>
  <c r="P16" i="1"/>
  <c r="P14" i="1"/>
  <c r="P15" i="1"/>
  <c r="P12" i="1"/>
  <c r="P11" i="1"/>
  <c r="P13" i="1"/>
  <c r="P11" i="3"/>
  <c r="B29" i="3" s="1"/>
  <c r="C29" i="3" s="1"/>
  <c r="P13" i="3"/>
  <c r="P15" i="3"/>
  <c r="P17" i="3"/>
  <c r="P19" i="3"/>
  <c r="B31" i="3" s="1"/>
  <c r="C31" i="3" s="1"/>
  <c r="P12" i="3"/>
  <c r="P14" i="3"/>
  <c r="P16" i="3"/>
  <c r="P18" i="3"/>
  <c r="P20" i="3"/>
  <c r="B29" i="1"/>
  <c r="B31" i="1"/>
  <c r="B49" i="1" l="1"/>
  <c r="C49" i="1" s="1"/>
  <c r="B47" i="1"/>
  <c r="C47" i="1" s="1"/>
  <c r="P9" i="3"/>
  <c r="B30" i="3"/>
  <c r="C30" i="3" s="1"/>
  <c r="C32" i="3" s="1"/>
  <c r="C29" i="1"/>
  <c r="B30" i="1"/>
  <c r="P9" i="1"/>
  <c r="C31" i="1"/>
  <c r="C30" i="1" l="1"/>
  <c r="B48" i="1"/>
  <c r="B32" i="3"/>
  <c r="D30" i="3" s="1"/>
  <c r="C32" i="1"/>
  <c r="B32" i="1"/>
  <c r="B38" i="1" s="1"/>
  <c r="C38" i="1" s="1"/>
  <c r="B38" i="3" l="1"/>
  <c r="C38" i="3" s="1"/>
  <c r="D31" i="3"/>
  <c r="C48" i="1"/>
  <c r="C45" i="1" s="1"/>
  <c r="B45" i="1"/>
  <c r="D29" i="1"/>
  <c r="D32" i="1" s="1"/>
  <c r="D29" i="3"/>
  <c r="D30" i="1"/>
  <c r="D31" i="1"/>
  <c r="D47" i="1" l="1"/>
  <c r="D49" i="1"/>
  <c r="D48" i="1"/>
</calcChain>
</file>

<file path=xl/sharedStrings.xml><?xml version="1.0" encoding="utf-8"?>
<sst xmlns="http://schemas.openxmlformats.org/spreadsheetml/2006/main" count="207" uniqueCount="70">
  <si>
    <t>Energetico</t>
  </si>
  <si>
    <t>Participación</t>
  </si>
  <si>
    <t>Energía Eléctrica</t>
  </si>
  <si>
    <t>ACPM</t>
  </si>
  <si>
    <t>Biomasa primaria</t>
  </si>
  <si>
    <t>Biomasa secundaria</t>
  </si>
  <si>
    <t>Carbón</t>
  </si>
  <si>
    <t>Gas licuado</t>
  </si>
  <si>
    <t>Gas Natural</t>
  </si>
  <si>
    <t>Gasolina</t>
  </si>
  <si>
    <t>GLP</t>
  </si>
  <si>
    <t>Kerosene</t>
  </si>
  <si>
    <t>Leña</t>
  </si>
  <si>
    <t>Área productiva total</t>
  </si>
  <si>
    <t>Rendimiento</t>
  </si>
  <si>
    <t>Consumo Eléctricidad por sector</t>
  </si>
  <si>
    <t>Grupo Homogéneo</t>
  </si>
  <si>
    <t>Proceso</t>
  </si>
  <si>
    <t>Energético</t>
  </si>
  <si>
    <t>Preparación del terreno</t>
  </si>
  <si>
    <t>Producto final</t>
  </si>
  <si>
    <t>Unidades indicador producción</t>
  </si>
  <si>
    <t>Indicador</t>
  </si>
  <si>
    <t>MJ/Ha</t>
  </si>
  <si>
    <t>Parámetro</t>
  </si>
  <si>
    <t>Indicador área</t>
  </si>
  <si>
    <t>Unidades</t>
  </si>
  <si>
    <t>Debe estar en MJ/Tn o MJ/Ha</t>
  </si>
  <si>
    <t>Tabla 7 y Tabla 10</t>
  </si>
  <si>
    <t>Indicador [MJ/Ha]</t>
  </si>
  <si>
    <t>Indicador [MJ/Tn]</t>
  </si>
  <si>
    <t>Grupo Homogeneo</t>
  </si>
  <si>
    <t>MJ/año</t>
  </si>
  <si>
    <t>TJ/año</t>
  </si>
  <si>
    <t>Tabla 9</t>
  </si>
  <si>
    <t>Dato de información secundaria [Ha]</t>
  </si>
  <si>
    <t>Mantenimiento</t>
  </si>
  <si>
    <t>Cacao</t>
  </si>
  <si>
    <t>Fertilización</t>
  </si>
  <si>
    <t>Terreno fertilizado</t>
  </si>
  <si>
    <t>Plantas podadas</t>
  </si>
  <si>
    <t>Terreno limpio</t>
  </si>
  <si>
    <t>Terreno abonado</t>
  </si>
  <si>
    <t>Postcosecha</t>
  </si>
  <si>
    <t>Grano descascarillado</t>
  </si>
  <si>
    <t>MJ/Tn</t>
  </si>
  <si>
    <t>Terreno guadañado</t>
  </si>
  <si>
    <t>Terreno perforadora para echar abono (cal dolomita)</t>
  </si>
  <si>
    <t>Terreno arado</t>
  </si>
  <si>
    <t>Transporte interno</t>
  </si>
  <si>
    <t>Transporte de cosecha</t>
  </si>
  <si>
    <t>Sin dato</t>
  </si>
  <si>
    <t>Uso final de energía</t>
  </si>
  <si>
    <t>Fuerza motriz</t>
  </si>
  <si>
    <t>Cultivos familiares</t>
  </si>
  <si>
    <t>Total</t>
  </si>
  <si>
    <t>Sector</t>
  </si>
  <si>
    <t>Cultivos tecnificados</t>
  </si>
  <si>
    <t>Item</t>
  </si>
  <si>
    <t>Área productiva total cultivos familiares</t>
  </si>
  <si>
    <t>Dato de información secundaria Tn/Ha Agronet</t>
  </si>
  <si>
    <t>Tabla 8. Indicador producción</t>
  </si>
  <si>
    <t>Dato de información secundaria [Ha] Agronet</t>
  </si>
  <si>
    <t>Fedecacao</t>
  </si>
  <si>
    <t>Referencia</t>
  </si>
  <si>
    <t>Dato comercial por CIIU de XM [kWh/año]</t>
  </si>
  <si>
    <t>Total [MJ/año]</t>
  </si>
  <si>
    <t>Consumo energía [MJ/año]</t>
  </si>
  <si>
    <t>Área productiva total [Ha]</t>
  </si>
  <si>
    <t>Distribución área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</si>
</sst>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b/>
      <sz val="14"/>
      <color theme="0"/>
      <name val="Arial"/>
      <family val="2"/>
    </font>
    <font>
      <i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 wrapText="1"/>
    </xf>
    <xf numFmtId="0" fontId="4" fillId="4" borderId="0" xfId="0" applyFont="1" applyFill="1" applyAlignment="1">
      <alignment horizontal="center" wrapText="1"/>
    </xf>
    <xf numFmtId="0" fontId="0" fillId="0" borderId="0" xfId="0" applyAlignment="1"/>
    <xf numFmtId="0" fontId="3" fillId="0" borderId="1" xfId="0" applyFont="1" applyBorder="1" applyAlignment="1"/>
    <xf numFmtId="0" fontId="3" fillId="0" borderId="1" xfId="0" applyFont="1" applyBorder="1"/>
    <xf numFmtId="4" fontId="0" fillId="2" borderId="1" xfId="0" applyNumberFormat="1" applyFill="1" applyBorder="1"/>
    <xf numFmtId="0" fontId="3" fillId="0" borderId="1" xfId="0" applyFont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6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4" fontId="0" fillId="0" borderId="1" xfId="0" applyNumberFormat="1" applyFont="1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4" fontId="0" fillId="2" borderId="1" xfId="0" applyNumberFormat="1" applyFont="1" applyFill="1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2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0" fontId="7" fillId="0" borderId="0" xfId="0" applyFont="1"/>
    <xf numFmtId="0" fontId="0" fillId="0" borderId="1" xfId="0" applyNumberFormat="1" applyFill="1" applyBorder="1" applyAlignment="1">
      <alignment horizontal="center"/>
    </xf>
    <xf numFmtId="4" fontId="0" fillId="0" borderId="0" xfId="0" applyNumberFormat="1" applyFont="1"/>
    <xf numFmtId="4" fontId="0" fillId="0" borderId="0" xfId="0" applyNumberFormat="1"/>
    <xf numFmtId="0" fontId="3" fillId="0" borderId="0" xfId="0" applyFont="1" applyBorder="1" applyAlignment="1">
      <alignment wrapText="1"/>
    </xf>
    <xf numFmtId="4" fontId="0" fillId="0" borderId="0" xfId="0" applyNumberFormat="1" applyFill="1" applyBorder="1"/>
    <xf numFmtId="9" fontId="0" fillId="0" borderId="1" xfId="1" applyFont="1" applyBorder="1"/>
    <xf numFmtId="0" fontId="3" fillId="0" borderId="0" xfId="0" applyFont="1" applyBorder="1"/>
    <xf numFmtId="0" fontId="0" fillId="0" borderId="0" xfId="0" applyBorder="1"/>
    <xf numFmtId="9" fontId="0" fillId="0" borderId="1" xfId="0" applyNumberFormat="1" applyBorder="1"/>
    <xf numFmtId="0" fontId="3" fillId="7" borderId="1" xfId="0" applyFont="1" applyFill="1" applyBorder="1" applyAlignment="1">
      <alignment horizontal="center"/>
    </xf>
    <xf numFmtId="4" fontId="3" fillId="7" borderId="1" xfId="0" applyNumberFormat="1" applyFont="1" applyFill="1" applyBorder="1" applyAlignment="1">
      <alignment horizontal="center"/>
    </xf>
    <xf numFmtId="10" fontId="3" fillId="7" borderId="1" xfId="0" applyNumberFormat="1" applyFont="1" applyFill="1" applyBorder="1" applyAlignment="1">
      <alignment horizontal="center"/>
    </xf>
    <xf numFmtId="0" fontId="9" fillId="0" borderId="0" xfId="0" applyFont="1"/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4" fontId="4" fillId="5" borderId="0" xfId="0" applyNumberFormat="1" applyFont="1" applyFill="1" applyAlignment="1">
      <alignment horizontal="center" vertical="center"/>
    </xf>
  </cellXfs>
  <cellStyles count="2">
    <cellStyle name="Normal" xfId="0" builtinId="0"/>
    <cellStyle name="Porcentaje" xfId="1" builtinId="5"/>
  </cellStyles>
  <dxfs count="32">
    <dxf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center" textRotation="0" indent="0" justifyLastLine="0" shrinkToFit="0" readingOrder="0"/>
    </dxf>
    <dxf>
      <border>
        <bottom style="thin">
          <color rgb="FF000000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5A9D08-1377-468A-AF05-D7853C9878D0}" name="Tabla2" displayName="Tabla2" ref="F10:P17" totalsRowShown="0" headerRowDxfId="31" dataDxfId="29" headerRowBorderDxfId="30" tableBorderDxfId="28" totalsRowBorderDxfId="27">
  <autoFilter ref="F10:P17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097AA7CE-2C19-4522-AFCC-2D7077ABB6B9}" name="Grupo Homogéneo" dataDxfId="26"/>
    <tableColumn id="2" xr3:uid="{B5D1F10D-371F-4B26-972F-7E20D881EF10}" name="Proceso" dataDxfId="25"/>
    <tableColumn id="11" xr3:uid="{CA1D7E1D-66B9-4E01-8529-71836E7439B3}" name="Uso final de energía" dataDxfId="24"/>
    <tableColumn id="3" xr3:uid="{D5C4E4C9-E4CD-42F0-B878-EAED958F5FA0}" name="Energético" dataDxfId="23"/>
    <tableColumn id="4" xr3:uid="{B7B5D837-72C9-44E9-A5D9-0A2D73C6B023}" name="Producto final" dataDxfId="22"/>
    <tableColumn id="5" xr3:uid="{3CF749A7-0CC3-4EAE-8383-BA07291F80FF}" name="Unidades indicador producción" dataDxfId="21"/>
    <tableColumn id="6" xr3:uid="{380EDCBC-1202-4CB0-B868-AB32DBAE2810}" name="Indicador" dataDxfId="20"/>
    <tableColumn id="7" xr3:uid="{F7C4E07E-D41C-4EB3-84F4-91947724497C}" name="Parámetro" dataDxfId="19">
      <calculatedColumnFormula>IFERROR(RIGHT(Tabla2[[#This Row],[Unidades indicador producción]], LEN(Tabla2[[#This Row],[Unidades indicador producción]])-FIND("/", Tabla2[[#This Row],[Unidades indicador producción]])), "")</calculatedColumnFormula>
    </tableColumn>
    <tableColumn id="8" xr3:uid="{0FF27519-F70B-45F1-A622-B58EACF1F88B}" name="Indicador área" dataDxfId="18">
      <calculatedColumnFormula>IF(Tabla2[[#This Row],[Parámetro]]="Tn",Tabla2[[#This Row],[Indicador]]*$B$6,Tabla2[[#This Row],[Indicador]])</calculatedColumnFormula>
    </tableColumn>
    <tableColumn id="9" xr3:uid="{3AD82B07-3885-48D4-987A-DBF40EFD0198}" name="Unidades" dataDxfId="17">
      <calculatedColumnFormula>"MJ/Ha"</calculatedColumnFormula>
    </tableColumn>
    <tableColumn id="10" xr3:uid="{E16307D2-7B0D-4BEC-94C3-8D5C9401D2A7}" name="Consumo energía [MJ/año]" dataDxfId="16">
      <calculatedColumnFormula>(Tabla2[[#This Row],[Indicador área]]*$B$5)</calculatedColumnFormula>
    </tableColumn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C95AB89-5C8C-47BE-846D-CDAC5E6B39C1}" name="Tabla22" displayName="Tabla22" ref="F10:P20" totalsRowShown="0" headerRowDxfId="15" dataDxfId="13" headerRowBorderDxfId="14" tableBorderDxfId="12" totalsRowBorderDxfId="11">
  <autoFilter ref="F10:P20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7DFDD8F1-D0A1-46D0-841F-04C4A521200A}" name="Grupo Homogéneo" dataDxfId="10"/>
    <tableColumn id="2" xr3:uid="{699E397A-FAF1-433A-8613-2B3527933F1A}" name="Proceso" dataDxfId="9"/>
    <tableColumn id="11" xr3:uid="{5FE08BDC-1A5A-4758-AFDC-C630633638CD}" name="Uso final de energía" dataDxfId="8"/>
    <tableColumn id="3" xr3:uid="{D27C0805-B71D-41F4-84CE-FF6D06A564DE}" name="Energético" dataDxfId="7"/>
    <tableColumn id="4" xr3:uid="{596B98A3-57B1-492B-8FA2-B6764D6CD076}" name="Producto final" dataDxfId="6"/>
    <tableColumn id="5" xr3:uid="{143A123E-5D47-41FF-BF37-E4959742642D}" name="Unidades indicador producción" dataDxfId="5"/>
    <tableColumn id="6" xr3:uid="{36D93652-1FBB-4181-968A-94F4AC083835}" name="Indicador" dataDxfId="4"/>
    <tableColumn id="7" xr3:uid="{5C959032-2C9D-48D4-87D8-E6E24B14C0D0}" name="Parámetro" dataDxfId="3">
      <calculatedColumnFormula>IFERROR(RIGHT(Tabla22[[#This Row],[Unidades indicador producción]], LEN(Tabla22[[#This Row],[Unidades indicador producción]])-FIND("/", Tabla22[[#This Row],[Unidades indicador producción]])), "")</calculatedColumnFormula>
    </tableColumn>
    <tableColumn id="8" xr3:uid="{224F8112-85CB-42BD-A4C5-EAAD1E51FCE9}" name="Indicador área" dataDxfId="2">
      <calculatedColumnFormula>IF(Tabla22[[#This Row],[Parámetro]]="Tn",Tabla22[[#This Row],[Indicador]]*$B$6,Tabla22[[#This Row],[Indicador]])</calculatedColumnFormula>
    </tableColumn>
    <tableColumn id="9" xr3:uid="{9B45FF97-FEC5-44F7-8564-2B7C879CFF96}" name="Unidades" dataDxfId="1">
      <calculatedColumnFormula>"MJ/Ha"</calculatedColumnFormula>
    </tableColumn>
    <tableColumn id="10" xr3:uid="{85371AFE-B437-4C80-AA8A-212062BD93E4}" name="Consumo energía [MJ/año]" dataDxfId="0">
      <calculatedColumnFormula>(Tabla22[[#This Row],[Indicador área]]*$B$5)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87B94-0509-445A-B37A-7AD68697CF57}">
  <dimension ref="A1:P49"/>
  <sheetViews>
    <sheetView showGridLines="0" workbookViewId="0">
      <selection activeCell="A19" sqref="A19"/>
    </sheetView>
  </sheetViews>
  <sheetFormatPr baseColWidth="10" defaultRowHeight="12.75" x14ac:dyDescent="0.2"/>
  <cols>
    <col min="1" max="1" width="28.28515625" customWidth="1"/>
    <col min="2" max="4" width="16.42578125" customWidth="1"/>
    <col min="6" max="6" width="20.28515625" customWidth="1"/>
    <col min="7" max="8" width="24.5703125" customWidth="1"/>
    <col min="9" max="9" width="26.5703125" customWidth="1"/>
    <col min="10" max="10" width="17.7109375" bestFit="1" customWidth="1"/>
    <col min="11" max="11" width="19.7109375" customWidth="1"/>
    <col min="12" max="12" width="11.7109375" customWidth="1"/>
    <col min="14" max="14" width="15" customWidth="1"/>
    <col min="16" max="16" width="24.5703125" customWidth="1"/>
  </cols>
  <sheetData>
    <row r="1" spans="1:16" ht="18" x14ac:dyDescent="0.25">
      <c r="A1" s="14"/>
    </row>
    <row r="3" spans="1:16" ht="18" x14ac:dyDescent="0.2">
      <c r="A3" s="46" t="s">
        <v>56</v>
      </c>
      <c r="B3" s="47"/>
      <c r="C3" s="4"/>
    </row>
    <row r="4" spans="1:16" x14ac:dyDescent="0.2">
      <c r="A4" s="5" t="s">
        <v>31</v>
      </c>
      <c r="B4" s="25" t="s">
        <v>37</v>
      </c>
      <c r="C4" s="4"/>
    </row>
    <row r="5" spans="1:16" ht="25.5" x14ac:dyDescent="0.2">
      <c r="A5" s="8" t="s">
        <v>59</v>
      </c>
      <c r="B5" s="7">
        <f>+B10*B15</f>
        <v>165263.79999999999</v>
      </c>
      <c r="C5" s="30" t="s">
        <v>35</v>
      </c>
    </row>
    <row r="6" spans="1:16" x14ac:dyDescent="0.2">
      <c r="A6" s="6" t="s">
        <v>14</v>
      </c>
      <c r="B6" s="7">
        <v>0.46</v>
      </c>
      <c r="C6" s="30" t="s">
        <v>60</v>
      </c>
    </row>
    <row r="7" spans="1:16" ht="25.5" x14ac:dyDescent="0.2">
      <c r="A7" s="8" t="s">
        <v>15</v>
      </c>
      <c r="B7" s="7" t="s">
        <v>51</v>
      </c>
      <c r="C7" s="30" t="s">
        <v>65</v>
      </c>
    </row>
    <row r="8" spans="1:16" ht="15.75" x14ac:dyDescent="0.25">
      <c r="A8" s="34"/>
      <c r="B8" s="35"/>
      <c r="C8" s="1"/>
      <c r="F8" s="44" t="s">
        <v>61</v>
      </c>
      <c r="G8" s="44"/>
      <c r="H8" s="44"/>
      <c r="I8" s="44"/>
      <c r="J8" s="44"/>
      <c r="K8" s="44"/>
      <c r="L8" s="44"/>
      <c r="P8" s="12" t="s">
        <v>66</v>
      </c>
    </row>
    <row r="9" spans="1:16" ht="35.25" customHeight="1" x14ac:dyDescent="0.25">
      <c r="K9" s="3" t="s">
        <v>27</v>
      </c>
      <c r="P9" s="50">
        <f>SUM(Tabla2[Consumo energía '[MJ/año']])</f>
        <v>313575404.39591312</v>
      </c>
    </row>
    <row r="10" spans="1:16" s="2" customFormat="1" ht="25.5" x14ac:dyDescent="0.2">
      <c r="A10" s="6" t="s">
        <v>68</v>
      </c>
      <c r="B10" s="7">
        <v>194428</v>
      </c>
      <c r="F10" s="20" t="s">
        <v>16</v>
      </c>
      <c r="G10" s="21" t="s">
        <v>17</v>
      </c>
      <c r="H10" s="21" t="s">
        <v>52</v>
      </c>
      <c r="I10" s="21" t="s">
        <v>18</v>
      </c>
      <c r="J10" s="21" t="s">
        <v>20</v>
      </c>
      <c r="K10" s="22" t="s">
        <v>21</v>
      </c>
      <c r="L10" s="21" t="s">
        <v>22</v>
      </c>
      <c r="M10" s="21" t="s">
        <v>24</v>
      </c>
      <c r="N10" s="21" t="s">
        <v>25</v>
      </c>
      <c r="O10" s="21" t="s">
        <v>26</v>
      </c>
      <c r="P10" s="23" t="s">
        <v>67</v>
      </c>
    </row>
    <row r="11" spans="1:16" x14ac:dyDescent="0.2">
      <c r="F11" s="24" t="s">
        <v>37</v>
      </c>
      <c r="G11" s="25" t="s">
        <v>36</v>
      </c>
      <c r="H11" s="25" t="s">
        <v>53</v>
      </c>
      <c r="I11" s="25" t="s">
        <v>9</v>
      </c>
      <c r="J11" s="25" t="s">
        <v>41</v>
      </c>
      <c r="K11" s="25" t="s">
        <v>23</v>
      </c>
      <c r="L11" s="26">
        <v>515.23076920000005</v>
      </c>
      <c r="M11" s="31" t="str">
        <f>IFERROR(RIGHT(Tabla2[[#This Row],[Unidades indicador producción]], LEN(Tabla2[[#This Row],[Unidades indicador producción]])-FIND("/", Tabla2[[#This Row],[Unidades indicador producción]])), "")</f>
        <v>Ha</v>
      </c>
      <c r="N11" s="28">
        <f>IF(Tabla2[[#This Row],[Parámetro]]="Tn",Tabla2[[#This Row],[Indicador]]*$B$6,Tabla2[[#This Row],[Indicador]])</f>
        <v>515.23076920000005</v>
      </c>
      <c r="O11" s="31" t="str">
        <f t="shared" ref="O11:O12" si="0">"MJ/Ha"</f>
        <v>MJ/Ha</v>
      </c>
      <c r="P11" s="29">
        <f>(Tabla2[[#This Row],[Indicador área]]*$B$5)</f>
        <v>85148994.794914961</v>
      </c>
    </row>
    <row r="12" spans="1:16" x14ac:dyDescent="0.2">
      <c r="F12" s="24" t="s">
        <v>37</v>
      </c>
      <c r="G12" s="25" t="s">
        <v>36</v>
      </c>
      <c r="H12" s="25" t="s">
        <v>53</v>
      </c>
      <c r="I12" s="25" t="s">
        <v>9</v>
      </c>
      <c r="J12" s="25" t="s">
        <v>42</v>
      </c>
      <c r="K12" s="25" t="s">
        <v>23</v>
      </c>
      <c r="L12" s="26">
        <v>515.23076920000005</v>
      </c>
      <c r="M12" s="31" t="str">
        <f>IFERROR(RIGHT(Tabla2[[#This Row],[Unidades indicador producción]], LEN(Tabla2[[#This Row],[Unidades indicador producción]])-FIND("/", Tabla2[[#This Row],[Unidades indicador producción]])), "")</f>
        <v>Ha</v>
      </c>
      <c r="N12" s="28">
        <f>IF(Tabla2[[#This Row],[Parámetro]]="Tn",Tabla2[[#This Row],[Indicador]]*$B$6,Tabla2[[#This Row],[Indicador]])</f>
        <v>515.23076920000005</v>
      </c>
      <c r="O12" s="31" t="str">
        <f t="shared" si="0"/>
        <v>MJ/Ha</v>
      </c>
      <c r="P12" s="29">
        <f>(Tabla2[[#This Row],[Indicador área]]*$B$5)</f>
        <v>85148994.794914961</v>
      </c>
    </row>
    <row r="13" spans="1:16" x14ac:dyDescent="0.2">
      <c r="A13" s="43" t="s">
        <v>64</v>
      </c>
      <c r="B13" s="43" t="s">
        <v>63</v>
      </c>
      <c r="F13" s="24" t="s">
        <v>37</v>
      </c>
      <c r="G13" s="25" t="s">
        <v>36</v>
      </c>
      <c r="H13" s="25" t="s">
        <v>53</v>
      </c>
      <c r="I13" s="25" t="s">
        <v>9</v>
      </c>
      <c r="J13" s="25" t="s">
        <v>40</v>
      </c>
      <c r="K13" s="25" t="s">
        <v>23</v>
      </c>
      <c r="L13" s="26">
        <v>161.0096154</v>
      </c>
      <c r="M13" s="31" t="str">
        <f>IFERROR(RIGHT(Tabla2[[#This Row],[Unidades indicador producción]], LEN(Tabla2[[#This Row],[Unidades indicador producción]])-FIND("/", Tabla2[[#This Row],[Unidades indicador producción]])), "")</f>
        <v>Ha</v>
      </c>
      <c r="N13" s="28">
        <f>IF(Tabla2[[#This Row],[Parámetro]]="Tn",Tabla2[[#This Row],[Indicador]]*$B$6,Tabla2[[#This Row],[Indicador]])</f>
        <v>161.0096154</v>
      </c>
      <c r="O13" s="31" t="str">
        <f t="shared" ref="O13:O14" si="1">"MJ/Ha"</f>
        <v>MJ/Ha</v>
      </c>
      <c r="P13" s="29">
        <f>(Tabla2[[#This Row],[Indicador área]]*$B$5)</f>
        <v>26609060.877542518</v>
      </c>
    </row>
    <row r="14" spans="1:16" ht="25.5" x14ac:dyDescent="0.2">
      <c r="A14" s="15" t="s">
        <v>58</v>
      </c>
      <c r="B14" s="15" t="s">
        <v>69</v>
      </c>
      <c r="F14" s="24" t="s">
        <v>37</v>
      </c>
      <c r="G14" s="25" t="s">
        <v>19</v>
      </c>
      <c r="H14" s="25" t="s">
        <v>53</v>
      </c>
      <c r="I14" s="25" t="s">
        <v>3</v>
      </c>
      <c r="J14" s="25" t="s">
        <v>46</v>
      </c>
      <c r="K14" s="25" t="s">
        <v>23</v>
      </c>
      <c r="L14" s="26">
        <v>100.3466667</v>
      </c>
      <c r="M14" s="31" t="str">
        <f>IFERROR(RIGHT(Tabla2[[#This Row],[Unidades indicador producción]], LEN(Tabla2[[#This Row],[Unidades indicador producción]])-FIND("/", Tabla2[[#This Row],[Unidades indicador producción]])), "")</f>
        <v>Ha</v>
      </c>
      <c r="N14" s="28">
        <f>IF(Tabla2[[#This Row],[Parámetro]]="Tn",Tabla2[[#This Row],[Indicador]]*$B$6,Tabla2[[#This Row],[Indicador]])</f>
        <v>100.3466667</v>
      </c>
      <c r="O14" s="31" t="str">
        <f t="shared" si="1"/>
        <v>MJ/Ha</v>
      </c>
      <c r="P14" s="29">
        <f>(Tabla2[[#This Row],[Indicador área]]*$B$5)</f>
        <v>16583671.45617546</v>
      </c>
    </row>
    <row r="15" spans="1:16" x14ac:dyDescent="0.2">
      <c r="A15" s="6" t="s">
        <v>54</v>
      </c>
      <c r="B15" s="36">
        <v>0.85</v>
      </c>
      <c r="F15" s="24" t="s">
        <v>37</v>
      </c>
      <c r="G15" s="25" t="s">
        <v>19</v>
      </c>
      <c r="H15" s="25" t="s">
        <v>53</v>
      </c>
      <c r="I15" s="25" t="s">
        <v>3</v>
      </c>
      <c r="J15" s="25" t="s">
        <v>47</v>
      </c>
      <c r="K15" s="25" t="s">
        <v>23</v>
      </c>
      <c r="L15" s="26">
        <v>18.815000000000001</v>
      </c>
      <c r="M15" s="31" t="str">
        <f>IFERROR(RIGHT(Tabla2[[#This Row],[Unidades indicador producción]], LEN(Tabla2[[#This Row],[Unidades indicador producción]])-FIND("/", Tabla2[[#This Row],[Unidades indicador producción]])), "")</f>
        <v>Ha</v>
      </c>
      <c r="N15" s="28">
        <f>IF(Tabla2[[#This Row],[Parámetro]]="Tn",Tabla2[[#This Row],[Indicador]]*$B$6,Tabla2[[#This Row],[Indicador]])</f>
        <v>18.815000000000001</v>
      </c>
      <c r="O15" s="31" t="str">
        <f t="shared" ref="O15:O17" si="2">"MJ/Ha"</f>
        <v>MJ/Ha</v>
      </c>
      <c r="P15" s="29">
        <f>(Tabla2[[#This Row],[Indicador área]]*$B$5)</f>
        <v>3109438.3969999999</v>
      </c>
    </row>
    <row r="16" spans="1:16" x14ac:dyDescent="0.2">
      <c r="A16" s="6" t="s">
        <v>57</v>
      </c>
      <c r="B16" s="36">
        <v>0.15</v>
      </c>
      <c r="F16" s="24" t="s">
        <v>37</v>
      </c>
      <c r="G16" s="25" t="s">
        <v>19</v>
      </c>
      <c r="H16" s="25" t="s">
        <v>53</v>
      </c>
      <c r="I16" s="25" t="s">
        <v>9</v>
      </c>
      <c r="J16" s="25" t="s">
        <v>48</v>
      </c>
      <c r="K16" s="25" t="s">
        <v>23</v>
      </c>
      <c r="L16" s="26">
        <v>257.61538460000003</v>
      </c>
      <c r="M16" s="31" t="str">
        <f>IFERROR(RIGHT(Tabla2[[#This Row],[Unidades indicador producción]], LEN(Tabla2[[#This Row],[Unidades indicador producción]])-FIND("/", Tabla2[[#This Row],[Unidades indicador producción]])), "")</f>
        <v>Ha</v>
      </c>
      <c r="N16" s="28">
        <f>IF(Tabla2[[#This Row],[Parámetro]]="Tn",Tabla2[[#This Row],[Indicador]]*$B$6,Tabla2[[#This Row],[Indicador]])</f>
        <v>257.61538460000003</v>
      </c>
      <c r="O16" s="31" t="str">
        <f t="shared" si="2"/>
        <v>MJ/Ha</v>
      </c>
      <c r="P16" s="29">
        <f>(Tabla2[[#This Row],[Indicador área]]*$B$5)</f>
        <v>42574497.39745748</v>
      </c>
    </row>
    <row r="17" spans="1:16" x14ac:dyDescent="0.2">
      <c r="F17" s="24" t="s">
        <v>37</v>
      </c>
      <c r="G17" s="25" t="s">
        <v>49</v>
      </c>
      <c r="H17" s="25" t="s">
        <v>53</v>
      </c>
      <c r="I17" s="25" t="s">
        <v>9</v>
      </c>
      <c r="J17" s="25" t="s">
        <v>50</v>
      </c>
      <c r="K17" s="25" t="s">
        <v>45</v>
      </c>
      <c r="L17" s="26">
        <v>715.59829060000004</v>
      </c>
      <c r="M17" s="31" t="str">
        <f>IFERROR(RIGHT(Tabla2[[#This Row],[Unidades indicador producción]], LEN(Tabla2[[#This Row],[Unidades indicador producción]])-FIND("/", Tabla2[[#This Row],[Unidades indicador producción]])), "")</f>
        <v>Tn</v>
      </c>
      <c r="N17" s="28">
        <f>IF(Tabla2[[#This Row],[Parámetro]]="Tn",Tabla2[[#This Row],[Indicador]]*$B$6,Tabla2[[#This Row],[Indicador]])</f>
        <v>329.17521367600006</v>
      </c>
      <c r="O17" s="31" t="str">
        <f t="shared" si="2"/>
        <v>MJ/Ha</v>
      </c>
      <c r="P17" s="29">
        <f>(Tabla2[[#This Row],[Indicador área]]*$B$5)</f>
        <v>54400746.677907735</v>
      </c>
    </row>
    <row r="26" spans="1:16" ht="15.75" x14ac:dyDescent="0.25">
      <c r="A26" s="44" t="s">
        <v>28</v>
      </c>
      <c r="B26" s="44"/>
      <c r="C26" s="44"/>
      <c r="D26" s="44"/>
    </row>
    <row r="28" spans="1:16" x14ac:dyDescent="0.2">
      <c r="A28" s="15" t="s">
        <v>0</v>
      </c>
      <c r="B28" s="15" t="s">
        <v>32</v>
      </c>
      <c r="C28" s="15" t="s">
        <v>33</v>
      </c>
      <c r="D28" s="15" t="s">
        <v>1</v>
      </c>
    </row>
    <row r="29" spans="1:16" x14ac:dyDescent="0.2">
      <c r="A29" s="16" t="s">
        <v>2</v>
      </c>
      <c r="B29" s="19">
        <f>SUMIF(Tabla2[Energético],A29,Tabla2[Consumo energía '[MJ/año']])</f>
        <v>0</v>
      </c>
      <c r="C29" s="17">
        <f>Familiares!$B29/1000000</f>
        <v>0</v>
      </c>
      <c r="D29" s="18">
        <f>B29/$B$32</f>
        <v>0</v>
      </c>
    </row>
    <row r="30" spans="1:16" x14ac:dyDescent="0.2">
      <c r="A30" s="16" t="s">
        <v>3</v>
      </c>
      <c r="B30" s="19">
        <f>SUMIF(Tabla2[Energético],A30,Tabla2[Consumo energía '[MJ/año']])</f>
        <v>19693109.853175461</v>
      </c>
      <c r="C30" s="17">
        <f>Familiares!$B30/1000000</f>
        <v>19.693109853175461</v>
      </c>
      <c r="D30" s="18">
        <f>B30/$B$32</f>
        <v>6.2801831958451029E-2</v>
      </c>
    </row>
    <row r="31" spans="1:16" x14ac:dyDescent="0.2">
      <c r="A31" s="16" t="s">
        <v>9</v>
      </c>
      <c r="B31" s="19">
        <f>SUMIF(Tabla2[Energético],A31,Tabla2[Consumo energía '[MJ/año']])</f>
        <v>293882294.54273766</v>
      </c>
      <c r="C31" s="17">
        <f>Familiares!$B31/1000000</f>
        <v>293.88229454273767</v>
      </c>
      <c r="D31" s="18">
        <f>B31/$B$32</f>
        <v>0.93719816804154898</v>
      </c>
    </row>
    <row r="32" spans="1:16" x14ac:dyDescent="0.2">
      <c r="A32" s="40" t="s">
        <v>55</v>
      </c>
      <c r="B32" s="41">
        <f>SUM(B29:B31)</f>
        <v>313575404.39591312</v>
      </c>
      <c r="C32" s="41">
        <f>SUM(C29:C31)</f>
        <v>313.57540439591315</v>
      </c>
      <c r="D32" s="42">
        <f>SUM(D29:D31)</f>
        <v>1</v>
      </c>
    </row>
    <row r="36" spans="1:4" ht="18" x14ac:dyDescent="0.25">
      <c r="A36" s="45" t="s">
        <v>34</v>
      </c>
      <c r="B36" s="45"/>
      <c r="C36" s="45"/>
    </row>
    <row r="37" spans="1:4" x14ac:dyDescent="0.2">
      <c r="A37" s="9" t="str">
        <f>+A4</f>
        <v>Grupo Homogeneo</v>
      </c>
      <c r="B37" s="9" t="s">
        <v>29</v>
      </c>
      <c r="C37" s="9" t="s">
        <v>30</v>
      </c>
    </row>
    <row r="38" spans="1:4" x14ac:dyDescent="0.2">
      <c r="A38" s="10" t="str">
        <f>+$B$4</f>
        <v>Cacao</v>
      </c>
      <c r="B38" s="11">
        <f>+B32/B5</f>
        <v>1897.4234187760003</v>
      </c>
      <c r="C38" s="11">
        <f>B38/$B$6</f>
        <v>4124.8335190782609</v>
      </c>
    </row>
    <row r="44" spans="1:4" ht="15.75" x14ac:dyDescent="0.25">
      <c r="A44" s="44" t="s">
        <v>55</v>
      </c>
      <c r="B44" s="44"/>
      <c r="C44" s="44"/>
      <c r="D44" s="44"/>
    </row>
    <row r="45" spans="1:4" x14ac:dyDescent="0.2">
      <c r="B45" s="32">
        <f>SUM(B47:B49)</f>
        <v>373678643.08020818</v>
      </c>
      <c r="C45" s="33">
        <f>SUM(C47:C49)</f>
        <v>373.67864308020819</v>
      </c>
    </row>
    <row r="46" spans="1:4" x14ac:dyDescent="0.2">
      <c r="A46" s="15" t="s">
        <v>0</v>
      </c>
      <c r="B46" s="15" t="s">
        <v>32</v>
      </c>
      <c r="C46" s="15" t="s">
        <v>33</v>
      </c>
      <c r="D46" s="15" t="s">
        <v>1</v>
      </c>
    </row>
    <row r="47" spans="1:4" x14ac:dyDescent="0.2">
      <c r="A47" s="16" t="s">
        <v>2</v>
      </c>
      <c r="B47" s="19">
        <f>+B29+Tecnificado!B29</f>
        <v>4766402.6144280005</v>
      </c>
      <c r="C47" s="17">
        <f>Familiares!$B47/1000000</f>
        <v>4.7664026144280003</v>
      </c>
      <c r="D47" s="18">
        <f>B47/$B$45</f>
        <v>1.2755351965364842E-2</v>
      </c>
    </row>
    <row r="48" spans="1:4" x14ac:dyDescent="0.2">
      <c r="A48" s="16" t="s">
        <v>3</v>
      </c>
      <c r="B48" s="19">
        <f>+Tecnificado!B30+Familiares!B30</f>
        <v>23168364.533147603</v>
      </c>
      <c r="C48" s="17">
        <f>Familiares!$B48/1000000</f>
        <v>23.168364533147603</v>
      </c>
      <c r="D48" s="18">
        <f t="shared" ref="D48:D49" si="3">B48/$B$45</f>
        <v>6.2000772487751286E-2</v>
      </c>
    </row>
    <row r="49" spans="1:4" x14ac:dyDescent="0.2">
      <c r="A49" s="16" t="s">
        <v>9</v>
      </c>
      <c r="B49" s="19">
        <f>+B31+Tecnificado!B31</f>
        <v>345743875.93263257</v>
      </c>
      <c r="C49" s="17">
        <f>Familiares!$B49/1000000</f>
        <v>345.74387593263259</v>
      </c>
      <c r="D49" s="18">
        <f t="shared" si="3"/>
        <v>0.92524387554688381</v>
      </c>
    </row>
  </sheetData>
  <mergeCells count="5">
    <mergeCell ref="A26:D26"/>
    <mergeCell ref="F8:L8"/>
    <mergeCell ref="A36:C36"/>
    <mergeCell ref="A3:B3"/>
    <mergeCell ref="A44:D44"/>
  </mergeCell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6025C92-C95A-4C51-AC01-1A2B533DB7BD}">
          <x14:formula1>
            <xm:f>Hoja2!$A$1:$A$11</xm:f>
          </x14:formula1>
          <xm:sqref>A29:A31 A47:A49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EB47A-D58F-4855-BE90-DAB7DAD8AC0D}">
  <dimension ref="A1:P38"/>
  <sheetViews>
    <sheetView showGridLines="0" tabSelected="1" workbookViewId="0">
      <selection activeCell="A4" sqref="A4"/>
    </sheetView>
  </sheetViews>
  <sheetFormatPr baseColWidth="10" defaultRowHeight="12.75" x14ac:dyDescent="0.2"/>
  <cols>
    <col min="1" max="1" width="28.28515625" customWidth="1"/>
    <col min="2" max="4" width="16.42578125" customWidth="1"/>
    <col min="6" max="6" width="20.28515625" customWidth="1"/>
    <col min="7" max="8" width="24.5703125" customWidth="1"/>
    <col min="9" max="9" width="26.5703125" customWidth="1"/>
    <col min="10" max="10" width="17.7109375" bestFit="1" customWidth="1"/>
    <col min="11" max="11" width="19.7109375" customWidth="1"/>
    <col min="12" max="12" width="11.7109375" customWidth="1"/>
    <col min="14" max="14" width="15" customWidth="1"/>
    <col min="16" max="16" width="24.5703125" customWidth="1"/>
  </cols>
  <sheetData>
    <row r="1" spans="1:16" ht="18" x14ac:dyDescent="0.25">
      <c r="A1" s="14"/>
    </row>
    <row r="3" spans="1:16" ht="18" x14ac:dyDescent="0.2">
      <c r="A3" s="48" t="s">
        <v>56</v>
      </c>
      <c r="B3" s="49"/>
      <c r="C3" s="4"/>
    </row>
    <row r="4" spans="1:16" x14ac:dyDescent="0.2">
      <c r="A4" s="5" t="s">
        <v>31</v>
      </c>
      <c r="B4" s="25" t="s">
        <v>37</v>
      </c>
      <c r="C4" s="4"/>
    </row>
    <row r="5" spans="1:16" x14ac:dyDescent="0.2">
      <c r="A5" s="6" t="s">
        <v>13</v>
      </c>
      <c r="B5" s="7">
        <f>+B9*B14</f>
        <v>29164.2</v>
      </c>
      <c r="C5" s="30" t="s">
        <v>62</v>
      </c>
    </row>
    <row r="6" spans="1:16" x14ac:dyDescent="0.2">
      <c r="A6" s="6" t="s">
        <v>14</v>
      </c>
      <c r="B6" s="7">
        <v>0.46</v>
      </c>
      <c r="C6" s="30" t="s">
        <v>60</v>
      </c>
    </row>
    <row r="7" spans="1:16" ht="25.5" x14ac:dyDescent="0.2">
      <c r="A7" s="8" t="s">
        <v>15</v>
      </c>
      <c r="B7" s="7" t="s">
        <v>51</v>
      </c>
      <c r="C7" s="30" t="s">
        <v>65</v>
      </c>
    </row>
    <row r="8" spans="1:16" ht="15.75" x14ac:dyDescent="0.25">
      <c r="A8" s="34"/>
      <c r="B8" s="35"/>
      <c r="C8" s="37"/>
      <c r="F8" s="44" t="s">
        <v>61</v>
      </c>
      <c r="G8" s="44"/>
      <c r="H8" s="44"/>
      <c r="I8" s="44"/>
      <c r="J8" s="44"/>
      <c r="K8" s="44"/>
      <c r="L8" s="44"/>
      <c r="P8" s="12" t="s">
        <v>66</v>
      </c>
    </row>
    <row r="9" spans="1:16" ht="35.25" customHeight="1" x14ac:dyDescent="0.25">
      <c r="A9" s="6" t="s">
        <v>68</v>
      </c>
      <c r="B9" s="7">
        <v>194428</v>
      </c>
      <c r="C9" s="38"/>
      <c r="K9" s="3" t="s">
        <v>27</v>
      </c>
      <c r="P9" s="13">
        <f>SUM(Tabla22[Consumo energía '[MJ/año']])</f>
        <v>60103238.684295021</v>
      </c>
    </row>
    <row r="10" spans="1:16" s="2" customFormat="1" ht="25.5" x14ac:dyDescent="0.2">
      <c r="F10" s="20" t="s">
        <v>16</v>
      </c>
      <c r="G10" s="21" t="s">
        <v>17</v>
      </c>
      <c r="H10" s="21" t="s">
        <v>52</v>
      </c>
      <c r="I10" s="21" t="s">
        <v>18</v>
      </c>
      <c r="J10" s="21" t="s">
        <v>20</v>
      </c>
      <c r="K10" s="22" t="s">
        <v>21</v>
      </c>
      <c r="L10" s="21" t="s">
        <v>22</v>
      </c>
      <c r="M10" s="21" t="s">
        <v>24</v>
      </c>
      <c r="N10" s="21" t="s">
        <v>25</v>
      </c>
      <c r="O10" s="21" t="s">
        <v>26</v>
      </c>
      <c r="P10" s="23" t="s">
        <v>67</v>
      </c>
    </row>
    <row r="11" spans="1:16" x14ac:dyDescent="0.2">
      <c r="F11" s="24" t="s">
        <v>37</v>
      </c>
      <c r="G11" s="25" t="s">
        <v>38</v>
      </c>
      <c r="H11" s="25" t="s">
        <v>53</v>
      </c>
      <c r="I11" s="25" t="s">
        <v>2</v>
      </c>
      <c r="J11" s="25" t="s">
        <v>39</v>
      </c>
      <c r="K11" s="25" t="s">
        <v>23</v>
      </c>
      <c r="L11" s="26">
        <v>48.321359999999999</v>
      </c>
      <c r="M11" s="27" t="str">
        <f>IFERROR(RIGHT(Tabla22[[#This Row],[Unidades indicador producción]], LEN(Tabla22[[#This Row],[Unidades indicador producción]])-FIND("/", Tabla22[[#This Row],[Unidades indicador producción]])), "")</f>
        <v>Ha</v>
      </c>
      <c r="N11" s="28">
        <f>IF(Tabla22[[#This Row],[Parámetro]]="Tn",Tabla22[[#This Row],[Indicador]]*$B$6,Tabla22[[#This Row],[Indicador]])</f>
        <v>48.321359999999999</v>
      </c>
      <c r="O11" s="27" t="str">
        <f t="shared" ref="O11:O20" si="0">"MJ/Ha"</f>
        <v>MJ/Ha</v>
      </c>
      <c r="P11" s="29">
        <f>(Tabla22[[#This Row],[Indicador área]]*$B$5)</f>
        <v>1409253.8073120001</v>
      </c>
    </row>
    <row r="12" spans="1:16" x14ac:dyDescent="0.2">
      <c r="A12" s="43" t="s">
        <v>64</v>
      </c>
      <c r="B12" s="43" t="s">
        <v>63</v>
      </c>
      <c r="F12" s="24" t="s">
        <v>37</v>
      </c>
      <c r="G12" s="25" t="s">
        <v>36</v>
      </c>
      <c r="H12" s="25" t="s">
        <v>53</v>
      </c>
      <c r="I12" s="25" t="s">
        <v>2</v>
      </c>
      <c r="J12" s="25" t="s">
        <v>40</v>
      </c>
      <c r="K12" s="25" t="s">
        <v>23</v>
      </c>
      <c r="L12" s="26">
        <v>84.24</v>
      </c>
      <c r="M12" s="31" t="str">
        <f>IFERROR(RIGHT(Tabla22[[#This Row],[Unidades indicador producción]], LEN(Tabla22[[#This Row],[Unidades indicador producción]])-FIND("/", Tabla22[[#This Row],[Unidades indicador producción]])), "")</f>
        <v>Ha</v>
      </c>
      <c r="N12" s="28">
        <f>IF(Tabla22[[#This Row],[Parámetro]]="Tn",Tabla22[[#This Row],[Indicador]]*$B$6,Tabla22[[#This Row],[Indicador]])</f>
        <v>84.24</v>
      </c>
      <c r="O12" s="31" t="str">
        <f t="shared" si="0"/>
        <v>MJ/Ha</v>
      </c>
      <c r="P12" s="29">
        <f>(Tabla22[[#This Row],[Indicador área]]*$B$5)</f>
        <v>2456792.2080000001</v>
      </c>
    </row>
    <row r="13" spans="1:16" ht="25.5" x14ac:dyDescent="0.2">
      <c r="A13" s="15" t="s">
        <v>58</v>
      </c>
      <c r="B13" s="15" t="s">
        <v>69</v>
      </c>
      <c r="F13" s="24" t="s">
        <v>37</v>
      </c>
      <c r="G13" s="25" t="s">
        <v>36</v>
      </c>
      <c r="H13" s="25" t="s">
        <v>53</v>
      </c>
      <c r="I13" s="25" t="s">
        <v>9</v>
      </c>
      <c r="J13" s="25" t="s">
        <v>41</v>
      </c>
      <c r="K13" s="25" t="s">
        <v>23</v>
      </c>
      <c r="L13" s="26">
        <v>515.23076920000005</v>
      </c>
      <c r="M13" s="31" t="str">
        <f>IFERROR(RIGHT(Tabla22[[#This Row],[Unidades indicador producción]], LEN(Tabla22[[#This Row],[Unidades indicador producción]])-FIND("/", Tabla22[[#This Row],[Unidades indicador producción]])), "")</f>
        <v>Ha</v>
      </c>
      <c r="N13" s="28">
        <f>IF(Tabla22[[#This Row],[Parámetro]]="Tn",Tabla22[[#This Row],[Indicador]]*$B$6,Tabla22[[#This Row],[Indicador]])</f>
        <v>515.23076920000005</v>
      </c>
      <c r="O13" s="31" t="str">
        <f t="shared" si="0"/>
        <v>MJ/Ha</v>
      </c>
      <c r="P13" s="29">
        <f>(Tabla22[[#This Row],[Indicador área]]*$B$5)</f>
        <v>15026293.199102642</v>
      </c>
    </row>
    <row r="14" spans="1:16" x14ac:dyDescent="0.2">
      <c r="A14" s="6" t="s">
        <v>57</v>
      </c>
      <c r="B14" s="36">
        <v>0.15</v>
      </c>
      <c r="F14" s="24" t="s">
        <v>37</v>
      </c>
      <c r="G14" s="25" t="s">
        <v>36</v>
      </c>
      <c r="H14" s="25" t="s">
        <v>53</v>
      </c>
      <c r="I14" s="25" t="s">
        <v>9</v>
      </c>
      <c r="J14" s="25" t="s">
        <v>42</v>
      </c>
      <c r="K14" s="25" t="s">
        <v>23</v>
      </c>
      <c r="L14" s="26">
        <v>515.23076920000005</v>
      </c>
      <c r="M14" s="31" t="str">
        <f>IFERROR(RIGHT(Tabla22[[#This Row],[Unidades indicador producción]], LEN(Tabla22[[#This Row],[Unidades indicador producción]])-FIND("/", Tabla22[[#This Row],[Unidades indicador producción]])), "")</f>
        <v>Ha</v>
      </c>
      <c r="N14" s="28">
        <f>IF(Tabla22[[#This Row],[Parámetro]]="Tn",Tabla22[[#This Row],[Indicador]]*$B$6,Tabla22[[#This Row],[Indicador]])</f>
        <v>515.23076920000005</v>
      </c>
      <c r="O14" s="31" t="str">
        <f t="shared" si="0"/>
        <v>MJ/Ha</v>
      </c>
      <c r="P14" s="29">
        <f>(Tabla22[[#This Row],[Indicador área]]*$B$5)</f>
        <v>15026293.199102642</v>
      </c>
    </row>
    <row r="15" spans="1:16" x14ac:dyDescent="0.2">
      <c r="A15" s="6" t="s">
        <v>54</v>
      </c>
      <c r="B15" s="39">
        <v>0.85</v>
      </c>
      <c r="F15" s="24" t="s">
        <v>37</v>
      </c>
      <c r="G15" s="25" t="s">
        <v>36</v>
      </c>
      <c r="H15" s="25" t="s">
        <v>53</v>
      </c>
      <c r="I15" s="25" t="s">
        <v>9</v>
      </c>
      <c r="J15" s="25" t="s">
        <v>40</v>
      </c>
      <c r="K15" s="25" t="s">
        <v>23</v>
      </c>
      <c r="L15" s="26">
        <v>161.0096154</v>
      </c>
      <c r="M15" s="31" t="str">
        <f>IFERROR(RIGHT(Tabla22[[#This Row],[Unidades indicador producción]], LEN(Tabla22[[#This Row],[Unidades indicador producción]])-FIND("/", Tabla22[[#This Row],[Unidades indicador producción]])), "")</f>
        <v>Ha</v>
      </c>
      <c r="N15" s="28">
        <f>IF(Tabla22[[#This Row],[Parámetro]]="Tn",Tabla22[[#This Row],[Indicador]]*$B$6,Tabla22[[#This Row],[Indicador]])</f>
        <v>161.0096154</v>
      </c>
      <c r="O15" s="31" t="str">
        <f t="shared" si="0"/>
        <v>MJ/Ha</v>
      </c>
      <c r="P15" s="29">
        <f>(Tabla22[[#This Row],[Indicador área]]*$B$5)</f>
        <v>4695716.6254486805</v>
      </c>
    </row>
    <row r="16" spans="1:16" x14ac:dyDescent="0.2">
      <c r="F16" s="24" t="s">
        <v>37</v>
      </c>
      <c r="G16" s="25" t="s">
        <v>43</v>
      </c>
      <c r="H16" s="25" t="s">
        <v>53</v>
      </c>
      <c r="I16" s="25" t="s">
        <v>2</v>
      </c>
      <c r="J16" s="25" t="s">
        <v>44</v>
      </c>
      <c r="K16" s="25" t="s">
        <v>45</v>
      </c>
      <c r="L16" s="26">
        <v>67.113</v>
      </c>
      <c r="M16" s="31" t="str">
        <f>IFERROR(RIGHT(Tabla22[[#This Row],[Unidades indicador producción]], LEN(Tabla22[[#This Row],[Unidades indicador producción]])-FIND("/", Tabla22[[#This Row],[Unidades indicador producción]])), "")</f>
        <v>Tn</v>
      </c>
      <c r="N16" s="28">
        <f>IF(Tabla22[[#This Row],[Parámetro]]="Tn",Tabla22[[#This Row],[Indicador]]*$B$6,Tabla22[[#This Row],[Indicador]])</f>
        <v>30.871980000000001</v>
      </c>
      <c r="O16" s="31" t="str">
        <f t="shared" si="0"/>
        <v>MJ/Ha</v>
      </c>
      <c r="P16" s="29">
        <f>(Tabla22[[#This Row],[Indicador área]]*$B$5)</f>
        <v>900356.599116</v>
      </c>
    </row>
    <row r="17" spans="1:16" x14ac:dyDescent="0.2">
      <c r="F17" s="24" t="s">
        <v>37</v>
      </c>
      <c r="G17" s="25" t="s">
        <v>19</v>
      </c>
      <c r="H17" s="25" t="s">
        <v>53</v>
      </c>
      <c r="I17" s="25" t="s">
        <v>3</v>
      </c>
      <c r="J17" s="25" t="s">
        <v>46</v>
      </c>
      <c r="K17" s="25" t="s">
        <v>23</v>
      </c>
      <c r="L17" s="26">
        <v>100.3466667</v>
      </c>
      <c r="M17" s="31" t="str">
        <f>IFERROR(RIGHT(Tabla22[[#This Row],[Unidades indicador producción]], LEN(Tabla22[[#This Row],[Unidades indicador producción]])-FIND("/", Tabla22[[#This Row],[Unidades indicador producción]])), "")</f>
        <v>Ha</v>
      </c>
      <c r="N17" s="28">
        <f>IF(Tabla22[[#This Row],[Parámetro]]="Tn",Tabla22[[#This Row],[Indicador]]*$B$6,Tabla22[[#This Row],[Indicador]])</f>
        <v>100.3466667</v>
      </c>
      <c r="O17" s="31" t="str">
        <f t="shared" si="0"/>
        <v>MJ/Ha</v>
      </c>
      <c r="P17" s="29">
        <f>(Tabla22[[#This Row],[Indicador área]]*$B$5)</f>
        <v>2926530.2569721402</v>
      </c>
    </row>
    <row r="18" spans="1:16" x14ac:dyDescent="0.2">
      <c r="F18" s="24" t="s">
        <v>37</v>
      </c>
      <c r="G18" s="25" t="s">
        <v>19</v>
      </c>
      <c r="H18" s="25" t="s">
        <v>53</v>
      </c>
      <c r="I18" s="25" t="s">
        <v>3</v>
      </c>
      <c r="J18" s="25" t="s">
        <v>47</v>
      </c>
      <c r="K18" s="25" t="s">
        <v>23</v>
      </c>
      <c r="L18" s="26">
        <v>18.815000000000001</v>
      </c>
      <c r="M18" s="31" t="str">
        <f>IFERROR(RIGHT(Tabla22[[#This Row],[Unidades indicador producción]], LEN(Tabla22[[#This Row],[Unidades indicador producción]])-FIND("/", Tabla22[[#This Row],[Unidades indicador producción]])), "")</f>
        <v>Ha</v>
      </c>
      <c r="N18" s="28">
        <f>IF(Tabla22[[#This Row],[Parámetro]]="Tn",Tabla22[[#This Row],[Indicador]]*$B$6,Tabla22[[#This Row],[Indicador]])</f>
        <v>18.815000000000001</v>
      </c>
      <c r="O18" s="31" t="str">
        <f t="shared" si="0"/>
        <v>MJ/Ha</v>
      </c>
      <c r="P18" s="29">
        <f>(Tabla22[[#This Row],[Indicador área]]*$B$5)</f>
        <v>548724.42300000007</v>
      </c>
    </row>
    <row r="19" spans="1:16" x14ac:dyDescent="0.2">
      <c r="F19" s="24" t="s">
        <v>37</v>
      </c>
      <c r="G19" s="25" t="s">
        <v>19</v>
      </c>
      <c r="H19" s="25" t="s">
        <v>53</v>
      </c>
      <c r="I19" s="25" t="s">
        <v>9</v>
      </c>
      <c r="J19" s="25" t="s">
        <v>48</v>
      </c>
      <c r="K19" s="25" t="s">
        <v>23</v>
      </c>
      <c r="L19" s="26">
        <v>257.61538460000003</v>
      </c>
      <c r="M19" s="31" t="str">
        <f>IFERROR(RIGHT(Tabla22[[#This Row],[Unidades indicador producción]], LEN(Tabla22[[#This Row],[Unidades indicador producción]])-FIND("/", Tabla22[[#This Row],[Unidades indicador producción]])), "")</f>
        <v>Ha</v>
      </c>
      <c r="N19" s="28">
        <f>IF(Tabla22[[#This Row],[Parámetro]]="Tn",Tabla22[[#This Row],[Indicador]]*$B$6,Tabla22[[#This Row],[Indicador]])</f>
        <v>257.61538460000003</v>
      </c>
      <c r="O19" s="31" t="str">
        <f t="shared" si="0"/>
        <v>MJ/Ha</v>
      </c>
      <c r="P19" s="29">
        <f>(Tabla22[[#This Row],[Indicador área]]*$B$5)</f>
        <v>7513146.599551321</v>
      </c>
    </row>
    <row r="20" spans="1:16" x14ac:dyDescent="0.2">
      <c r="F20" s="24" t="s">
        <v>37</v>
      </c>
      <c r="G20" s="25" t="s">
        <v>49</v>
      </c>
      <c r="H20" s="25" t="s">
        <v>53</v>
      </c>
      <c r="I20" s="25" t="s">
        <v>9</v>
      </c>
      <c r="J20" s="25" t="s">
        <v>50</v>
      </c>
      <c r="K20" s="25" t="s">
        <v>45</v>
      </c>
      <c r="L20" s="26">
        <v>715.59829060000004</v>
      </c>
      <c r="M20" s="31" t="str">
        <f>IFERROR(RIGHT(Tabla22[[#This Row],[Unidades indicador producción]], LEN(Tabla22[[#This Row],[Unidades indicador producción]])-FIND("/", Tabla22[[#This Row],[Unidades indicador producción]])), "")</f>
        <v>Tn</v>
      </c>
      <c r="N20" s="28">
        <f>IF(Tabla22[[#This Row],[Parámetro]]="Tn",Tabla22[[#This Row],[Indicador]]*$B$6,Tabla22[[#This Row],[Indicador]])</f>
        <v>329.17521367600006</v>
      </c>
      <c r="O20" s="31" t="str">
        <f t="shared" si="0"/>
        <v>MJ/Ha</v>
      </c>
      <c r="P20" s="29">
        <f>(Tabla22[[#This Row],[Indicador área]]*$B$5)</f>
        <v>9600131.7666896004</v>
      </c>
    </row>
    <row r="26" spans="1:16" ht="15.75" x14ac:dyDescent="0.25">
      <c r="A26" s="44" t="s">
        <v>28</v>
      </c>
      <c r="B26" s="44"/>
      <c r="C26" s="44"/>
      <c r="D26" s="44"/>
    </row>
    <row r="28" spans="1:16" x14ac:dyDescent="0.2">
      <c r="A28" s="15" t="s">
        <v>0</v>
      </c>
      <c r="B28" s="15" t="s">
        <v>32</v>
      </c>
      <c r="C28" s="15" t="s">
        <v>33</v>
      </c>
      <c r="D28" s="15" t="s">
        <v>1</v>
      </c>
    </row>
    <row r="29" spans="1:16" x14ac:dyDescent="0.2">
      <c r="A29" s="16" t="s">
        <v>2</v>
      </c>
      <c r="B29" s="19">
        <f>SUMIF(Tabla22[Energético],A29,Tabla22[Consumo energía '[MJ/año']])</f>
        <v>4766402.6144280005</v>
      </c>
      <c r="C29" s="17">
        <f>Tecnificado!$B29/1000000</f>
        <v>4.7664026144280003</v>
      </c>
      <c r="D29" s="18">
        <f>B29/$B$32</f>
        <v>7.930359026848019E-2</v>
      </c>
    </row>
    <row r="30" spans="1:16" x14ac:dyDescent="0.2">
      <c r="A30" s="16" t="s">
        <v>3</v>
      </c>
      <c r="B30" s="19">
        <f>SUMIF(Tabla22[Energético],A30,Tabla22[Consumo energía '[MJ/año']])</f>
        <v>3475254.6799721401</v>
      </c>
      <c r="C30" s="17">
        <f>Tecnificado!$B30/1000000</f>
        <v>3.47525467997214</v>
      </c>
      <c r="D30" s="18">
        <f>B30/$B$32</f>
        <v>5.7821421208708083E-2</v>
      </c>
    </row>
    <row r="31" spans="1:16" x14ac:dyDescent="0.2">
      <c r="A31" s="16" t="s">
        <v>9</v>
      </c>
      <c r="B31" s="19">
        <f>SUMIF(Tabla22[Energético],A31,Tabla22[Consumo energía '[MJ/año']])</f>
        <v>51861581.38989488</v>
      </c>
      <c r="C31" s="17">
        <f>Tecnificado!$B31/1000000</f>
        <v>51.86158138989488</v>
      </c>
      <c r="D31" s="18">
        <f>B31/$B$32</f>
        <v>0.86287498852281175</v>
      </c>
    </row>
    <row r="32" spans="1:16" x14ac:dyDescent="0.2">
      <c r="A32" s="40" t="s">
        <v>55</v>
      </c>
      <c r="B32" s="41">
        <f>SUM(B29:B31)</f>
        <v>60103238.684295021</v>
      </c>
      <c r="C32" s="41">
        <f>SUM(C29:C31)</f>
        <v>60.103238684295022</v>
      </c>
      <c r="D32" s="42">
        <f>SUM(D29:D31)</f>
        <v>1</v>
      </c>
    </row>
    <row r="36" spans="1:3" ht="18" x14ac:dyDescent="0.25">
      <c r="A36" s="45" t="s">
        <v>34</v>
      </c>
      <c r="B36" s="45"/>
      <c r="C36" s="45"/>
    </row>
    <row r="37" spans="1:3" x14ac:dyDescent="0.2">
      <c r="A37" s="9" t="str">
        <f>+A4</f>
        <v>Grupo Homogeneo</v>
      </c>
      <c r="B37" s="9" t="s">
        <v>29</v>
      </c>
      <c r="C37" s="9" t="s">
        <v>30</v>
      </c>
    </row>
    <row r="38" spans="1:3" x14ac:dyDescent="0.2">
      <c r="A38" s="10" t="str">
        <f>+$B$4</f>
        <v>Cacao</v>
      </c>
      <c r="B38" s="11">
        <f>+B32/B5</f>
        <v>2060.8567587759999</v>
      </c>
      <c r="C38" s="11">
        <f>B38/$B$6</f>
        <v>4480.1233886434775</v>
      </c>
    </row>
  </sheetData>
  <mergeCells count="4">
    <mergeCell ref="A3:B3"/>
    <mergeCell ref="F8:L8"/>
    <mergeCell ref="A26:D26"/>
    <mergeCell ref="A36:C36"/>
  </mergeCell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DA9CE5D-2281-4A31-8726-ED3C5054CE12}">
          <x14:formula1>
            <xm:f>Hoja2!$A$1:$A$11</xm:f>
          </x14:formula1>
          <xm:sqref>A29:A31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85FCD-0EFB-4C63-8DD7-A9391F860BF4}">
  <dimension ref="A1:A11"/>
  <sheetViews>
    <sheetView workbookViewId="0">
      <selection activeCell="C14" sqref="C14"/>
    </sheetView>
  </sheetViews>
  <sheetFormatPr baseColWidth="10" defaultRowHeight="12.75" x14ac:dyDescent="0.2"/>
  <sheetData>
    <row r="1" spans="1:1" x14ac:dyDescent="0.2">
      <c r="A1" t="s">
        <v>2</v>
      </c>
    </row>
    <row r="2" spans="1:1" x14ac:dyDescent="0.2">
      <c r="A2" t="s">
        <v>3</v>
      </c>
    </row>
    <row r="3" spans="1:1" x14ac:dyDescent="0.2">
      <c r="A3" t="s">
        <v>4</v>
      </c>
    </row>
    <row r="4" spans="1:1" x14ac:dyDescent="0.2">
      <c r="A4" t="s">
        <v>5</v>
      </c>
    </row>
    <row r="5" spans="1:1" x14ac:dyDescent="0.2">
      <c r="A5" t="s">
        <v>6</v>
      </c>
    </row>
    <row r="6" spans="1:1" x14ac:dyDescent="0.2">
      <c r="A6" t="s">
        <v>7</v>
      </c>
    </row>
    <row r="7" spans="1:1" x14ac:dyDescent="0.2">
      <c r="A7" t="s">
        <v>8</v>
      </c>
    </row>
    <row r="8" spans="1:1" x14ac:dyDescent="0.2">
      <c r="A8" t="s">
        <v>9</v>
      </c>
    </row>
    <row r="9" spans="1:1" x14ac:dyDescent="0.2">
      <c r="A9" t="s">
        <v>10</v>
      </c>
    </row>
    <row r="10" spans="1:1" x14ac:dyDescent="0.2">
      <c r="A10" t="s">
        <v>11</v>
      </c>
    </row>
    <row r="11" spans="1:1" x14ac:dyDescent="0.2">
      <c r="A1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Familiares</vt:lpstr>
      <vt:lpstr>Tecnificado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Steven Morales Rodríguez</dc:creator>
  <cp:lastModifiedBy>Andrés Steven Morales Rodríguez</cp:lastModifiedBy>
  <dcterms:created xsi:type="dcterms:W3CDTF">2023-12-20T19:43:59Z</dcterms:created>
  <dcterms:modified xsi:type="dcterms:W3CDTF">2024-01-23T21:00:39Z</dcterms:modified>
</cp:coreProperties>
</file>