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A6D889C-EF16-43E2-8F04-B2E13DDCF520}" xr6:coauthVersionLast="47" xr6:coauthVersionMax="47" xr10:uidLastSave="{00000000-0000-0000-0000-000000000000}"/>
  <bookViews>
    <workbookView xWindow="-19320" yWindow="-120" windowWidth="19440" windowHeight="15000" activeTab="1" xr2:uid="{4F4AC0FB-F22A-4F96-AA86-2713B2BEDCFC}"/>
  </bookViews>
  <sheets>
    <sheet name="Banano" sheetId="1" r:id="rId1"/>
    <sheet name="Platano" sheetId="3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3" l="1"/>
  <c r="D12" i="3"/>
  <c r="D11" i="3"/>
  <c r="D13" i="3" s="1"/>
  <c r="Q9" i="1"/>
  <c r="D13" i="1"/>
  <c r="B7" i="3"/>
  <c r="B8" i="3" s="1"/>
  <c r="B29" i="3" s="1"/>
  <c r="D12" i="1"/>
  <c r="D11" i="1"/>
  <c r="B7" i="1" s="1"/>
  <c r="B13" i="1"/>
  <c r="L12" i="3"/>
  <c r="L13" i="3"/>
  <c r="L14" i="3"/>
  <c r="L15" i="3"/>
  <c r="L16" i="3"/>
  <c r="L17" i="3"/>
  <c r="M17" i="3" s="1"/>
  <c r="L18" i="3"/>
  <c r="M18" i="3" s="1"/>
  <c r="L19" i="3"/>
  <c r="L20" i="3"/>
  <c r="M12" i="3"/>
  <c r="M14" i="3"/>
  <c r="M19" i="3"/>
  <c r="N12" i="3"/>
  <c r="N13" i="3"/>
  <c r="N14" i="3"/>
  <c r="N15" i="3"/>
  <c r="N16" i="3"/>
  <c r="N17" i="3"/>
  <c r="N18" i="3"/>
  <c r="N19" i="3"/>
  <c r="N20" i="3"/>
  <c r="B6" i="3"/>
  <c r="B5" i="3"/>
  <c r="A37" i="3"/>
  <c r="N11" i="3"/>
  <c r="L11" i="3"/>
  <c r="M11" i="3" s="1"/>
  <c r="B4" i="3"/>
  <c r="B6" i="1"/>
  <c r="B4" i="1"/>
  <c r="B5" i="1"/>
  <c r="O12" i="3" l="1"/>
  <c r="Q12" i="3" s="1"/>
  <c r="O17" i="3"/>
  <c r="Q17" i="3" s="1"/>
  <c r="O14" i="3"/>
  <c r="Q14" i="3" s="1"/>
  <c r="O18" i="3"/>
  <c r="Q18" i="3" s="1"/>
  <c r="O19" i="3"/>
  <c r="O11" i="3"/>
  <c r="M16" i="3"/>
  <c r="O16" i="3" s="1"/>
  <c r="M20" i="3"/>
  <c r="O20" i="3" s="1"/>
  <c r="Q20" i="3" s="1"/>
  <c r="M15" i="3"/>
  <c r="O15" i="3" s="1"/>
  <c r="Q15" i="3" s="1"/>
  <c r="M13" i="3"/>
  <c r="O13" i="3" s="1"/>
  <c r="C29" i="3"/>
  <c r="B30" i="3"/>
  <c r="B31" i="3" l="1"/>
  <c r="B32" i="3" s="1"/>
  <c r="Q11" i="3"/>
  <c r="C30" i="3"/>
  <c r="O9" i="3"/>
  <c r="L12" i="1"/>
  <c r="M12" i="1" s="1"/>
  <c r="O12" i="1" s="1"/>
  <c r="Q12" i="1" s="1"/>
  <c r="L13" i="1"/>
  <c r="L14" i="1"/>
  <c r="M14" i="1" s="1"/>
  <c r="O14" i="1" s="1"/>
  <c r="Q14" i="1" s="1"/>
  <c r="L15" i="1"/>
  <c r="M15" i="1" s="1"/>
  <c r="O15" i="1" s="1"/>
  <c r="Q15" i="1" s="1"/>
  <c r="L16" i="1"/>
  <c r="M16" i="1" s="1"/>
  <c r="O16" i="1" s="1"/>
  <c r="L17" i="1"/>
  <c r="M17" i="1" s="1"/>
  <c r="O17" i="1" s="1"/>
  <c r="Q17" i="1" s="1"/>
  <c r="L18" i="1"/>
  <c r="M18" i="1" s="1"/>
  <c r="O18" i="1" s="1"/>
  <c r="Q18" i="1" s="1"/>
  <c r="L19" i="1"/>
  <c r="M19" i="1" s="1"/>
  <c r="O19" i="1" s="1"/>
  <c r="L20" i="1"/>
  <c r="M20" i="1" s="1"/>
  <c r="O20" i="1" s="1"/>
  <c r="Q20" i="1" s="1"/>
  <c r="M13" i="1"/>
  <c r="O13" i="1" s="1"/>
  <c r="N12" i="1"/>
  <c r="N13" i="1"/>
  <c r="N14" i="1"/>
  <c r="N15" i="1"/>
  <c r="N16" i="1"/>
  <c r="N17" i="1"/>
  <c r="N18" i="1"/>
  <c r="N19" i="1"/>
  <c r="N20" i="1"/>
  <c r="A38" i="1"/>
  <c r="C31" i="3" l="1"/>
  <c r="C32" i="3" s="1"/>
  <c r="P11" i="3"/>
  <c r="P12" i="3"/>
  <c r="P16" i="3"/>
  <c r="P20" i="3"/>
  <c r="P13" i="3"/>
  <c r="P17" i="3"/>
  <c r="P14" i="3"/>
  <c r="P18" i="3"/>
  <c r="P15" i="3"/>
  <c r="P19" i="3"/>
  <c r="Q19" i="3" s="1"/>
  <c r="B38" i="3"/>
  <c r="C38" i="3" s="1"/>
  <c r="D29" i="3"/>
  <c r="D31" i="3"/>
  <c r="D30" i="3"/>
  <c r="B8" i="1"/>
  <c r="B29" i="1" s="1"/>
  <c r="A37" i="1"/>
  <c r="N11" i="1"/>
  <c r="L11" i="1"/>
  <c r="M11" i="1" s="1"/>
  <c r="D32" i="3" l="1"/>
  <c r="Q13" i="3"/>
  <c r="Q16" i="3"/>
  <c r="B46" i="1"/>
  <c r="C29" i="1"/>
  <c r="O11" i="1"/>
  <c r="Q11" i="1" s="1"/>
  <c r="Q9" i="3" l="1"/>
  <c r="C46" i="1"/>
  <c r="B30" i="1"/>
  <c r="B31" i="1"/>
  <c r="O9" i="1"/>
  <c r="P12" i="1" l="1"/>
  <c r="P16" i="1"/>
  <c r="P20" i="1"/>
  <c r="P13" i="1"/>
  <c r="P17" i="1"/>
  <c r="P14" i="1"/>
  <c r="P18" i="1"/>
  <c r="P11" i="1"/>
  <c r="P15" i="1"/>
  <c r="P19" i="1"/>
  <c r="C31" i="1"/>
  <c r="B48" i="1"/>
  <c r="C48" i="1" s="1"/>
  <c r="C30" i="1"/>
  <c r="B47" i="1"/>
  <c r="B32" i="1"/>
  <c r="Q16" i="1" l="1"/>
  <c r="C47" i="1"/>
  <c r="C49" i="1" s="1"/>
  <c r="B49" i="1"/>
  <c r="D48" i="1" s="1"/>
  <c r="C32" i="1"/>
  <c r="B38" i="1"/>
  <c r="C38" i="1" s="1"/>
  <c r="D30" i="1"/>
  <c r="D29" i="1"/>
  <c r="D31" i="1"/>
  <c r="Q13" i="1" l="1"/>
  <c r="D32" i="1"/>
  <c r="Q19" i="1"/>
  <c r="D46" i="1"/>
  <c r="D49" i="1" s="1"/>
  <c r="D47" i="1"/>
</calcChain>
</file>

<file path=xl/sharedStrings.xml><?xml version="1.0" encoding="utf-8"?>
<sst xmlns="http://schemas.openxmlformats.org/spreadsheetml/2006/main" count="207" uniqueCount="62">
  <si>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</si>
  <si>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</si>
  <si>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</si>
  <si>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</si>
  <si>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</si>
  <si>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</si>
  <si>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</si>
  <si>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</si>
  <si>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</si>
  <si>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</si>
  <si>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</si>
  <si>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</si>
  <si>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</si>
  <si>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</si>
  <si>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</si>
  <si>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</si>
  <si>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</si>
  <si>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</si>
  <si>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</si>
  <si>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</si>
  <si>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</si>
  <si>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</si>
  <si>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</si>
  <si>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</si>
  <si>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</si>
  <si>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</si>
  <si>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</si>
  <si>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</si>
  <si>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</si>
  <si>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</si>
  <si>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</si>
  <si>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</si>
  <si>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</si>
  <si>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</si>
  <si>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Mantenimiento</t>
  </si>
  <si>
    <t>MJ/Tn</t>
  </si>
  <si>
    <t>Fertilización</t>
  </si>
  <si>
    <t>Terreno fertilizado</t>
  </si>
  <si>
    <t>Terreno guadañado</t>
  </si>
  <si>
    <t>Postcosecha</t>
  </si>
  <si>
    <t>Sistema de Riego y drenaje</t>
  </si>
  <si>
    <t>Terreno irrigado</t>
  </si>
  <si>
    <t>Plátano y banano</t>
  </si>
  <si>
    <t>Planta eléctrica</t>
  </si>
  <si>
    <t>Fruto</t>
  </si>
  <si>
    <t>Limpieza del terreno</t>
  </si>
  <si>
    <t>Transporte interno</t>
  </si>
  <si>
    <t>Área sembrada (Ha)</t>
  </si>
  <si>
    <t>Rendimiento Promedio (Ton/Ha)</t>
  </si>
  <si>
    <t>Banano</t>
  </si>
  <si>
    <t>Plátano</t>
  </si>
  <si>
    <t>Total Banano + Platano</t>
  </si>
  <si>
    <t>Total</t>
  </si>
  <si>
    <t>Item</t>
  </si>
  <si>
    <t>Sector</t>
  </si>
  <si>
    <t>Dato comercial por CIIU de XM [kWh/año]</t>
  </si>
  <si>
    <t>Dato de información secundaria [Ha] Agronet</t>
  </si>
  <si>
    <t>Dato de información secundaria Tn/Ha Agronet</t>
  </si>
  <si>
    <t>Tabla 8. Indicador producción</t>
  </si>
  <si>
    <t>Consumo energía [MJ/año]</t>
  </si>
  <si>
    <t>Consumo energía corregida [MJ/año]</t>
  </si>
  <si>
    <t>Total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</si>
</sst>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1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0" fontId="0" fillId="0" borderId="0" xfId="0" applyFont="1" applyFill="1" applyBorder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8" fillId="7" borderId="0" xfId="0" applyFont="1" applyFill="1" applyAlignment="1">
      <alignment horizontal="center"/>
    </xf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4" fontId="0" fillId="0" borderId="0" xfId="0" applyNumberFormat="1" applyFill="1" applyBorder="1"/>
    <xf numFmtId="0" fontId="2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horizontal="center" vertical="center"/>
    </xf>
    <xf numFmtId="10" fontId="0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9" fontId="3" fillId="8" borderId="1" xfId="1" applyFont="1" applyFill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7" xfId="0" applyFont="1" applyBorder="1" applyAlignment="1">
      <alignment horizontal="center" vertical="center" wrapText="1"/>
    </xf>
    <xf numFmtId="3" fontId="0" fillId="0" borderId="7" xfId="0" applyNumberFormat="1" applyFont="1" applyBorder="1" applyAlignment="1">
      <alignment horizontal="center" vertical="center" wrapText="1"/>
    </xf>
    <xf numFmtId="0" fontId="3" fillId="8" borderId="1" xfId="0" applyFont="1" applyFill="1" applyBorder="1"/>
    <xf numFmtId="3" fontId="3" fillId="8" borderId="1" xfId="0" applyNumberFormat="1" applyFont="1" applyFill="1" applyBorder="1"/>
    <xf numFmtId="9" fontId="3" fillId="8" borderId="1" xfId="1" applyFont="1" applyFill="1" applyBorder="1"/>
    <xf numFmtId="10" fontId="0" fillId="0" borderId="1" xfId="1" applyNumberFormat="1" applyFont="1" applyBorder="1"/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1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34"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Q20" totalsRowShown="0" headerRowDxfId="33" dataDxfId="31" headerRowBorderDxfId="32" tableBorderDxfId="30" totalsRowBorderDxfId="29">
  <autoFilter ref="F10:Q20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97AA7CE-2C19-4522-AFCC-2D7077ABB6B9}" name="Grupo Homogéneo" dataDxfId="28"/>
    <tableColumn id="2" xr3:uid="{B5D1F10D-371F-4B26-972F-7E20D881EF10}" name="Proceso" dataDxfId="27"/>
    <tableColumn id="3" xr3:uid="{D5C4E4C9-E4CD-42F0-B878-EAED958F5FA0}" name="Energético" dataDxfId="26"/>
    <tableColumn id="4" xr3:uid="{B7B5D837-72C9-44E9-A5D9-0A2D73C6B023}" name="Producto final" dataDxfId="25"/>
    <tableColumn id="5" xr3:uid="{3CF749A7-0CC3-4EAE-8383-BA07291F80FF}" name="Unidades indicador producción" dataDxfId="24"/>
    <tableColumn id="6" xr3:uid="{380EDCBC-1202-4CB0-B868-AB32DBAE2810}" name="Indicador" dataDxfId="23"/>
    <tableColumn id="7" xr3:uid="{F7C4E07E-D41C-4EB3-84F4-91947724497C}" name="Parámetro" dataDxfId="22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21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20">
      <calculatedColumnFormula>"MJ/Ha"</calculatedColumnFormula>
    </tableColumn>
    <tableColumn id="10" xr3:uid="{E16307D2-7B0D-4BEC-94C3-8D5C9401D2A7}" name="Consumo energía [MJ/año]" dataDxfId="5">
      <calculatedColumnFormula>(Tabla2[[#This Row],[Indicador área]]*$B$5)</calculatedColumnFormula>
    </tableColumn>
    <tableColumn id="11" xr3:uid="{A638B60F-B86D-45E1-A02D-FF3B4F107A5F}" name="Participación" dataDxfId="4" dataCellStyle="Porcentaje">
      <calculatedColumnFormula>+Tabla2[[#This Row],[Consumo energía '[MJ/año']]]/$O$9</calculatedColumnFormula>
    </tableColumn>
    <tableColumn id="12" xr3:uid="{3621CD55-1F54-4839-8C35-B9C86C59CCF0}" name="Consumo energía corregida [MJ/año]" dataDxfId="3">
      <calculatedColumnFormula>IF(Tabla2[[#This Row],[Energético]]="Energía Eléctrica",((Tabla2[[#This Row],[Participación]]*$D$29)/SUMIF(Tabla2[Energético],"Energía Eléctrica",Tabla2[Participación]))*$B$32,Tabla2[[#This Row],[Consumo energía '[MJ/año']]])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E0877E-63D6-456F-9B6D-143967F1BBAF}" name="Tabla22" displayName="Tabla22" ref="F10:Q20" totalsRowShown="0" headerRowDxfId="19" dataDxfId="17" headerRowBorderDxfId="18" tableBorderDxfId="16" totalsRowBorderDxfId="15">
  <autoFilter ref="F10:Q20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87110E0-88D1-412F-B3A1-7AA122AC043C}" name="Grupo Homogéneo" dataDxfId="14"/>
    <tableColumn id="2" xr3:uid="{F2C893FB-C1EF-4BC4-A416-F1B0E6491CE1}" name="Proceso" dataDxfId="13"/>
    <tableColumn id="3" xr3:uid="{4621DCF8-69FC-4442-AC72-22055DF81208}" name="Energético" dataDxfId="12"/>
    <tableColumn id="4" xr3:uid="{E1F59F6C-C969-44DA-B6D0-71FBACFF16EB}" name="Producto final" dataDxfId="11"/>
    <tableColumn id="5" xr3:uid="{348D651C-3203-4746-B0E8-EAD7EAA1285A}" name="Unidades indicador producción" dataDxfId="10"/>
    <tableColumn id="6" xr3:uid="{0AD80597-7959-4764-94F7-5855F112EA62}" name="Indicador" dataDxfId="9"/>
    <tableColumn id="7" xr3:uid="{CEDC45B3-2C65-488D-948A-1F930BAB8C20}" name="Parámetro" dataDxfId="8">
      <calculatedColumnFormula>IFERROR(RIGHT(Tabla22[[#This Row],[Unidades indicador producción]], LEN(Tabla22[[#This Row],[Unidades indicador producción]])-FIND("/", Tabla22[[#This Row],[Unidades indicador producción]])), "")</calculatedColumnFormula>
    </tableColumn>
    <tableColumn id="8" xr3:uid="{AD25BBE7-58C1-4083-B5E8-3CAA908FBC00}" name="Indicador área" dataDxfId="7">
      <calculatedColumnFormula>IF(Tabla22[[#This Row],[Parámetro]]="Tn",Tabla22[[#This Row],[Indicador]]*$B$6,Tabla22[[#This Row],[Indicador]])</calculatedColumnFormula>
    </tableColumn>
    <tableColumn id="9" xr3:uid="{C2D1C2B4-CD34-4D87-835C-B3808F93350D}" name="Unidades" dataDxfId="6">
      <calculatedColumnFormula>"MJ/Ha"</calculatedColumnFormula>
    </tableColumn>
    <tableColumn id="10" xr3:uid="{C8847BF5-21D1-4A1E-A1EF-745DB86505E8}" name="Consumo energía [MJ/año]" dataDxfId="2">
      <calculatedColumnFormula>(Tabla22[[#This Row],[Indicador área]]*$B$5)</calculatedColumnFormula>
    </tableColumn>
    <tableColumn id="11" xr3:uid="{01B3CCDD-ED66-4F15-8563-B7F8924B7E47}" name="Participación" dataDxfId="1" dataCellStyle="Porcentaje">
      <calculatedColumnFormula>+Tabla22[[#This Row],[Consumo energía '[MJ/año']]]/$O$9</calculatedColumnFormula>
    </tableColumn>
    <tableColumn id="12" xr3:uid="{4B787BC4-CF03-45E4-9886-E0500FF48738}" name="Consumo energía corregida [MJ/año]" dataDxfId="0">
      <calculatedColumnFormula>IF(Tabla22[[#This Row],[Energético]]="Energía Eléctrica",((Tabla22[[#This Row],[Participación]]*$D$29)/SUMIF(Tabla22[Energético],"Energía Eléctrica",Tabla22[Participación]))*$B$32,Tabla22[[#This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Q54"/>
  <sheetViews>
    <sheetView showGridLines="0" workbookViewId="0">
      <selection activeCell="A3" sqref="A3:B3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7" max="17" width="22.7109375" customWidth="1"/>
  </cols>
  <sheetData>
    <row r="1" spans="1:17" ht="18" x14ac:dyDescent="0.25">
      <c r="A1" s="15"/>
    </row>
    <row r="3" spans="1:17" ht="20.25" x14ac:dyDescent="0.2">
      <c r="A3" s="61" t="s">
        <v>54</v>
      </c>
      <c r="B3" s="62"/>
      <c r="C3" s="4"/>
    </row>
    <row r="4" spans="1:17" x14ac:dyDescent="0.2">
      <c r="A4" s="5" t="s">
        <v>30</v>
      </c>
      <c r="B4" s="14" t="str">
        <f>+A11</f>
        <v>Banano</v>
      </c>
      <c r="C4" s="4"/>
    </row>
    <row r="5" spans="1:17" x14ac:dyDescent="0.2">
      <c r="A5" s="6" t="s">
        <v>13</v>
      </c>
      <c r="B5" s="7">
        <f>+B11</f>
        <v>104823</v>
      </c>
      <c r="C5" s="32" t="s">
        <v>56</v>
      </c>
    </row>
    <row r="6" spans="1:17" x14ac:dyDescent="0.2">
      <c r="A6" s="6" t="s">
        <v>14</v>
      </c>
      <c r="B6" s="7">
        <f>+C11</f>
        <v>24.05</v>
      </c>
      <c r="C6" s="32" t="s">
        <v>57</v>
      </c>
    </row>
    <row r="7" spans="1:17" ht="25.5" x14ac:dyDescent="0.2">
      <c r="A7" s="8" t="s">
        <v>15</v>
      </c>
      <c r="B7" s="7">
        <f>2278927.53599966*D11</f>
        <v>431030.53882618394</v>
      </c>
      <c r="C7" s="32" t="s">
        <v>55</v>
      </c>
    </row>
    <row r="8" spans="1:17" ht="26.25" x14ac:dyDescent="0.25">
      <c r="A8" s="8" t="s">
        <v>15</v>
      </c>
      <c r="B8" s="22">
        <f>+B7*3.6</f>
        <v>1551709.9397742623</v>
      </c>
      <c r="C8" s="1"/>
      <c r="F8" s="35" t="s">
        <v>58</v>
      </c>
      <c r="G8" s="35"/>
      <c r="H8" s="35"/>
      <c r="I8" s="35"/>
      <c r="J8" s="35"/>
      <c r="K8" s="35"/>
      <c r="Q8" s="12" t="s">
        <v>61</v>
      </c>
    </row>
    <row r="9" spans="1:17" ht="35.25" customHeight="1" x14ac:dyDescent="0.25">
      <c r="J9" s="3" t="s">
        <v>26</v>
      </c>
      <c r="O9" s="13">
        <f>SUM(Tabla2[Consumo energía '[MJ/año']])</f>
        <v>723718660.96324873</v>
      </c>
      <c r="Q9" s="64">
        <f>SUM(Tabla2[Consumo energía corregida '[MJ/año']])</f>
        <v>621070297.11051154</v>
      </c>
    </row>
    <row r="10" spans="1:17" s="2" customFormat="1" ht="51" x14ac:dyDescent="0.2">
      <c r="A10" s="16" t="s">
        <v>53</v>
      </c>
      <c r="B10" s="16" t="s">
        <v>47</v>
      </c>
      <c r="C10" s="16" t="s">
        <v>48</v>
      </c>
      <c r="D10" s="16" t="s">
        <v>1</v>
      </c>
      <c r="E10" s="51"/>
      <c r="F10" s="23" t="s">
        <v>16</v>
      </c>
      <c r="G10" s="24" t="s">
        <v>17</v>
      </c>
      <c r="H10" s="24" t="s">
        <v>18</v>
      </c>
      <c r="I10" s="24" t="s">
        <v>19</v>
      </c>
      <c r="J10" s="25" t="s">
        <v>20</v>
      </c>
      <c r="K10" s="24" t="s">
        <v>21</v>
      </c>
      <c r="L10" s="24" t="s">
        <v>23</v>
      </c>
      <c r="M10" s="24" t="s">
        <v>24</v>
      </c>
      <c r="N10" s="24" t="s">
        <v>25</v>
      </c>
      <c r="O10" s="63" t="s">
        <v>59</v>
      </c>
      <c r="P10" s="63" t="s">
        <v>1</v>
      </c>
      <c r="Q10" s="63" t="s">
        <v>60</v>
      </c>
    </row>
    <row r="11" spans="1:17" x14ac:dyDescent="0.2">
      <c r="A11" s="52" t="s">
        <v>49</v>
      </c>
      <c r="B11" s="53">
        <v>104823</v>
      </c>
      <c r="C11" s="52">
        <v>24.05</v>
      </c>
      <c r="D11" s="60">
        <f>+B11/$B$13</f>
        <v>0.18913744821513634</v>
      </c>
      <c r="E11" s="54"/>
      <c r="F11" s="26" t="s">
        <v>42</v>
      </c>
      <c r="G11" s="27" t="s">
        <v>36</v>
      </c>
      <c r="H11" s="27" t="s">
        <v>3</v>
      </c>
      <c r="I11" s="27" t="s">
        <v>37</v>
      </c>
      <c r="J11" s="27" t="s">
        <v>22</v>
      </c>
      <c r="K11" s="28">
        <v>130.38808040000001</v>
      </c>
      <c r="L11" s="29" t="str">
        <f>IFERROR(RIGHT(Tabla2[[#This Row],[Unidades indicador producción]], LEN(Tabla2[[#This Row],[Unidades indicador producción]])-FIND("/", Tabla2[[#This Row],[Unidades indicador producción]])), "")</f>
        <v>Ha</v>
      </c>
      <c r="M11" s="30">
        <f>IF(Tabla2[[#This Row],[Parámetro]]="Tn",Tabla2[[#This Row],[Indicador]]*$B$6,Tabla2[[#This Row],[Indicador]])</f>
        <v>130.38808040000001</v>
      </c>
      <c r="N11" s="29" t="str">
        <f t="shared" ref="N11" si="0">"MJ/Ha"</f>
        <v>MJ/Ha</v>
      </c>
      <c r="O11" s="31">
        <f>(Tabla2[[#This Row],[Indicador área]]*$B$5)</f>
        <v>13667669.7517692</v>
      </c>
      <c r="P11" s="65">
        <f>+Tabla2[[#This Row],[Consumo energía '[MJ/año']]]/$O$9</f>
        <v>1.8885335544032988E-2</v>
      </c>
      <c r="Q11" s="66">
        <f>IF(Tabla2[[#This Row],[Energético]]="Energía Eléctrica",((Tabla2[[#This Row],[Participación]]*$D$29)/SUMIF(Tabla2[Energético],"Energía Eléctrica",Tabla2[Participación]))*$B$32,Tabla2[[#This Row],[Consumo energía '[MJ/año']]])</f>
        <v>13667669.7517692</v>
      </c>
    </row>
    <row r="12" spans="1:17" x14ac:dyDescent="0.2">
      <c r="A12" s="55" t="s">
        <v>50</v>
      </c>
      <c r="B12" s="56">
        <v>449393</v>
      </c>
      <c r="C12" s="55">
        <v>11.3</v>
      </c>
      <c r="D12" s="60">
        <f>+B12/$B$13</f>
        <v>0.81086255178486366</v>
      </c>
      <c r="E12" s="54"/>
      <c r="F12" s="26" t="s">
        <v>42</v>
      </c>
      <c r="G12" s="27" t="s">
        <v>34</v>
      </c>
      <c r="H12" s="27" t="s">
        <v>3</v>
      </c>
      <c r="I12" s="27" t="s">
        <v>43</v>
      </c>
      <c r="J12" s="27" t="s">
        <v>22</v>
      </c>
      <c r="K12" s="28">
        <v>41.68255516</v>
      </c>
      <c r="L12" s="33" t="str">
        <f>IFERROR(RIGHT(Tabla2[[#This Row],[Unidades indicador producción]], LEN(Tabla2[[#This Row],[Unidades indicador producción]])-FIND("/", Tabla2[[#This Row],[Unidades indicador producción]])), "")</f>
        <v>Ha</v>
      </c>
      <c r="M12" s="30">
        <f>IF(Tabla2[[#This Row],[Parámetro]]="Tn",Tabla2[[#This Row],[Indicador]]*$B$6,Tabla2[[#This Row],[Indicador]])</f>
        <v>41.68255516</v>
      </c>
      <c r="N12" s="33" t="str">
        <f t="shared" ref="N12:N20" si="1">"MJ/Ha"</f>
        <v>MJ/Ha</v>
      </c>
      <c r="O12" s="31">
        <f>(Tabla2[[#This Row],[Indicador área]]*$B$5)</f>
        <v>4369290.4795366796</v>
      </c>
      <c r="P12" s="65">
        <f>+Tabla2[[#This Row],[Consumo energía '[MJ/año']]]/$O$9</f>
        <v>6.0372776262550415E-3</v>
      </c>
      <c r="Q12" s="66">
        <f>IF(Tabla2[[#This Row],[Energético]]="Energía Eléctrica",((Tabla2[[#This Row],[Participación]]*$D$29)/SUMIF(Tabla2[Energético],"Energía Eléctrica",Tabla2[Participación]))*$B$32,Tabla2[[#This Row],[Consumo energía '[MJ/año']]])</f>
        <v>4369290.4795366796</v>
      </c>
    </row>
    <row r="13" spans="1:17" x14ac:dyDescent="0.2">
      <c r="A13" s="57" t="s">
        <v>52</v>
      </c>
      <c r="B13" s="58">
        <f>SUM(B11:B12)</f>
        <v>554216</v>
      </c>
      <c r="C13" s="57"/>
      <c r="D13" s="59">
        <f>SUM(D11:D12)</f>
        <v>1</v>
      </c>
      <c r="E13" s="54"/>
      <c r="F13" s="26" t="s">
        <v>42</v>
      </c>
      <c r="G13" s="27" t="s">
        <v>34</v>
      </c>
      <c r="H13" s="27" t="s">
        <v>2</v>
      </c>
      <c r="I13" s="27" t="s">
        <v>44</v>
      </c>
      <c r="J13" s="27" t="s">
        <v>35</v>
      </c>
      <c r="K13" s="28">
        <v>2.1457058820000001</v>
      </c>
      <c r="L13" s="33" t="str">
        <f>IFERROR(RIGHT(Tabla2[[#This Row],[Unidades indicador producción]], LEN(Tabla2[[#This Row],[Unidades indicador producción]])-FIND("/", Tabla2[[#This Row],[Unidades indicador producción]])), "")</f>
        <v>Tn</v>
      </c>
      <c r="M13" s="30">
        <f>IF(Tabla2[[#This Row],[Parámetro]]="Tn",Tabla2[[#This Row],[Indicador]]*$B$6,Tabla2[[#This Row],[Indicador]])</f>
        <v>51.604226462100002</v>
      </c>
      <c r="N13" s="33" t="str">
        <f t="shared" si="1"/>
        <v>MJ/Ha</v>
      </c>
      <c r="O13" s="31">
        <f>(Tabla2[[#This Row],[Indicador área]]*$B$5)</f>
        <v>5409309.8304367084</v>
      </c>
      <c r="P13" s="65">
        <f>+Tabla2[[#This Row],[Consumo energía '[MJ/año']]]/$O$9</f>
        <v>7.474326865134405E-3</v>
      </c>
      <c r="Q13" s="66">
        <f>IF(Tabla2[[#This Row],[Energético]]="Energía Eléctrica",((Tabla2[[#This Row],[Participación]]*$D$29)/SUMIF(Tabla2[Energético],"Energía Eléctrica",Tabla2[Participación]))*$B$32,Tabla2[[#This Row],[Consumo energía '[MJ/año']]])</f>
        <v>80553.492197339554</v>
      </c>
    </row>
    <row r="14" spans="1:17" x14ac:dyDescent="0.2">
      <c r="A14" s="54"/>
      <c r="B14" s="54"/>
      <c r="C14" s="54"/>
      <c r="D14" s="54"/>
      <c r="E14" s="54"/>
      <c r="F14" s="26" t="s">
        <v>42</v>
      </c>
      <c r="G14" s="27" t="s">
        <v>34</v>
      </c>
      <c r="H14" s="27" t="s">
        <v>9</v>
      </c>
      <c r="I14" s="27" t="s">
        <v>38</v>
      </c>
      <c r="J14" s="27" t="s">
        <v>22</v>
      </c>
      <c r="K14" s="28">
        <v>64.403846150000007</v>
      </c>
      <c r="L14" s="33" t="str">
        <f>IFERROR(RIGHT(Tabla2[[#This Row],[Unidades indicador producción]], LEN(Tabla2[[#This Row],[Unidades indicador producción]])-FIND("/", Tabla2[[#This Row],[Unidades indicador producción]])), "")</f>
        <v>Ha</v>
      </c>
      <c r="M14" s="30">
        <f>IF(Tabla2[[#This Row],[Parámetro]]="Tn",Tabla2[[#This Row],[Indicador]]*$B$6,Tabla2[[#This Row],[Indicador]])</f>
        <v>64.403846150000007</v>
      </c>
      <c r="N14" s="33" t="str">
        <f t="shared" si="1"/>
        <v>MJ/Ha</v>
      </c>
      <c r="O14" s="31">
        <f>(Tabla2[[#This Row],[Indicador área]]*$B$5)</f>
        <v>6751004.3649814511</v>
      </c>
      <c r="P14" s="65">
        <f>+Tabla2[[#This Row],[Consumo energía '[MJ/año']]]/$O$9</f>
        <v>9.3282165144063824E-3</v>
      </c>
      <c r="Q14" s="66">
        <f>IF(Tabla2[[#This Row],[Energético]]="Energía Eléctrica",((Tabla2[[#This Row],[Participación]]*$D$29)/SUMIF(Tabla2[Energético],"Energía Eléctrica",Tabla2[Participación]))*$B$32,Tabla2[[#This Row],[Consumo energía '[MJ/año']]])</f>
        <v>6751004.3649814511</v>
      </c>
    </row>
    <row r="15" spans="1:17" x14ac:dyDescent="0.2">
      <c r="A15" s="54"/>
      <c r="B15" s="54"/>
      <c r="C15" s="54"/>
      <c r="D15" s="54"/>
      <c r="E15" s="54"/>
      <c r="F15" s="26" t="s">
        <v>42</v>
      </c>
      <c r="G15" s="27" t="s">
        <v>39</v>
      </c>
      <c r="H15" s="27" t="s">
        <v>3</v>
      </c>
      <c r="I15" s="27" t="s">
        <v>44</v>
      </c>
      <c r="J15" s="27" t="s">
        <v>35</v>
      </c>
      <c r="K15" s="28">
        <v>125.4891063</v>
      </c>
      <c r="L15" s="33" t="str">
        <f>IFERROR(RIGHT(Tabla2[[#This Row],[Unidades indicador producción]], LEN(Tabla2[[#This Row],[Unidades indicador producción]])-FIND("/", Tabla2[[#This Row],[Unidades indicador producción]])), "")</f>
        <v>Tn</v>
      </c>
      <c r="M15" s="30">
        <f>IF(Tabla2[[#This Row],[Parámetro]]="Tn",Tabla2[[#This Row],[Indicador]]*$B$6,Tabla2[[#This Row],[Indicador]])</f>
        <v>3018.0130065150001</v>
      </c>
      <c r="N15" s="33" t="str">
        <f t="shared" si="1"/>
        <v>MJ/Ha</v>
      </c>
      <c r="O15" s="31">
        <f>(Tabla2[[#This Row],[Indicador área]]*$B$5)</f>
        <v>316357177.38192189</v>
      </c>
      <c r="P15" s="65">
        <f>+Tabla2[[#This Row],[Consumo energía '[MJ/año']]]/$O$9</f>
        <v>0.43712729054251492</v>
      </c>
      <c r="Q15" s="66">
        <f>IF(Tabla2[[#This Row],[Energético]]="Energía Eléctrica",((Tabla2[[#This Row],[Participación]]*$D$29)/SUMIF(Tabla2[Energético],"Energía Eléctrica",Tabla2[Participación]))*$B$32,Tabla2[[#This Row],[Consumo energía '[MJ/año']]])</f>
        <v>316357177.38192189</v>
      </c>
    </row>
    <row r="16" spans="1:17" x14ac:dyDescent="0.2">
      <c r="A16" s="54"/>
      <c r="B16" s="54"/>
      <c r="C16" s="54"/>
      <c r="D16" s="54"/>
      <c r="E16" s="54"/>
      <c r="F16" s="26" t="s">
        <v>42</v>
      </c>
      <c r="G16" s="27" t="s">
        <v>39</v>
      </c>
      <c r="H16" s="27" t="s">
        <v>2</v>
      </c>
      <c r="I16" s="27" t="s">
        <v>44</v>
      </c>
      <c r="J16" s="27" t="s">
        <v>35</v>
      </c>
      <c r="K16" s="28">
        <v>35.412026670000003</v>
      </c>
      <c r="L16" s="33" t="str">
        <f>IFERROR(RIGHT(Tabla2[[#This Row],[Unidades indicador producción]], LEN(Tabla2[[#This Row],[Unidades indicador producción]])-FIND("/", Tabla2[[#This Row],[Unidades indicador producción]])), "")</f>
        <v>Tn</v>
      </c>
      <c r="M16" s="30">
        <f>IF(Tabla2[[#This Row],[Parámetro]]="Tn",Tabla2[[#This Row],[Indicador]]*$B$6,Tabla2[[#This Row],[Indicador]])</f>
        <v>851.65924141350013</v>
      </c>
      <c r="N16" s="33" t="str">
        <f t="shared" si="1"/>
        <v>MJ/Ha</v>
      </c>
      <c r="O16" s="31">
        <f>(Tabla2[[#This Row],[Indicador área]]*$B$5)</f>
        <v>89273476.662687317</v>
      </c>
      <c r="P16" s="65">
        <f>+Tabla2[[#This Row],[Consumo energía '[MJ/año']]]/$O$9</f>
        <v>0.12335384104075317</v>
      </c>
      <c r="Q16" s="66">
        <f>IF(Tabla2[[#This Row],[Energético]]="Energía Eléctrica",((Tabla2[[#This Row],[Participación]]*$D$29)/SUMIF(Tabla2[Energético],"Energía Eléctrica",Tabla2[Participación]))*$B$32,Tabla2[[#This Row],[Consumo energía '[MJ/año']]])</f>
        <v>1329428.4356414073</v>
      </c>
    </row>
    <row r="17" spans="1:17" x14ac:dyDescent="0.2">
      <c r="A17" s="54"/>
      <c r="B17" s="54"/>
      <c r="C17" s="54"/>
      <c r="D17" s="54"/>
      <c r="E17" s="54"/>
      <c r="F17" s="26" t="s">
        <v>42</v>
      </c>
      <c r="G17" s="27" t="s">
        <v>39</v>
      </c>
      <c r="H17" s="27" t="s">
        <v>9</v>
      </c>
      <c r="I17" s="27" t="s">
        <v>45</v>
      </c>
      <c r="J17" s="27" t="s">
        <v>22</v>
      </c>
      <c r="K17" s="28">
        <v>64.403846150000007</v>
      </c>
      <c r="L17" s="33" t="str">
        <f>IFERROR(RIGHT(Tabla2[[#This Row],[Unidades indicador producción]], LEN(Tabla2[[#This Row],[Unidades indicador producción]])-FIND("/", Tabla2[[#This Row],[Unidades indicador producción]])), "")</f>
        <v>Ha</v>
      </c>
      <c r="M17" s="30">
        <f>IF(Tabla2[[#This Row],[Parámetro]]="Tn",Tabla2[[#This Row],[Indicador]]*$B$6,Tabla2[[#This Row],[Indicador]])</f>
        <v>64.403846150000007</v>
      </c>
      <c r="N17" s="33" t="str">
        <f t="shared" si="1"/>
        <v>MJ/Ha</v>
      </c>
      <c r="O17" s="31">
        <f>(Tabla2[[#This Row],[Indicador área]]*$B$5)</f>
        <v>6751004.3649814511</v>
      </c>
      <c r="P17" s="65">
        <f>+Tabla2[[#This Row],[Consumo energía '[MJ/año']]]/$O$9</f>
        <v>9.3282165144063824E-3</v>
      </c>
      <c r="Q17" s="66">
        <f>IF(Tabla2[[#This Row],[Energético]]="Energía Eléctrica",((Tabla2[[#This Row],[Participación]]*$D$29)/SUMIF(Tabla2[Energético],"Energía Eléctrica",Tabla2[Participación]))*$B$32,Tabla2[[#This Row],[Consumo energía '[MJ/año']]])</f>
        <v>6751004.3649814511</v>
      </c>
    </row>
    <row r="18" spans="1:17" x14ac:dyDescent="0.2">
      <c r="F18" s="26" t="s">
        <v>42</v>
      </c>
      <c r="G18" s="27" t="s">
        <v>40</v>
      </c>
      <c r="H18" s="27" t="s">
        <v>3</v>
      </c>
      <c r="I18" s="27" t="s">
        <v>41</v>
      </c>
      <c r="J18" s="27" t="s">
        <v>22</v>
      </c>
      <c r="K18" s="28">
        <v>502.7834934</v>
      </c>
      <c r="L18" s="33" t="str">
        <f>IFERROR(RIGHT(Tabla2[[#This Row],[Unidades indicador producción]], LEN(Tabla2[[#This Row],[Unidades indicador producción]])-FIND("/", Tabla2[[#This Row],[Unidades indicador producción]])), "")</f>
        <v>Ha</v>
      </c>
      <c r="M18" s="30">
        <f>IF(Tabla2[[#This Row],[Parámetro]]="Tn",Tabla2[[#This Row],[Indicador]]*$B$6,Tabla2[[#This Row],[Indicador]])</f>
        <v>502.7834934</v>
      </c>
      <c r="N18" s="33" t="str">
        <f t="shared" si="1"/>
        <v>MJ/Ha</v>
      </c>
      <c r="O18" s="31">
        <f>(Tabla2[[#This Row],[Indicador área]]*$B$5)</f>
        <v>52703274.128668196</v>
      </c>
      <c r="P18" s="65">
        <f>+Tabla2[[#This Row],[Consumo energía '[MJ/año']]]/$O$9</f>
        <v>7.2822875754677455E-2</v>
      </c>
      <c r="Q18" s="66">
        <f>IF(Tabla2[[#This Row],[Energético]]="Energía Eléctrica",((Tabla2[[#This Row],[Participación]]*$D$29)/SUMIF(Tabla2[Energético],"Energía Eléctrica",Tabla2[Participación]))*$B$32,Tabla2[[#This Row],[Consumo energía '[MJ/año']]])</f>
        <v>52703274.128668196</v>
      </c>
    </row>
    <row r="19" spans="1:17" x14ac:dyDescent="0.2">
      <c r="F19" s="26" t="s">
        <v>42</v>
      </c>
      <c r="G19" s="27" t="s">
        <v>40</v>
      </c>
      <c r="H19" s="27" t="s">
        <v>2</v>
      </c>
      <c r="I19" s="27" t="s">
        <v>41</v>
      </c>
      <c r="J19" s="27" t="s">
        <v>22</v>
      </c>
      <c r="K19" s="28">
        <v>90.793883969999996</v>
      </c>
      <c r="L19" s="33" t="str">
        <f>IFERROR(RIGHT(Tabla2[[#This Row],[Unidades indicador producción]], LEN(Tabla2[[#This Row],[Unidades indicador producción]])-FIND("/", Tabla2[[#This Row],[Unidades indicador producción]])), "")</f>
        <v>Ha</v>
      </c>
      <c r="M19" s="30">
        <f>IF(Tabla2[[#This Row],[Parámetro]]="Tn",Tabla2[[#This Row],[Indicador]]*$B$6,Tabla2[[#This Row],[Indicador]])</f>
        <v>90.793883969999996</v>
      </c>
      <c r="N19" s="33" t="str">
        <f t="shared" si="1"/>
        <v>MJ/Ha</v>
      </c>
      <c r="O19" s="31">
        <f>(Tabla2[[#This Row],[Indicador área]]*$B$5)</f>
        <v>9517287.2993873097</v>
      </c>
      <c r="P19" s="65">
        <f>+Tabla2[[#This Row],[Consumo energía '[MJ/año']]]/$O$9</f>
        <v>1.315053461067326E-2</v>
      </c>
      <c r="Q19" s="66">
        <f>IF(Tabla2[[#This Row],[Energético]]="Energía Eléctrica",((Tabla2[[#This Row],[Participación]]*$D$29)/SUMIF(Tabla2[Energético],"Energía Eléctrica",Tabla2[Participación]))*$B$32,Tabla2[[#This Row],[Consumo energía '[MJ/año']]])</f>
        <v>141728.01193551542</v>
      </c>
    </row>
    <row r="20" spans="1:17" x14ac:dyDescent="0.2">
      <c r="F20" s="26" t="s">
        <v>42</v>
      </c>
      <c r="G20" s="27" t="s">
        <v>46</v>
      </c>
      <c r="H20" s="27" t="s">
        <v>3</v>
      </c>
      <c r="I20" s="27" t="s">
        <v>44</v>
      </c>
      <c r="J20" s="27" t="s">
        <v>35</v>
      </c>
      <c r="K20" s="28">
        <v>86.838461539999997</v>
      </c>
      <c r="L20" s="33" t="str">
        <f>IFERROR(RIGHT(Tabla2[[#This Row],[Unidades indicador producción]], LEN(Tabla2[[#This Row],[Unidades indicador producción]])-FIND("/", Tabla2[[#This Row],[Unidades indicador producción]])), "")</f>
        <v>Tn</v>
      </c>
      <c r="M20" s="30">
        <f>IF(Tabla2[[#This Row],[Parámetro]]="Tn",Tabla2[[#This Row],[Indicador]]*$B$6,Tabla2[[#This Row],[Indicador]])</f>
        <v>2088.4650000370002</v>
      </c>
      <c r="N20" s="33" t="str">
        <f t="shared" si="1"/>
        <v>MJ/Ha</v>
      </c>
      <c r="O20" s="31">
        <f>(Tabla2[[#This Row],[Indicador área]]*$B$5)</f>
        <v>218919166.69887847</v>
      </c>
      <c r="P20" s="65">
        <f>+Tabla2[[#This Row],[Consumo energía '[MJ/año']]]/$O$9</f>
        <v>0.30249208498714591</v>
      </c>
      <c r="Q20" s="66">
        <f>IF(Tabla2[[#This Row],[Energético]]="Energía Eléctrica",((Tabla2[[#This Row],[Participación]]*$D$29)/SUMIF(Tabla2[Energético],"Energía Eléctrica",Tabla2[Participación]))*$B$32,Tabla2[[#This Row],[Consumo energía '[MJ/año']]])</f>
        <v>218919166.69887847</v>
      </c>
    </row>
    <row r="26" spans="1:17" ht="15.75" x14ac:dyDescent="0.25">
      <c r="A26" s="35" t="s">
        <v>27</v>
      </c>
      <c r="B26" s="35"/>
      <c r="C26" s="35"/>
      <c r="D26" s="35"/>
      <c r="F26" s="38"/>
      <c r="G26" s="38"/>
      <c r="H26" s="38"/>
      <c r="I26" s="38"/>
      <c r="J26" s="38"/>
    </row>
    <row r="27" spans="1:17" x14ac:dyDescent="0.2">
      <c r="E27" s="39"/>
      <c r="F27" s="40"/>
      <c r="G27" s="41"/>
      <c r="H27" s="41"/>
      <c r="I27" s="40"/>
      <c r="J27" s="40"/>
    </row>
    <row r="28" spans="1:17" x14ac:dyDescent="0.2">
      <c r="A28" s="16" t="s">
        <v>0</v>
      </c>
      <c r="B28" s="16" t="s">
        <v>31</v>
      </c>
      <c r="C28" s="16" t="s">
        <v>32</v>
      </c>
      <c r="D28" s="16" t="s">
        <v>1</v>
      </c>
      <c r="E28" s="39"/>
      <c r="F28" s="42"/>
      <c r="G28" s="42"/>
      <c r="H28" s="42"/>
      <c r="I28" s="42"/>
      <c r="J28" s="40"/>
    </row>
    <row r="29" spans="1:17" x14ac:dyDescent="0.2">
      <c r="A29" s="17" t="s">
        <v>2</v>
      </c>
      <c r="B29" s="18">
        <f>+B8</f>
        <v>1551709.9397742623</v>
      </c>
      <c r="C29" s="19">
        <f>Banano!$B29/1000000</f>
        <v>1.5517099397742622</v>
      </c>
      <c r="D29" s="20">
        <f>B29/$B$32</f>
        <v>2.4984449377042982E-3</v>
      </c>
      <c r="E29" s="39"/>
      <c r="F29" s="34"/>
      <c r="G29" s="43"/>
      <c r="H29" s="44"/>
      <c r="I29" s="45"/>
      <c r="J29" s="40"/>
    </row>
    <row r="30" spans="1:17" x14ac:dyDescent="0.2">
      <c r="A30" s="17" t="s">
        <v>9</v>
      </c>
      <c r="B30" s="21">
        <f>SUMIF(Tabla2[Energético],A30,Tabla2[Consumo energía '[MJ/año']])</f>
        <v>13502008.729962902</v>
      </c>
      <c r="C30" s="19">
        <f>Banano!$B30/1000000</f>
        <v>13.502008729962903</v>
      </c>
      <c r="D30" s="20">
        <f>B30/$B$32</f>
        <v>2.1739904150593101E-2</v>
      </c>
      <c r="E30" s="39"/>
      <c r="F30" s="34"/>
      <c r="G30" s="43"/>
      <c r="H30" s="44"/>
      <c r="I30" s="45"/>
      <c r="J30" s="40"/>
    </row>
    <row r="31" spans="1:17" x14ac:dyDescent="0.2">
      <c r="A31" s="17" t="s">
        <v>3</v>
      </c>
      <c r="B31" s="21">
        <f>SUMIF(Tabla2[Energético],A31,Tabla2[Consumo energía '[MJ/año']])</f>
        <v>606016578.44077444</v>
      </c>
      <c r="C31" s="19">
        <f>Banano!$B31/1000000</f>
        <v>606.01657844077442</v>
      </c>
      <c r="D31" s="20">
        <f>B31/$B$32</f>
        <v>0.97576165091170253</v>
      </c>
      <c r="E31" s="39"/>
      <c r="F31" s="34"/>
      <c r="G31" s="43"/>
      <c r="H31" s="44"/>
      <c r="I31" s="45"/>
      <c r="J31" s="40"/>
    </row>
    <row r="32" spans="1:17" x14ac:dyDescent="0.2">
      <c r="A32" s="48" t="s">
        <v>52</v>
      </c>
      <c r="B32" s="49">
        <f>SUM(B29:B31)</f>
        <v>621070297.11051166</v>
      </c>
      <c r="C32" s="49">
        <f>SUM(C29:C31)</f>
        <v>621.07029711051155</v>
      </c>
      <c r="D32" s="50">
        <f>SUM(D29:D31)</f>
        <v>0.99999999999999989</v>
      </c>
      <c r="E32" s="39"/>
      <c r="F32" s="34"/>
      <c r="G32" s="41"/>
      <c r="H32" s="40"/>
      <c r="I32" s="40"/>
      <c r="J32" s="40"/>
    </row>
    <row r="33" spans="1:13" x14ac:dyDescent="0.2">
      <c r="E33" s="39"/>
      <c r="F33" s="42"/>
      <c r="G33" s="42"/>
      <c r="H33" s="42"/>
      <c r="I33" s="42"/>
      <c r="J33" s="40"/>
    </row>
    <row r="34" spans="1:13" x14ac:dyDescent="0.2">
      <c r="E34" s="39"/>
      <c r="F34" s="34"/>
      <c r="G34" s="43"/>
      <c r="H34" s="44"/>
      <c r="I34" s="45"/>
      <c r="J34" s="40"/>
    </row>
    <row r="35" spans="1:13" x14ac:dyDescent="0.2">
      <c r="E35" s="39"/>
      <c r="F35" s="34"/>
      <c r="G35" s="43"/>
      <c r="H35" s="44"/>
      <c r="I35" s="45"/>
      <c r="J35" s="40"/>
    </row>
    <row r="36" spans="1:13" ht="18" x14ac:dyDescent="0.25">
      <c r="A36" s="36" t="s">
        <v>33</v>
      </c>
      <c r="B36" s="36"/>
      <c r="C36" s="36"/>
      <c r="E36" s="39"/>
      <c r="F36" s="34"/>
      <c r="G36" s="43"/>
      <c r="H36" s="44"/>
      <c r="I36" s="45"/>
      <c r="J36" s="40"/>
    </row>
    <row r="37" spans="1:13" x14ac:dyDescent="0.2">
      <c r="A37" s="9" t="str">
        <f>+A4</f>
        <v>Grupo Homogeneo</v>
      </c>
      <c r="B37" s="9" t="s">
        <v>28</v>
      </c>
      <c r="C37" s="9" t="s">
        <v>29</v>
      </c>
      <c r="E37" s="39"/>
      <c r="F37" s="40"/>
      <c r="G37" s="40"/>
      <c r="H37" s="40"/>
      <c r="I37" s="40"/>
      <c r="J37" s="40"/>
    </row>
    <row r="38" spans="1:13" x14ac:dyDescent="0.2">
      <c r="A38" s="10" t="str">
        <f>+$B$4</f>
        <v>Banano</v>
      </c>
      <c r="B38" s="11">
        <f>+B32/B5</f>
        <v>5924.9429715855458</v>
      </c>
      <c r="C38" s="11">
        <f>B38/$B$6</f>
        <v>246.35937511790212</v>
      </c>
      <c r="E38" s="39"/>
      <c r="F38" s="40"/>
      <c r="G38" s="40"/>
      <c r="H38" s="40"/>
      <c r="I38" s="40"/>
      <c r="J38" s="40"/>
    </row>
    <row r="39" spans="1:13" x14ac:dyDescent="0.2">
      <c r="E39" s="39"/>
      <c r="F39" s="40"/>
      <c r="G39" s="40"/>
      <c r="H39" s="40"/>
      <c r="I39" s="40"/>
      <c r="J39" s="40"/>
    </row>
    <row r="40" spans="1:13" x14ac:dyDescent="0.2">
      <c r="E40" s="39"/>
      <c r="F40" s="40"/>
      <c r="G40" s="40"/>
      <c r="H40" s="40"/>
      <c r="I40" s="40"/>
      <c r="J40" s="40"/>
    </row>
    <row r="41" spans="1:13" x14ac:dyDescent="0.2">
      <c r="E41" s="39"/>
      <c r="F41" s="40"/>
      <c r="G41" s="40"/>
      <c r="H41" s="40"/>
      <c r="I41" s="40"/>
      <c r="J41" s="40"/>
    </row>
    <row r="42" spans="1:13" x14ac:dyDescent="0.2">
      <c r="E42" s="39"/>
      <c r="F42" s="40"/>
      <c r="G42" s="40"/>
      <c r="H42" s="40"/>
      <c r="I42" s="40"/>
      <c r="J42" s="40"/>
      <c r="K42" s="38"/>
      <c r="L42" s="38"/>
      <c r="M42" s="38"/>
    </row>
    <row r="43" spans="1:13" ht="20.25" x14ac:dyDescent="0.3">
      <c r="A43" s="37" t="s">
        <v>51</v>
      </c>
      <c r="B43" s="37"/>
      <c r="C43" s="37"/>
      <c r="D43" s="37"/>
      <c r="E43" s="39"/>
      <c r="F43" s="46"/>
      <c r="G43" s="46"/>
      <c r="H43" s="46"/>
      <c r="I43" s="46"/>
      <c r="J43" s="40"/>
      <c r="K43" s="38"/>
      <c r="L43" s="38"/>
      <c r="M43" s="38"/>
    </row>
    <row r="44" spans="1:13" x14ac:dyDescent="0.2">
      <c r="E44" s="39"/>
      <c r="F44" s="40"/>
      <c r="G44" s="41"/>
      <c r="H44" s="41"/>
      <c r="I44" s="40"/>
      <c r="J44" s="40"/>
      <c r="K44" s="38"/>
      <c r="L44" s="38"/>
      <c r="M44" s="38"/>
    </row>
    <row r="45" spans="1:13" x14ac:dyDescent="0.2">
      <c r="A45" s="16" t="s">
        <v>0</v>
      </c>
      <c r="B45" s="16" t="s">
        <v>31</v>
      </c>
      <c r="C45" s="16" t="s">
        <v>32</v>
      </c>
      <c r="D45" s="16" t="s">
        <v>1</v>
      </c>
      <c r="E45" s="39"/>
      <c r="F45" s="42"/>
      <c r="G45" s="42"/>
      <c r="H45" s="42"/>
      <c r="I45" s="42"/>
      <c r="J45" s="40"/>
      <c r="K45" s="38"/>
      <c r="L45" s="38"/>
      <c r="M45" s="38"/>
    </row>
    <row r="46" spans="1:13" x14ac:dyDescent="0.2">
      <c r="A46" s="17" t="s">
        <v>2</v>
      </c>
      <c r="B46" s="18">
        <f>+B29+Platano!B29</f>
        <v>8204139.1295987759</v>
      </c>
      <c r="C46" s="19">
        <f>Banano!$B46/1000000</f>
        <v>8.2041391295987758</v>
      </c>
      <c r="D46" s="20">
        <f>B46/$B$49</f>
        <v>3.9688894516449148E-3</v>
      </c>
      <c r="E46" s="39"/>
      <c r="F46" s="34"/>
      <c r="G46" s="47"/>
      <c r="H46" s="47"/>
      <c r="I46" s="45"/>
      <c r="J46" s="40"/>
      <c r="K46" s="38"/>
      <c r="L46" s="38"/>
      <c r="M46" s="38"/>
    </row>
    <row r="47" spans="1:13" x14ac:dyDescent="0.2">
      <c r="A47" s="17" t="s">
        <v>9</v>
      </c>
      <c r="B47" s="18">
        <f>+B30+Platano!B30</f>
        <v>71387283.995736808</v>
      </c>
      <c r="C47" s="19">
        <f>Banano!$B47/1000000</f>
        <v>71.387283995736809</v>
      </c>
      <c r="D47" s="20">
        <f>B47/$B$49</f>
        <v>3.4534792006399806E-2</v>
      </c>
      <c r="E47" s="39"/>
      <c r="F47" s="34"/>
      <c r="G47" s="47"/>
      <c r="H47" s="47"/>
      <c r="I47" s="45"/>
      <c r="J47" s="40"/>
      <c r="K47" s="38"/>
      <c r="L47" s="38"/>
      <c r="M47" s="38"/>
    </row>
    <row r="48" spans="1:13" x14ac:dyDescent="0.2">
      <c r="A48" s="17" t="s">
        <v>3</v>
      </c>
      <c r="B48" s="18">
        <f>+B31+Platano!B31</f>
        <v>1987520606.4623244</v>
      </c>
      <c r="C48" s="19">
        <f>Banano!$B48/1000000</f>
        <v>1987.5206064623244</v>
      </c>
      <c r="D48" s="20">
        <f>B48/$B$49</f>
        <v>0.96149631854195527</v>
      </c>
      <c r="E48" s="39"/>
      <c r="F48" s="34"/>
      <c r="G48" s="47"/>
      <c r="H48" s="47"/>
      <c r="I48" s="45"/>
      <c r="J48" s="40"/>
      <c r="K48" s="38"/>
      <c r="L48" s="38"/>
      <c r="M48" s="38"/>
    </row>
    <row r="49" spans="1:13" x14ac:dyDescent="0.2">
      <c r="A49" s="48" t="s">
        <v>52</v>
      </c>
      <c r="B49" s="49">
        <f>SUM(B46:B48)</f>
        <v>2067112029.5876601</v>
      </c>
      <c r="C49" s="49">
        <f>SUM(C46:C48)</f>
        <v>2067.1120295876599</v>
      </c>
      <c r="D49" s="50">
        <f>SUM(D46:D48)</f>
        <v>1</v>
      </c>
      <c r="E49" s="39"/>
      <c r="F49" s="40"/>
      <c r="G49" s="40"/>
      <c r="H49" s="40"/>
      <c r="I49" s="40"/>
      <c r="J49" s="40"/>
      <c r="K49" s="38"/>
      <c r="L49" s="38"/>
      <c r="M49" s="38"/>
    </row>
    <row r="50" spans="1:13" x14ac:dyDescent="0.2">
      <c r="E50" s="39"/>
      <c r="F50" s="40"/>
      <c r="G50" s="40"/>
      <c r="H50" s="40"/>
      <c r="I50" s="40"/>
      <c r="J50" s="40"/>
      <c r="K50" s="38"/>
      <c r="L50" s="38"/>
      <c r="M50" s="38"/>
    </row>
    <row r="51" spans="1:13" x14ac:dyDescent="0.2">
      <c r="E51" s="39"/>
      <c r="F51" s="40"/>
      <c r="G51" s="40"/>
      <c r="H51" s="40"/>
      <c r="I51" s="40"/>
      <c r="J51" s="40"/>
      <c r="K51" s="38"/>
      <c r="L51" s="38"/>
      <c r="M51" s="38"/>
    </row>
    <row r="52" spans="1:13" x14ac:dyDescent="0.2">
      <c r="E52" s="39"/>
      <c r="F52" s="40"/>
      <c r="G52" s="40"/>
      <c r="H52" s="40"/>
      <c r="I52" s="40"/>
      <c r="J52" s="40"/>
      <c r="K52" s="38"/>
      <c r="L52" s="38"/>
      <c r="M52" s="38"/>
    </row>
    <row r="53" spans="1:13" x14ac:dyDescent="0.2">
      <c r="F53" s="38"/>
      <c r="G53" s="38"/>
      <c r="H53" s="38"/>
      <c r="I53" s="38"/>
      <c r="J53" s="38"/>
      <c r="K53" s="38"/>
      <c r="L53" s="38"/>
      <c r="M53" s="38"/>
    </row>
    <row r="54" spans="1:13" x14ac:dyDescent="0.2">
      <c r="F54" s="38"/>
      <c r="G54" s="38"/>
      <c r="H54" s="38"/>
      <c r="I54" s="38"/>
      <c r="J54" s="38"/>
      <c r="K54" s="38"/>
      <c r="L54" s="38"/>
      <c r="M54" s="38"/>
    </row>
  </sheetData>
  <mergeCells count="6">
    <mergeCell ref="A26:D26"/>
    <mergeCell ref="F8:K8"/>
    <mergeCell ref="A36:C36"/>
    <mergeCell ref="A3:B3"/>
    <mergeCell ref="A43:D43"/>
    <mergeCell ref="F43:I43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 A46:A48 F29:F31 F34:F36 F46:F48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B6C51-D252-4983-8F74-B07A7348E89A}">
  <dimension ref="A1:Q38"/>
  <sheetViews>
    <sheetView showGridLines="0" tabSelected="1" workbookViewId="0">
      <selection activeCell="A21" sqref="A21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7" max="17" width="22" customWidth="1"/>
  </cols>
  <sheetData>
    <row r="1" spans="1:17" ht="18" x14ac:dyDescent="0.25">
      <c r="A1" s="15"/>
    </row>
    <row r="3" spans="1:17" ht="20.25" x14ac:dyDescent="0.2">
      <c r="A3" s="61" t="s">
        <v>54</v>
      </c>
      <c r="B3" s="62"/>
      <c r="C3" s="4"/>
    </row>
    <row r="4" spans="1:17" x14ac:dyDescent="0.2">
      <c r="A4" s="5" t="s">
        <v>30</v>
      </c>
      <c r="B4" s="14" t="str">
        <f>+A11</f>
        <v>Banano</v>
      </c>
      <c r="C4" s="4"/>
    </row>
    <row r="5" spans="1:17" x14ac:dyDescent="0.2">
      <c r="A5" s="6" t="s">
        <v>13</v>
      </c>
      <c r="B5" s="7">
        <f>+B12</f>
        <v>449393</v>
      </c>
      <c r="C5" s="32" t="s">
        <v>56</v>
      </c>
    </row>
    <row r="6" spans="1:17" x14ac:dyDescent="0.2">
      <c r="A6" s="6" t="s">
        <v>14</v>
      </c>
      <c r="B6" s="7">
        <f>+C12</f>
        <v>11.3</v>
      </c>
      <c r="C6" s="32" t="s">
        <v>57</v>
      </c>
    </row>
    <row r="7" spans="1:17" ht="25.5" x14ac:dyDescent="0.2">
      <c r="A7" s="8" t="s">
        <v>15</v>
      </c>
      <c r="B7" s="7">
        <f>2278927.53599966*D12</f>
        <v>1847896.997173476</v>
      </c>
      <c r="C7" s="32" t="s">
        <v>55</v>
      </c>
    </row>
    <row r="8" spans="1:17" ht="26.25" x14ac:dyDescent="0.25">
      <c r="A8" s="8" t="s">
        <v>15</v>
      </c>
      <c r="B8" s="22">
        <f>+B7*3.6</f>
        <v>6652429.1898245141</v>
      </c>
      <c r="C8" s="1"/>
      <c r="F8" s="35" t="s">
        <v>58</v>
      </c>
      <c r="G8" s="35"/>
      <c r="H8" s="35"/>
      <c r="I8" s="35"/>
      <c r="J8" s="35"/>
      <c r="K8" s="35"/>
      <c r="Q8" s="12" t="s">
        <v>61</v>
      </c>
    </row>
    <row r="9" spans="1:17" ht="35.25" customHeight="1" x14ac:dyDescent="0.25">
      <c r="J9" s="3" t="s">
        <v>26</v>
      </c>
      <c r="O9" s="13">
        <f>SUM(Tabla22[Consumo energía '[MJ/año']])</f>
        <v>1670914896.9698269</v>
      </c>
      <c r="Q9" s="64">
        <f>SUM(Tabla22[Consumo energía corregida '[MJ/año']])</f>
        <v>1446041732.4771485</v>
      </c>
    </row>
    <row r="10" spans="1:17" s="2" customFormat="1" ht="38.25" x14ac:dyDescent="0.2">
      <c r="A10" s="16" t="s">
        <v>53</v>
      </c>
      <c r="B10" s="16" t="s">
        <v>47</v>
      </c>
      <c r="C10" s="16" t="s">
        <v>48</v>
      </c>
      <c r="D10" s="16" t="s">
        <v>1</v>
      </c>
      <c r="F10" s="23" t="s">
        <v>16</v>
      </c>
      <c r="G10" s="24" t="s">
        <v>17</v>
      </c>
      <c r="H10" s="24" t="s">
        <v>18</v>
      </c>
      <c r="I10" s="24" t="s">
        <v>19</v>
      </c>
      <c r="J10" s="25" t="s">
        <v>20</v>
      </c>
      <c r="K10" s="24" t="s">
        <v>21</v>
      </c>
      <c r="L10" s="24" t="s">
        <v>23</v>
      </c>
      <c r="M10" s="24" t="s">
        <v>24</v>
      </c>
      <c r="N10" s="24" t="s">
        <v>25</v>
      </c>
      <c r="O10" s="63" t="s">
        <v>59</v>
      </c>
      <c r="P10" s="63" t="s">
        <v>1</v>
      </c>
      <c r="Q10" s="63" t="s">
        <v>60</v>
      </c>
    </row>
    <row r="11" spans="1:17" x14ac:dyDescent="0.2">
      <c r="A11" s="52" t="s">
        <v>49</v>
      </c>
      <c r="B11" s="53">
        <v>104823</v>
      </c>
      <c r="C11" s="52">
        <v>24.05</v>
      </c>
      <c r="D11" s="60">
        <f>+B11/$B$13</f>
        <v>0.18913744821513634</v>
      </c>
      <c r="F11" s="26" t="s">
        <v>42</v>
      </c>
      <c r="G11" s="27" t="s">
        <v>36</v>
      </c>
      <c r="H11" s="27" t="s">
        <v>3</v>
      </c>
      <c r="I11" s="27" t="s">
        <v>37</v>
      </c>
      <c r="J11" s="27" t="s">
        <v>22</v>
      </c>
      <c r="K11" s="28">
        <v>130.38808040000001</v>
      </c>
      <c r="L11" s="29" t="str">
        <f>IFERROR(RIGHT(Tabla22[[#This Row],[Unidades indicador producción]], LEN(Tabla22[[#This Row],[Unidades indicador producción]])-FIND("/", Tabla22[[#This Row],[Unidades indicador producción]])), "")</f>
        <v>Ha</v>
      </c>
      <c r="M11" s="30">
        <f>IF(Tabla22[[#This Row],[Parámetro]]="Tn",Tabla22[[#This Row],[Indicador]]*$B$6,Tabla22[[#This Row],[Indicador]])</f>
        <v>130.38808040000001</v>
      </c>
      <c r="N11" s="29" t="str">
        <f t="shared" ref="N11" si="0">"MJ/Ha"</f>
        <v>MJ/Ha</v>
      </c>
      <c r="O11" s="31">
        <f>(Tabla22[[#This Row],[Indicador área]]*$B$5)</f>
        <v>58595490.615197204</v>
      </c>
      <c r="P11" s="67">
        <f>+Tabla22[[#This Row],[Consumo energía '[MJ/año']]]/$O$9</f>
        <v>3.5067908438340595E-2</v>
      </c>
      <c r="Q11" s="66">
        <f>IF(Tabla22[[#This Row],[Energético]]="Energía Eléctrica",((Tabla22[[#This Row],[Participación]]*$D$29)/SUMIF(Tabla22[Energético],"Energía Eléctrica",Tabla22[Participación]))*$B$32,Tabla22[[#This Row],[Consumo energía '[MJ/año']]])</f>
        <v>58595490.615197204</v>
      </c>
    </row>
    <row r="12" spans="1:17" x14ac:dyDescent="0.2">
      <c r="A12" s="55" t="s">
        <v>50</v>
      </c>
      <c r="B12" s="56">
        <v>449393</v>
      </c>
      <c r="C12" s="55">
        <v>11.3</v>
      </c>
      <c r="D12" s="60">
        <f>+B12/$B$13</f>
        <v>0.81086255178486366</v>
      </c>
      <c r="F12" s="26" t="s">
        <v>42</v>
      </c>
      <c r="G12" s="27" t="s">
        <v>34</v>
      </c>
      <c r="H12" s="27" t="s">
        <v>3</v>
      </c>
      <c r="I12" s="27" t="s">
        <v>43</v>
      </c>
      <c r="J12" s="27" t="s">
        <v>22</v>
      </c>
      <c r="K12" s="28">
        <v>41.68255516</v>
      </c>
      <c r="L12" s="33" t="str">
        <f>IFERROR(RIGHT(Tabla22[[#This Row],[Unidades indicador producción]], LEN(Tabla22[[#This Row],[Unidades indicador producción]])-FIND("/", Tabla22[[#This Row],[Unidades indicador producción]])), "")</f>
        <v>Ha</v>
      </c>
      <c r="M12" s="30">
        <f>IF(Tabla22[[#This Row],[Parámetro]]="Tn",Tabla22[[#This Row],[Indicador]]*$B$6,Tabla22[[#This Row],[Indicador]])</f>
        <v>41.68255516</v>
      </c>
      <c r="N12" s="33" t="str">
        <f t="shared" ref="N12:N20" si="1">"MJ/Ha"</f>
        <v>MJ/Ha</v>
      </c>
      <c r="O12" s="31">
        <f>(Tabla22[[#This Row],[Indicador área]]*$B$5)</f>
        <v>18731848.511017881</v>
      </c>
      <c r="P12" s="67">
        <f>+Tabla22[[#This Row],[Consumo energía '[MJ/año']]]/$O$9</f>
        <v>1.1210534148081234E-2</v>
      </c>
      <c r="Q12" s="66">
        <f>IF(Tabla22[[#This Row],[Energético]]="Energía Eléctrica",((Tabla22[[#This Row],[Participación]]*$D$29)/SUMIF(Tabla22[Energético],"Energía Eléctrica",Tabla22[Participación]))*$B$32,Tabla22[[#This Row],[Consumo energía '[MJ/año']]])</f>
        <v>18731848.511017881</v>
      </c>
    </row>
    <row r="13" spans="1:17" x14ac:dyDescent="0.2">
      <c r="A13" s="57" t="s">
        <v>52</v>
      </c>
      <c r="B13" s="58">
        <f>SUM(B11:B12)</f>
        <v>554216</v>
      </c>
      <c r="C13" s="57"/>
      <c r="D13" s="59">
        <f>SUM(D11:D12)</f>
        <v>1</v>
      </c>
      <c r="F13" s="26" t="s">
        <v>42</v>
      </c>
      <c r="G13" s="27" t="s">
        <v>34</v>
      </c>
      <c r="H13" s="27" t="s">
        <v>2</v>
      </c>
      <c r="I13" s="27" t="s">
        <v>44</v>
      </c>
      <c r="J13" s="27" t="s">
        <v>35</v>
      </c>
      <c r="K13" s="28">
        <v>2.1457058820000001</v>
      </c>
      <c r="L13" s="33" t="str">
        <f>IFERROR(RIGHT(Tabla22[[#This Row],[Unidades indicador producción]], LEN(Tabla22[[#This Row],[Unidades indicador producción]])-FIND("/", Tabla22[[#This Row],[Unidades indicador producción]])), "")</f>
        <v>Tn</v>
      </c>
      <c r="M13" s="30">
        <f>IF(Tabla22[[#This Row],[Parámetro]]="Tn",Tabla22[[#This Row],[Indicador]]*$B$6,Tabla22[[#This Row],[Indicador]])</f>
        <v>24.246476466600004</v>
      </c>
      <c r="N13" s="33" t="str">
        <f t="shared" si="1"/>
        <v>MJ/Ha</v>
      </c>
      <c r="O13" s="31">
        <f>(Tabla22[[#This Row],[Indicador área]]*$B$5)</f>
        <v>10896196.798754776</v>
      </c>
      <c r="P13" s="67">
        <f>+Tabla22[[#This Row],[Consumo energía '[MJ/año']]]/$O$9</f>
        <v>6.5210962081401185E-3</v>
      </c>
      <c r="Q13" s="66">
        <f>IF(Tabla22[[#This Row],[Energético]]="Energía Eléctrica",((Tabla22[[#This Row],[Participación]]*$D$29)/SUMIF(Tabla22[Energético],"Energía Eléctrica",Tabla22[Participación]))*$B$32,Tabla22[[#This Row],[Consumo energía '[MJ/año']]])</f>
        <v>313080.62529584049</v>
      </c>
    </row>
    <row r="14" spans="1:17" x14ac:dyDescent="0.2">
      <c r="A14" s="54"/>
      <c r="B14" s="54"/>
      <c r="C14" s="54"/>
      <c r="D14" s="54"/>
      <c r="F14" s="26" t="s">
        <v>42</v>
      </c>
      <c r="G14" s="27" t="s">
        <v>34</v>
      </c>
      <c r="H14" s="27" t="s">
        <v>9</v>
      </c>
      <c r="I14" s="27" t="s">
        <v>38</v>
      </c>
      <c r="J14" s="27" t="s">
        <v>22</v>
      </c>
      <c r="K14" s="28">
        <v>64.403846150000007</v>
      </c>
      <c r="L14" s="33" t="str">
        <f>IFERROR(RIGHT(Tabla22[[#This Row],[Unidades indicador producción]], LEN(Tabla22[[#This Row],[Unidades indicador producción]])-FIND("/", Tabla22[[#This Row],[Unidades indicador producción]])), "")</f>
        <v>Ha</v>
      </c>
      <c r="M14" s="30">
        <f>IF(Tabla22[[#This Row],[Parámetro]]="Tn",Tabla22[[#This Row],[Indicador]]*$B$6,Tabla22[[#This Row],[Indicador]])</f>
        <v>64.403846150000007</v>
      </c>
      <c r="N14" s="33" t="str">
        <f t="shared" si="1"/>
        <v>MJ/Ha</v>
      </c>
      <c r="O14" s="31">
        <f>(Tabla22[[#This Row],[Indicador área]]*$B$5)</f>
        <v>28942637.632886954</v>
      </c>
      <c r="P14" s="67">
        <f>+Tabla22[[#This Row],[Consumo energía '[MJ/año']]]/$O$9</f>
        <v>1.7321431322070254E-2</v>
      </c>
      <c r="Q14" s="66">
        <f>IF(Tabla22[[#This Row],[Energético]]="Energía Eléctrica",((Tabla22[[#This Row],[Participación]]*$D$29)/SUMIF(Tabla22[Energético],"Energía Eléctrica",Tabla22[Participación]))*$B$32,Tabla22[[#This Row],[Consumo energía '[MJ/año']]])</f>
        <v>28942637.632886954</v>
      </c>
    </row>
    <row r="15" spans="1:17" x14ac:dyDescent="0.2">
      <c r="A15" s="54"/>
      <c r="B15" s="54"/>
      <c r="C15" s="54"/>
      <c r="D15" s="54"/>
      <c r="F15" s="26" t="s">
        <v>42</v>
      </c>
      <c r="G15" s="27" t="s">
        <v>39</v>
      </c>
      <c r="H15" s="27" t="s">
        <v>3</v>
      </c>
      <c r="I15" s="27" t="s">
        <v>44</v>
      </c>
      <c r="J15" s="27" t="s">
        <v>35</v>
      </c>
      <c r="K15" s="28">
        <v>125.4891063</v>
      </c>
      <c r="L15" s="33" t="str">
        <f>IFERROR(RIGHT(Tabla22[[#This Row],[Unidades indicador producción]], LEN(Tabla22[[#This Row],[Unidades indicador producción]])-FIND("/", Tabla22[[#This Row],[Unidades indicador producción]])), "")</f>
        <v>Tn</v>
      </c>
      <c r="M15" s="30">
        <f>IF(Tabla22[[#This Row],[Parámetro]]="Tn",Tabla22[[#This Row],[Indicador]]*$B$6,Tabla22[[#This Row],[Indicador]])</f>
        <v>1418.0269011900002</v>
      </c>
      <c r="N15" s="33" t="str">
        <f t="shared" si="1"/>
        <v>MJ/Ha</v>
      </c>
      <c r="O15" s="31">
        <f>(Tabla22[[#This Row],[Indicador área]]*$B$5)</f>
        <v>637251363.20647776</v>
      </c>
      <c r="P15" s="67">
        <f>+Tabla22[[#This Row],[Consumo energía '[MJ/año']]]/$O$9</f>
        <v>0.38137870717540506</v>
      </c>
      <c r="Q15" s="66">
        <f>IF(Tabla22[[#This Row],[Energético]]="Energía Eléctrica",((Tabla22[[#This Row],[Participación]]*$D$29)/SUMIF(Tabla22[Energético],"Energía Eléctrica",Tabla22[Participación]))*$B$32,Tabla22[[#This Row],[Consumo energía '[MJ/año']]])</f>
        <v>637251363.20647776</v>
      </c>
    </row>
    <row r="16" spans="1:17" x14ac:dyDescent="0.2">
      <c r="A16" s="54"/>
      <c r="B16" s="54"/>
      <c r="C16" s="54"/>
      <c r="D16" s="54"/>
      <c r="F16" s="26" t="s">
        <v>42</v>
      </c>
      <c r="G16" s="27" t="s">
        <v>39</v>
      </c>
      <c r="H16" s="27" t="s">
        <v>2</v>
      </c>
      <c r="I16" s="27" t="s">
        <v>44</v>
      </c>
      <c r="J16" s="27" t="s">
        <v>35</v>
      </c>
      <c r="K16" s="28">
        <v>35.412026670000003</v>
      </c>
      <c r="L16" s="33" t="str">
        <f>IFERROR(RIGHT(Tabla22[[#This Row],[Unidades indicador producción]], LEN(Tabla22[[#This Row],[Unidades indicador producción]])-FIND("/", Tabla22[[#This Row],[Unidades indicador producción]])), "")</f>
        <v>Tn</v>
      </c>
      <c r="M16" s="30">
        <f>IF(Tabla22[[#This Row],[Parámetro]]="Tn",Tabla22[[#This Row],[Indicador]]*$B$6,Tabla22[[#This Row],[Indicador]])</f>
        <v>400.15590137100008</v>
      </c>
      <c r="N16" s="33" t="str">
        <f t="shared" si="1"/>
        <v>MJ/Ha</v>
      </c>
      <c r="O16" s="31">
        <f>(Tabla22[[#This Row],[Indicador área]]*$B$5)</f>
        <v>179827260.98481783</v>
      </c>
      <c r="P16" s="67">
        <f>+Tabla22[[#This Row],[Consumo energía '[MJ/año']]]/$O$9</f>
        <v>0.1076220346774879</v>
      </c>
      <c r="Q16" s="66">
        <f>IF(Tabla22[[#This Row],[Energético]]="Energía Eléctrica",((Tabla22[[#This Row],[Participación]]*$D$29)/SUMIF(Tabla22[Energético],"Energía Eléctrica",Tabla22[Participación]))*$B$32,Tabla22[[#This Row],[Consumo energía '[MJ/año']]])</f>
        <v>5166980.034795179</v>
      </c>
    </row>
    <row r="17" spans="1:17" x14ac:dyDescent="0.2">
      <c r="A17" s="54"/>
      <c r="B17" s="54"/>
      <c r="C17" s="54"/>
      <c r="D17" s="54"/>
      <c r="F17" s="26" t="s">
        <v>42</v>
      </c>
      <c r="G17" s="27" t="s">
        <v>39</v>
      </c>
      <c r="H17" s="27" t="s">
        <v>9</v>
      </c>
      <c r="I17" s="27" t="s">
        <v>45</v>
      </c>
      <c r="J17" s="27" t="s">
        <v>22</v>
      </c>
      <c r="K17" s="28">
        <v>64.403846150000007</v>
      </c>
      <c r="L17" s="33" t="str">
        <f>IFERROR(RIGHT(Tabla22[[#This Row],[Unidades indicador producción]], LEN(Tabla22[[#This Row],[Unidades indicador producción]])-FIND("/", Tabla22[[#This Row],[Unidades indicador producción]])), "")</f>
        <v>Ha</v>
      </c>
      <c r="M17" s="30">
        <f>IF(Tabla22[[#This Row],[Parámetro]]="Tn",Tabla22[[#This Row],[Indicador]]*$B$6,Tabla22[[#This Row],[Indicador]])</f>
        <v>64.403846150000007</v>
      </c>
      <c r="N17" s="33" t="str">
        <f t="shared" si="1"/>
        <v>MJ/Ha</v>
      </c>
      <c r="O17" s="31">
        <f>(Tabla22[[#This Row],[Indicador área]]*$B$5)</f>
        <v>28942637.632886954</v>
      </c>
      <c r="P17" s="67">
        <f>+Tabla22[[#This Row],[Consumo energía '[MJ/año']]]/$O$9</f>
        <v>1.7321431322070254E-2</v>
      </c>
      <c r="Q17" s="66">
        <f>IF(Tabla22[[#This Row],[Energético]]="Energía Eléctrica",((Tabla22[[#This Row],[Participación]]*$D$29)/SUMIF(Tabla22[Energético],"Energía Eléctrica",Tabla22[Participación]))*$B$32,Tabla22[[#This Row],[Consumo energía '[MJ/año']]])</f>
        <v>28942637.632886954</v>
      </c>
    </row>
    <row r="18" spans="1:17" x14ac:dyDescent="0.2">
      <c r="F18" s="26" t="s">
        <v>42</v>
      </c>
      <c r="G18" s="27" t="s">
        <v>40</v>
      </c>
      <c r="H18" s="27" t="s">
        <v>3</v>
      </c>
      <c r="I18" s="27" t="s">
        <v>41</v>
      </c>
      <c r="J18" s="27" t="s">
        <v>22</v>
      </c>
      <c r="K18" s="28">
        <v>502.7834934</v>
      </c>
      <c r="L18" s="33" t="str">
        <f>IFERROR(RIGHT(Tabla22[[#This Row],[Unidades indicador producción]], LEN(Tabla22[[#This Row],[Unidades indicador producción]])-FIND("/", Tabla22[[#This Row],[Unidades indicador producción]])), "")</f>
        <v>Ha</v>
      </c>
      <c r="M18" s="30">
        <f>IF(Tabla22[[#This Row],[Parámetro]]="Tn",Tabla22[[#This Row],[Indicador]]*$B$6,Tabla22[[#This Row],[Indicador]])</f>
        <v>502.7834934</v>
      </c>
      <c r="N18" s="33" t="str">
        <f t="shared" si="1"/>
        <v>MJ/Ha</v>
      </c>
      <c r="O18" s="31">
        <f>(Tabla22[[#This Row],[Indicador área]]*$B$5)</f>
        <v>225947382.44950619</v>
      </c>
      <c r="P18" s="67">
        <f>+Tabla22[[#This Row],[Consumo energía '[MJ/año']]]/$O$9</f>
        <v>0.13522375248389823</v>
      </c>
      <c r="Q18" s="66">
        <f>IF(Tabla22[[#This Row],[Energético]]="Energía Eléctrica",((Tabla22[[#This Row],[Participación]]*$D$29)/SUMIF(Tabla22[Energético],"Energía Eléctrica",Tabla22[Participación]))*$B$32,Tabla22[[#This Row],[Consumo energía '[MJ/año']]])</f>
        <v>225947382.44950619</v>
      </c>
    </row>
    <row r="19" spans="1:17" x14ac:dyDescent="0.2">
      <c r="F19" s="26" t="s">
        <v>42</v>
      </c>
      <c r="G19" s="27" t="s">
        <v>40</v>
      </c>
      <c r="H19" s="27" t="s">
        <v>2</v>
      </c>
      <c r="I19" s="27" t="s">
        <v>41</v>
      </c>
      <c r="J19" s="27" t="s">
        <v>22</v>
      </c>
      <c r="K19" s="28">
        <v>90.793883969999996</v>
      </c>
      <c r="L19" s="33" t="str">
        <f>IFERROR(RIGHT(Tabla22[[#This Row],[Unidades indicador producción]], LEN(Tabla22[[#This Row],[Unidades indicador producción]])-FIND("/", Tabla22[[#This Row],[Unidades indicador producción]])), "")</f>
        <v>Ha</v>
      </c>
      <c r="M19" s="30">
        <f>IF(Tabla22[[#This Row],[Parámetro]]="Tn",Tabla22[[#This Row],[Indicador]]*$B$6,Tabla22[[#This Row],[Indicador]])</f>
        <v>90.793883969999996</v>
      </c>
      <c r="N19" s="33" t="str">
        <f t="shared" si="1"/>
        <v>MJ/Ha</v>
      </c>
      <c r="O19" s="31">
        <f>(Tabla22[[#This Row],[Indicador área]]*$B$5)</f>
        <v>40802135.898930207</v>
      </c>
      <c r="P19" s="67">
        <f>+Tabla22[[#This Row],[Consumo energía '[MJ/año']]]/$O$9</f>
        <v>2.441903891869306E-2</v>
      </c>
      <c r="Q19" s="66">
        <f>IF(Tabla22[[#This Row],[Energético]]="Energía Eléctrica",((Tabla22[[#This Row],[Participación]]*$D$29)/SUMIF(Tabla22[Energético],"Energía Eléctrica",Tabla22[Participación]))*$B$32,Tabla22[[#This Row],[Consumo energía '[MJ/año']]])</f>
        <v>1172368.529733493</v>
      </c>
    </row>
    <row r="20" spans="1:17" x14ac:dyDescent="0.2">
      <c r="F20" s="26" t="s">
        <v>42</v>
      </c>
      <c r="G20" s="27" t="s">
        <v>46</v>
      </c>
      <c r="H20" s="27" t="s">
        <v>3</v>
      </c>
      <c r="I20" s="27" t="s">
        <v>44</v>
      </c>
      <c r="J20" s="27" t="s">
        <v>35</v>
      </c>
      <c r="K20" s="28">
        <v>86.838461539999997</v>
      </c>
      <c r="L20" s="33" t="str">
        <f>IFERROR(RIGHT(Tabla22[[#This Row],[Unidades indicador producción]], LEN(Tabla22[[#This Row],[Unidades indicador producción]])-FIND("/", Tabla22[[#This Row],[Unidades indicador producción]])), "")</f>
        <v>Tn</v>
      </c>
      <c r="M20" s="30">
        <f>IF(Tabla22[[#This Row],[Parámetro]]="Tn",Tabla22[[#This Row],[Indicador]]*$B$6,Tabla22[[#This Row],[Indicador]])</f>
        <v>981.27461540199999</v>
      </c>
      <c r="N20" s="33" t="str">
        <f t="shared" si="1"/>
        <v>MJ/Ha</v>
      </c>
      <c r="O20" s="31">
        <f>(Tabla22[[#This Row],[Indicador área]]*$B$5)</f>
        <v>440977943.23935097</v>
      </c>
      <c r="P20" s="67">
        <f>+Tabla22[[#This Row],[Consumo energía '[MJ/año']]]/$O$9</f>
        <v>0.26391406530581318</v>
      </c>
      <c r="Q20" s="66">
        <f>IF(Tabla22[[#This Row],[Energético]]="Energía Eléctrica",((Tabla22[[#This Row],[Participación]]*$D$29)/SUMIF(Tabla22[Energético],"Energía Eléctrica",Tabla22[Participación]))*$B$32,Tabla22[[#This Row],[Consumo energía '[MJ/año']]])</f>
        <v>440977943.23935097</v>
      </c>
    </row>
    <row r="26" spans="1:17" ht="15.75" x14ac:dyDescent="0.25">
      <c r="A26" s="35" t="s">
        <v>27</v>
      </c>
      <c r="B26" s="35"/>
      <c r="C26" s="35"/>
      <c r="D26" s="35"/>
    </row>
    <row r="28" spans="1:17" x14ac:dyDescent="0.2">
      <c r="A28" s="16" t="s">
        <v>0</v>
      </c>
      <c r="B28" s="16" t="s">
        <v>31</v>
      </c>
      <c r="C28" s="16" t="s">
        <v>32</v>
      </c>
      <c r="D28" s="16" t="s">
        <v>1</v>
      </c>
    </row>
    <row r="29" spans="1:17" x14ac:dyDescent="0.2">
      <c r="A29" s="17" t="s">
        <v>2</v>
      </c>
      <c r="B29" s="18">
        <f>+B8</f>
        <v>6652429.1898245141</v>
      </c>
      <c r="C29" s="19">
        <f>Platano!$B29/1000000</f>
        <v>6.652429189824514</v>
      </c>
      <c r="D29" s="20">
        <f>B29/$B$32</f>
        <v>4.6004406653109104E-3</v>
      </c>
    </row>
    <row r="30" spans="1:17" x14ac:dyDescent="0.2">
      <c r="A30" s="17" t="s">
        <v>9</v>
      </c>
      <c r="B30" s="21">
        <f>SUMIF(Tabla22[Energético],A30,Tabla22[Consumo energía '[MJ/año']])</f>
        <v>57885275.265773907</v>
      </c>
      <c r="C30" s="19">
        <f>Platano!$B30/1000000</f>
        <v>57.885275265773906</v>
      </c>
      <c r="D30" s="20">
        <f>B30/$B$32</f>
        <v>4.0030155399881355E-2</v>
      </c>
    </row>
    <row r="31" spans="1:17" x14ac:dyDescent="0.2">
      <c r="A31" s="17" t="s">
        <v>3</v>
      </c>
      <c r="B31" s="21">
        <f>SUMIF(Tabla22[Energético],A31,Tabla22[Consumo energía '[MJ/año']])</f>
        <v>1381504028.0215499</v>
      </c>
      <c r="C31" s="19">
        <f>Platano!$B31/1000000</f>
        <v>1381.5040280215499</v>
      </c>
      <c r="D31" s="20">
        <f>B31/$B$32</f>
        <v>0.95536940393480774</v>
      </c>
    </row>
    <row r="32" spans="1:17" x14ac:dyDescent="0.2">
      <c r="A32" s="48" t="s">
        <v>52</v>
      </c>
      <c r="B32" s="49">
        <f>SUM(B29:B31)</f>
        <v>1446041732.4771483</v>
      </c>
      <c r="C32" s="49">
        <f>SUM(C29:C31)</f>
        <v>1446.0417324771483</v>
      </c>
      <c r="D32" s="50">
        <f>SUM(D29:D31)</f>
        <v>1</v>
      </c>
    </row>
    <row r="36" spans="1:3" ht="18" x14ac:dyDescent="0.25">
      <c r="A36" s="36" t="s">
        <v>33</v>
      </c>
      <c r="B36" s="36"/>
      <c r="C36" s="36"/>
    </row>
    <row r="37" spans="1:3" x14ac:dyDescent="0.2">
      <c r="A37" s="9" t="str">
        <f>+A4</f>
        <v>Grupo Homogeneo</v>
      </c>
      <c r="B37" s="9" t="s">
        <v>28</v>
      </c>
      <c r="C37" s="9" t="s">
        <v>29</v>
      </c>
    </row>
    <row r="38" spans="1:3" x14ac:dyDescent="0.2">
      <c r="A38" s="10" t="s">
        <v>50</v>
      </c>
      <c r="B38" s="11">
        <f>+B32/B5</f>
        <v>3217.7664816255447</v>
      </c>
      <c r="C38" s="11">
        <f>B38/$B$6</f>
        <v>284.75809571907473</v>
      </c>
    </row>
  </sheetData>
  <mergeCells count="4">
    <mergeCell ref="A3:B3"/>
    <mergeCell ref="F8:K8"/>
    <mergeCell ref="A26:D26"/>
    <mergeCell ref="A36:C36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C959972-591C-4A7A-9620-AA95F41273E6}">
          <x14:formula1>
            <xm:f>Hoja2!$A$1:$A$11</xm:f>
          </x14:formula1>
          <xm:sqref>A29:A31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Banano</vt:lpstr>
      <vt:lpstr>Platano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2024-01-24T00:21:26Z</dcterms:modified>
</cp:coreProperties>
</file>