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4348FA6-EBC0-4BB9-93DB-2A47F95379B0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Aves de corral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D33" i="1"/>
  <c r="C33" i="1"/>
  <c r="B33" i="1"/>
  <c r="B7" i="1"/>
  <c r="B13" i="1" l="1"/>
  <c r="B22" i="1" l="1"/>
  <c r="C22" i="1" s="1"/>
  <c r="D22" i="1" s="1"/>
  <c r="B23" i="1" l="1"/>
  <c r="C23" i="1" s="1"/>
  <c r="D23" i="1" s="1"/>
  <c r="B5" i="1" l="1"/>
  <c r="L12" i="1"/>
  <c r="L13" i="1" l="1"/>
  <c r="N13" i="1" s="1"/>
  <c r="L16" i="1"/>
  <c r="L20" i="1"/>
  <c r="N20" i="1" s="1"/>
  <c r="L24" i="1"/>
  <c r="N24" i="1" s="1"/>
  <c r="L14" i="1"/>
  <c r="N14" i="1" s="1"/>
  <c r="L18" i="1"/>
  <c r="N18" i="1" s="1"/>
  <c r="L22" i="1"/>
  <c r="N22" i="1" s="1"/>
  <c r="L17" i="1"/>
  <c r="L21" i="1"/>
  <c r="N21" i="1" s="1"/>
  <c r="L15" i="1"/>
  <c r="N15" i="1" s="1"/>
  <c r="L19" i="1"/>
  <c r="L23" i="1"/>
  <c r="L11" i="1"/>
  <c r="N11" i="1" s="1"/>
  <c r="B8" i="1"/>
  <c r="B29" i="1" s="1"/>
  <c r="A38" i="1"/>
  <c r="A39" i="1"/>
  <c r="B32" i="1" l="1"/>
  <c r="C32" i="1" s="1"/>
  <c r="C29" i="1"/>
  <c r="B31" i="1"/>
  <c r="C31" i="1" s="1"/>
  <c r="B30" i="1"/>
  <c r="L9" i="1" l="1"/>
  <c r="C30" i="1"/>
  <c r="M15" i="1" l="1"/>
  <c r="M19" i="1"/>
  <c r="M23" i="1"/>
  <c r="M14" i="1"/>
  <c r="M18" i="1"/>
  <c r="M16" i="1"/>
  <c r="M20" i="1"/>
  <c r="M24" i="1"/>
  <c r="M17" i="1"/>
  <c r="M21" i="1"/>
  <c r="M22" i="1"/>
  <c r="M11" i="1"/>
  <c r="M12" i="1"/>
  <c r="M13" i="1"/>
  <c r="N23" i="1" l="1"/>
  <c r="N17" i="1"/>
  <c r="D29" i="1"/>
  <c r="N12" i="1" s="1"/>
  <c r="N16" i="1"/>
  <c r="D32" i="1"/>
  <c r="B39" i="1"/>
  <c r="D31" i="1"/>
  <c r="D30" i="1"/>
  <c r="N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Asmoralesr</author>
  </authors>
  <commentList>
    <comment ref="A22" authorId="0" shapeId="0" xr:uid="{46957985-36D2-41BF-92DB-C2B6789CDB31}">
      <text>
        <r>
          <rPr>
            <b/>
            <sz val="9"/>
            <color indexed="81"/>
            <rFont val="Tahoma"/>
            <family val="2"/>
          </rPr>
          <t>Huevos</t>
        </r>
      </text>
    </comment>
    <comment ref="A23" authorId="0" shapeId="0" xr:uid="{6A20E1FE-C05F-455C-8EF9-F87B76616356}">
      <text>
        <r>
          <rPr>
            <b/>
            <sz val="9"/>
            <color indexed="81"/>
            <rFont val="Tahoma"/>
            <family val="2"/>
          </rPr>
          <t>Aves de corral+ levante + Genetico</t>
        </r>
      </text>
    </comment>
  </commentList>
</comments>
</file>

<file path=xl/sharedStrings.xml><?xml version="1.0" encoding="utf-8"?>
<sst xmlns="http://schemas.openxmlformats.org/spreadsheetml/2006/main" count="129" uniqueCount="62">
  <si>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</si>
  <si>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</si>
  <si>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</si>
  <si>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</si>
  <si>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</si>
  <si>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</si>
  <si>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</si>
  <si>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</si>
  <si>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</si>
  <si>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</si>
  <si>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</si>
  <si>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</si>
  <si>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</si>
  <si>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Rendimiento</t>
  </si>
  <si>
    <t>Consumo Eléctricidad por sector</t>
  </si>
  <si>
    <t>Grupo Homogéneo</t>
  </si>
  <si>
    <t>Proceso</t>
  </si>
  <si>
    <t>Energético</t>
  </si>
  <si>
    <t>Indicador</t>
  </si>
  <si>
    <t>Tabla 7 y Tabla 10</t>
  </si>
  <si>
    <t>Grupo Homogeneo</t>
  </si>
  <si>
    <t>MJ/año</t>
  </si>
  <si>
    <t>TJ/año</t>
  </si>
  <si>
    <t>Tabla 9</t>
  </si>
  <si>
    <t>Mantenimiento</t>
  </si>
  <si>
    <t>Crianza y crecimiento</t>
  </si>
  <si>
    <t>Alimentación</t>
  </si>
  <si>
    <t xml:space="preserve">Mantenimiento </t>
  </si>
  <si>
    <t>Unidades indicador área</t>
  </si>
  <si>
    <t>Debe estar en MJ/Ha</t>
  </si>
  <si>
    <t>Aves de corral (Pollos, gallinas, patos, pavos)</t>
  </si>
  <si>
    <t>Alistamiento del galpón</t>
  </si>
  <si>
    <t>Dato de información secundaria [Ave]</t>
  </si>
  <si>
    <t>Número de aves Colombia</t>
  </si>
  <si>
    <t>Indicador [MJ/aves]</t>
  </si>
  <si>
    <t>Dato de información secundaria Ave/Ha</t>
  </si>
  <si>
    <t>ICA (2023) censo de aves</t>
  </si>
  <si>
    <t>MJ/Aves</t>
  </si>
  <si>
    <t>Fuerza motriz</t>
  </si>
  <si>
    <t>Iluminación</t>
  </si>
  <si>
    <t>Calor directo</t>
  </si>
  <si>
    <t>Climatización</t>
  </si>
  <si>
    <t>Uso final de energía</t>
  </si>
  <si>
    <t>Abejas</t>
  </si>
  <si>
    <t xml:space="preserve">Cría de otros animales n.c.p. </t>
  </si>
  <si>
    <t>Conejos y animales domesticos</t>
  </si>
  <si>
    <t>N° Aves en Colombia</t>
  </si>
  <si>
    <t>N° Aves postura en Colombia</t>
  </si>
  <si>
    <t>N° Aves de engorde en Colombia</t>
  </si>
  <si>
    <t>Referencia</t>
  </si>
  <si>
    <t>Item</t>
  </si>
  <si>
    <t>Cantidad</t>
  </si>
  <si>
    <t>Total</t>
  </si>
  <si>
    <t>Consumo aves de postura + Conejos y animales domesticos [kWh/año]</t>
  </si>
  <si>
    <t>Dato comercial por CIIU de XM [kWh/año]</t>
  </si>
  <si>
    <t>Consumo Eléctricidad por sector [kWh/año]</t>
  </si>
  <si>
    <t>Tabla 8. Indicador producción</t>
  </si>
  <si>
    <t>Sector</t>
  </si>
  <si>
    <t>Consumo Eléctricidad por sector [MJ/año]</t>
  </si>
  <si>
    <t>Total [MJ/año]</t>
  </si>
  <si>
    <t>Consumo energía [MJ/año]</t>
  </si>
  <si>
    <t>Consumo energía corregido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</si>
</sst>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 vertical="center" wrapText="1"/>
    </xf>
    <xf numFmtId="0" fontId="5" fillId="4" borderId="0" xfId="0" applyFont="1" applyFill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4" fontId="0" fillId="0" borderId="0" xfId="0" applyNumberFormat="1" applyFill="1" applyBorder="1" applyAlignment="1">
      <alignment wrapText="1"/>
    </xf>
    <xf numFmtId="9" fontId="0" fillId="0" borderId="0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0" fontId="4" fillId="0" borderId="0" xfId="0" applyFont="1" applyAlignment="1">
      <alignment wrapText="1"/>
    </xf>
    <xf numFmtId="0" fontId="5" fillId="5" borderId="0" xfId="0" applyFont="1" applyFill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2" fontId="0" fillId="2" borderId="1" xfId="0" applyNumberFormat="1" applyFill="1" applyBorder="1" applyAlignment="1">
      <alignment horizontal="center" wrapText="1"/>
    </xf>
    <xf numFmtId="4" fontId="0" fillId="0" borderId="7" xfId="0" applyNumberFormat="1" applyBorder="1" applyAlignment="1">
      <alignment horizontal="center" wrapText="1"/>
    </xf>
    <xf numFmtId="0" fontId="0" fillId="0" borderId="1" xfId="0" applyFont="1" applyBorder="1" applyAlignment="1">
      <alignment wrapText="1"/>
    </xf>
    <xf numFmtId="4" fontId="0" fillId="0" borderId="1" xfId="0" applyNumberFormat="1" applyFont="1" applyFill="1" applyBorder="1" applyAlignment="1">
      <alignment wrapText="1"/>
    </xf>
    <xf numFmtId="4" fontId="0" fillId="0" borderId="1" xfId="0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wrapText="1"/>
    </xf>
    <xf numFmtId="10" fontId="0" fillId="0" borderId="1" xfId="1" applyNumberFormat="1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9" fontId="0" fillId="0" borderId="0" xfId="0" applyNumberForma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9" borderId="1" xfId="0" applyNumberFormat="1" applyFill="1" applyBorder="1" applyAlignment="1">
      <alignment wrapText="1"/>
    </xf>
    <xf numFmtId="10" fontId="0" fillId="2" borderId="4" xfId="1" applyNumberFormat="1" applyFont="1" applyFill="1" applyBorder="1" applyAlignment="1">
      <alignment horizontal="center" wrapText="1"/>
    </xf>
    <xf numFmtId="10" fontId="0" fillId="2" borderId="1" xfId="1" applyNumberFormat="1" applyFont="1" applyFill="1" applyBorder="1" applyAlignment="1">
      <alignment horizontal="center" wrapText="1"/>
    </xf>
    <xf numFmtId="4" fontId="0" fillId="2" borderId="1" xfId="0" applyNumberFormat="1" applyFont="1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8" borderId="1" xfId="0" applyFill="1" applyBorder="1" applyAlignment="1">
      <alignment wrapText="1"/>
    </xf>
    <xf numFmtId="4" fontId="0" fillId="8" borderId="1" xfId="0" applyNumberForma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9" fontId="0" fillId="9" borderId="1" xfId="0" applyNumberFormat="1" applyFill="1" applyBorder="1" applyAlignment="1">
      <alignment horizontal="center" wrapText="1"/>
    </xf>
    <xf numFmtId="9" fontId="0" fillId="8" borderId="1" xfId="0" applyNumberFormat="1" applyFill="1" applyBorder="1" applyAlignment="1">
      <alignment horizontal="center" wrapText="1"/>
    </xf>
    <xf numFmtId="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/>
    <xf numFmtId="0" fontId="0" fillId="2" borderId="1" xfId="0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wrapText="1"/>
    </xf>
    <xf numFmtId="4" fontId="4" fillId="7" borderId="1" xfId="0" applyNumberFormat="1" applyFont="1" applyFill="1" applyBorder="1" applyAlignment="1">
      <alignment horizontal="center" wrapText="1"/>
    </xf>
    <xf numFmtId="9" fontId="4" fillId="7" borderId="1" xfId="1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 vertical="center" wrapText="1"/>
    </xf>
    <xf numFmtId="0" fontId="8" fillId="0" borderId="0" xfId="0" applyFont="1" applyAlignment="1"/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4">
    <dxf>
      <numFmt numFmtId="0" formatCode="General"/>
      <alignment horizont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N24" totalsRowShown="0" headerRowDxfId="13" dataDxfId="11" headerRowBorderDxfId="12" tableBorderDxfId="10" totalsRowBorderDxfId="9">
  <autoFilter ref="F10:N24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sortState xmlns:xlrd2="http://schemas.microsoft.com/office/spreadsheetml/2017/richdata2" ref="F11:L13">
    <sortCondition descending="1" ref="L10:L13"/>
  </sortState>
  <tableColumns count="9">
    <tableColumn id="1" xr3:uid="{097AA7CE-2C19-4522-AFCC-2D7077ABB6B9}" name="Grupo Homogéneo" dataDxfId="8"/>
    <tableColumn id="2" xr3:uid="{B5D1F10D-371F-4B26-972F-7E20D881EF10}" name="Proceso" dataDxfId="7"/>
    <tableColumn id="7" xr3:uid="{A8B48C09-E8FC-4450-893D-7349C38C8FB8}" name="Uso final de energía" dataDxfId="6"/>
    <tableColumn id="3" xr3:uid="{D5C4E4C9-E4CD-42F0-B878-EAED958F5FA0}" name="Energético" dataDxfId="5"/>
    <tableColumn id="4" xr3:uid="{B7B5D837-72C9-44E9-A5D9-0A2D73C6B023}" name="Unidades indicador área" dataDxfId="4"/>
    <tableColumn id="5" xr3:uid="{3CF749A7-0CC3-4EAE-8383-BA07291F80FF}" name="Indicador" dataDxfId="3"/>
    <tableColumn id="10" xr3:uid="{E16307D2-7B0D-4BEC-94C3-8D5C9401D2A7}" name="Consumo energía [MJ/año]" dataDxfId="2">
      <calculatedColumnFormula>Tabla2[[#This Row],[Indicador]]*$B$5</calculatedColumnFormula>
    </tableColumn>
    <tableColumn id="6" xr3:uid="{04982491-841E-47A4-8E1A-285F13128813}" name="Participación" dataDxfId="1" dataCellStyle="Porcentaje">
      <calculatedColumnFormula>Tabla2[[#This Row],[Consumo energía '[MJ/año']]]/$L$9</calculatedColumnFormula>
    </tableColumn>
    <tableColumn id="8" xr3:uid="{17AA5173-8551-4902-B6C5-4AA6D67D5778}" name="Consumo energía corregido [MJ/año]" dataDxfId="0">
      <calculatedColumnFormula>IF(Tabla2[[#This Row],[Energético]]="Energía Eléctrica",((Tabla2[[#This Row],[Participación]]*$D$29)/SUMIF(Tabla2[Energético],"Energía Eléctrica",Tabla2[Participación]))*$B$33,Tabla2[[#This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N39"/>
  <sheetViews>
    <sheetView showGridLines="0" tabSelected="1" zoomScaleNormal="100" workbookViewId="0">
      <selection activeCell="F6" sqref="F6"/>
    </sheetView>
  </sheetViews>
  <sheetFormatPr baseColWidth="10" defaultRowHeight="12.75" x14ac:dyDescent="0.2"/>
  <cols>
    <col min="1" max="1" width="33.85546875" style="9" customWidth="1"/>
    <col min="2" max="2" width="21" style="9" customWidth="1"/>
    <col min="3" max="3" width="27.28515625" style="9" customWidth="1"/>
    <col min="4" max="4" width="17.140625" style="9" bestFit="1" customWidth="1"/>
    <col min="5" max="5" width="15.85546875" style="9" customWidth="1"/>
    <col min="6" max="6" width="40" style="9" customWidth="1"/>
    <col min="7" max="8" width="30.5703125" style="9" customWidth="1"/>
    <col min="9" max="9" width="26.5703125" style="9" customWidth="1"/>
    <col min="10" max="10" width="17.7109375" style="9" bestFit="1" customWidth="1"/>
    <col min="11" max="11" width="19.7109375" style="9" customWidth="1"/>
    <col min="12" max="12" width="24.5703125" style="9" customWidth="1"/>
    <col min="13" max="13" width="13.5703125" style="9" customWidth="1"/>
    <col min="14" max="14" width="20.85546875" style="9" customWidth="1"/>
    <col min="15" max="16384" width="11.42578125" style="9"/>
  </cols>
  <sheetData>
    <row r="1" spans="1:14" ht="18" x14ac:dyDescent="0.25">
      <c r="A1" s="8"/>
      <c r="D1" s="10"/>
      <c r="H1" s="12"/>
      <c r="J1" s="10"/>
    </row>
    <row r="2" spans="1:14" x14ac:dyDescent="0.2">
      <c r="D2" s="10"/>
      <c r="G2" s="12"/>
      <c r="H2" s="12"/>
      <c r="J2" s="10"/>
    </row>
    <row r="3" spans="1:14" ht="18" x14ac:dyDescent="0.2">
      <c r="A3" s="62" t="s">
        <v>57</v>
      </c>
      <c r="B3" s="63"/>
      <c r="D3" s="10"/>
      <c r="H3" s="12"/>
      <c r="J3" s="10"/>
    </row>
    <row r="4" spans="1:14" ht="25.5" x14ac:dyDescent="0.2">
      <c r="A4" s="3" t="s">
        <v>20</v>
      </c>
      <c r="B4" s="13" t="s">
        <v>30</v>
      </c>
      <c r="D4" s="10"/>
      <c r="G4" s="12"/>
      <c r="H4" s="12"/>
      <c r="J4" s="10"/>
    </row>
    <row r="5" spans="1:14" x14ac:dyDescent="0.2">
      <c r="A5" s="33" t="s">
        <v>33</v>
      </c>
      <c r="B5" s="14">
        <f>B23</f>
        <v>150535024.69999999</v>
      </c>
      <c r="C5" s="55" t="s">
        <v>32</v>
      </c>
    </row>
    <row r="6" spans="1:14" x14ac:dyDescent="0.2">
      <c r="A6" s="3" t="s">
        <v>13</v>
      </c>
      <c r="B6" s="14">
        <v>100000</v>
      </c>
      <c r="C6" s="55" t="s">
        <v>35</v>
      </c>
    </row>
    <row r="7" spans="1:14" x14ac:dyDescent="0.2">
      <c r="A7" s="3" t="s">
        <v>14</v>
      </c>
      <c r="B7" s="14">
        <f>D23+B13</f>
        <v>13030027.357423892</v>
      </c>
      <c r="C7" s="55" t="s">
        <v>53</v>
      </c>
    </row>
    <row r="8" spans="1:14" ht="26.25" x14ac:dyDescent="0.25">
      <c r="A8" s="3" t="s">
        <v>58</v>
      </c>
      <c r="B8" s="15">
        <f>+B7*3.6</f>
        <v>46908098.486726016</v>
      </c>
      <c r="C8" s="16"/>
      <c r="F8" s="59" t="s">
        <v>56</v>
      </c>
      <c r="G8" s="59"/>
      <c r="H8" s="59"/>
      <c r="I8" s="59"/>
      <c r="J8" s="59"/>
      <c r="K8" s="59"/>
      <c r="L8" s="56"/>
      <c r="N8" s="17" t="s">
        <v>59</v>
      </c>
    </row>
    <row r="9" spans="1:14" ht="31.5" x14ac:dyDescent="0.25">
      <c r="J9" s="2" t="s">
        <v>29</v>
      </c>
      <c r="L9" s="18">
        <f>SUM(Tabla2[Consumo energía '[MJ/año']])</f>
        <v>1058652953.6739671</v>
      </c>
      <c r="N9" s="18">
        <f>SUM(Tabla2[Consumo energía '[MJ/año']])</f>
        <v>1058652953.6739671</v>
      </c>
    </row>
    <row r="10" spans="1:14" s="1" customFormat="1" ht="25.5" x14ac:dyDescent="0.2">
      <c r="A10" s="4" t="s">
        <v>49</v>
      </c>
      <c r="B10" s="4" t="s">
        <v>54</v>
      </c>
      <c r="F10" s="61" t="s">
        <v>15</v>
      </c>
      <c r="G10" s="5" t="s">
        <v>16</v>
      </c>
      <c r="H10" s="5" t="s">
        <v>42</v>
      </c>
      <c r="I10" s="5" t="s">
        <v>17</v>
      </c>
      <c r="J10" s="6" t="s">
        <v>28</v>
      </c>
      <c r="K10" s="5" t="s">
        <v>18</v>
      </c>
      <c r="L10" s="7" t="s">
        <v>60</v>
      </c>
      <c r="M10" s="5" t="s">
        <v>1</v>
      </c>
      <c r="N10" s="5" t="s">
        <v>61</v>
      </c>
    </row>
    <row r="11" spans="1:14" x14ac:dyDescent="0.2">
      <c r="A11" s="48" t="s">
        <v>44</v>
      </c>
      <c r="B11" s="49">
        <v>1308043.4924560117</v>
      </c>
      <c r="F11" s="19" t="s">
        <v>30</v>
      </c>
      <c r="G11" s="20" t="s">
        <v>24</v>
      </c>
      <c r="H11" s="20" t="s">
        <v>38</v>
      </c>
      <c r="I11" s="20" t="s">
        <v>3</v>
      </c>
      <c r="J11" s="20" t="s">
        <v>37</v>
      </c>
      <c r="K11" s="21">
        <v>2.4121794870000001E-2</v>
      </c>
      <c r="L11" s="22">
        <f>Tabla2[[#This Row],[Indicador]]*$B$5</f>
        <v>3631174.9865637831</v>
      </c>
      <c r="M11" s="35">
        <f>Tabla2[[#This Row],[Consumo energía '[MJ/año']]]/$L$9</f>
        <v>3.4299956127851832E-3</v>
      </c>
      <c r="N11" s="57">
        <f>IF(Tabla2[[#This Row],[Energético]]="Energía Eléctrica",((Tabla2[[#This Row],[Participación]]*$D$29)/SUMIF(Tabla2[Energético],"Energía Eléctrica",Tabla2[Participación]))*$B$33,Tabla2[[#This Row],[Consumo energía '[MJ/año']]])</f>
        <v>3631174.9865637831</v>
      </c>
    </row>
    <row r="12" spans="1:14" x14ac:dyDescent="0.2">
      <c r="A12" s="48" t="s">
        <v>43</v>
      </c>
      <c r="B12" s="49">
        <v>109469.92971724136</v>
      </c>
      <c r="F12" s="19" t="s">
        <v>30</v>
      </c>
      <c r="G12" s="20" t="s">
        <v>24</v>
      </c>
      <c r="H12" s="20" t="s">
        <v>38</v>
      </c>
      <c r="I12" s="20" t="s">
        <v>2</v>
      </c>
      <c r="J12" s="20" t="s">
        <v>37</v>
      </c>
      <c r="K12" s="21">
        <v>1.2885696E-2</v>
      </c>
      <c r="L12" s="22">
        <f>Tabla2[[#This Row],[Indicador]]*$B$5</f>
        <v>1939748.5656366912</v>
      </c>
      <c r="M12" s="36">
        <f>Tabla2[[#This Row],[Consumo energía '[MJ/año']]]/$L$9</f>
        <v>1.8322799354641716E-3</v>
      </c>
      <c r="N12" s="57">
        <f>IF(Tabla2[[#This Row],[Energético]]="Energía Eléctrica",((Tabla2[[#This Row],[Participación]]*$D$29)/SUMIF(Tabla2[Energético],"Energía Eléctrica",Tabla2[Participación]))*$B$33,Tabla2[[#This Row],[Consumo energía '[MJ/año']]])</f>
        <v>884678.65774587705</v>
      </c>
    </row>
    <row r="13" spans="1:14" x14ac:dyDescent="0.2">
      <c r="A13" s="50" t="s">
        <v>45</v>
      </c>
      <c r="B13" s="49">
        <f>+B11-B12</f>
        <v>1198573.5627387704</v>
      </c>
      <c r="F13" s="19" t="s">
        <v>30</v>
      </c>
      <c r="G13" s="20" t="s">
        <v>24</v>
      </c>
      <c r="H13" s="20" t="s">
        <v>38</v>
      </c>
      <c r="I13" s="20" t="s">
        <v>9</v>
      </c>
      <c r="J13" s="20" t="s">
        <v>37</v>
      </c>
      <c r="K13" s="21">
        <v>2.8623931600000002E-3</v>
      </c>
      <c r="L13" s="22">
        <f>Tabla2[[#This Row],[Indicador]]*$B$5</f>
        <v>430890.42504171107</v>
      </c>
      <c r="M13" s="36">
        <f>Tabla2[[#This Row],[Consumo energía '[MJ/año']]]/$L$9</f>
        <v>4.0701763835479949E-4</v>
      </c>
      <c r="N13" s="57">
        <f>IF(Tabla2[[#This Row],[Energético]]="Energía Eléctrica",((Tabla2[[#This Row],[Participación]]*$D$29)/SUMIF(Tabla2[Energético],"Energía Eléctrica",Tabla2[Participación]))*$B$33,Tabla2[[#This Row],[Consumo energía '[MJ/año']]])</f>
        <v>430890.42504171107</v>
      </c>
    </row>
    <row r="14" spans="1:14" x14ac:dyDescent="0.2">
      <c r="F14" s="19" t="s">
        <v>30</v>
      </c>
      <c r="G14" s="37" t="s">
        <v>24</v>
      </c>
      <c r="H14" s="37" t="s">
        <v>40</v>
      </c>
      <c r="I14" s="36" t="s">
        <v>10</v>
      </c>
      <c r="J14" s="38" t="s">
        <v>37</v>
      </c>
      <c r="K14" s="21">
        <v>6.8479999999999999E-2</v>
      </c>
      <c r="L14" s="39">
        <f>Tabla2[[#This Row],[Indicador]]*$B$5</f>
        <v>10308638.491455998</v>
      </c>
      <c r="M14" s="36">
        <f>Tabla2[[#This Row],[Consumo energía '[MJ/año']]]/$L$9</f>
        <v>9.7375050583675456E-3</v>
      </c>
      <c r="N14" s="58">
        <f>IF(Tabla2[[#This Row],[Energético]]="Energía Eléctrica",((Tabla2[[#This Row],[Participación]]*$D$29)/SUMIF(Tabla2[Energético],"Energía Eléctrica",Tabla2[Participación]))*$B$33,Tabla2[[#This Row],[Consumo energía '[MJ/año']]])</f>
        <v>10308638.491455998</v>
      </c>
    </row>
    <row r="15" spans="1:14" x14ac:dyDescent="0.2">
      <c r="F15" s="19" t="s">
        <v>30</v>
      </c>
      <c r="G15" s="37" t="s">
        <v>25</v>
      </c>
      <c r="H15" s="37" t="s">
        <v>38</v>
      </c>
      <c r="I15" s="36" t="s">
        <v>3</v>
      </c>
      <c r="J15" s="38" t="s">
        <v>37</v>
      </c>
      <c r="K15" s="21">
        <v>0.83622222221999998</v>
      </c>
      <c r="L15" s="39">
        <f>Tabla2[[#This Row],[Indicador]]*$B$5</f>
        <v>125880732.87657657</v>
      </c>
      <c r="M15" s="36">
        <f>Tabla2[[#This Row],[Consumo energía '[MJ/año']]]/$L$9</f>
        <v>0.11890651458508471</v>
      </c>
      <c r="N15" s="58">
        <f>IF(Tabla2[[#This Row],[Energético]]="Energía Eléctrica",((Tabla2[[#This Row],[Participación]]*$D$29)/SUMIF(Tabla2[Energético],"Energía Eléctrica",Tabla2[Participación]))*$B$33,Tabla2[[#This Row],[Consumo energía '[MJ/año']]])</f>
        <v>125880732.87657657</v>
      </c>
    </row>
    <row r="16" spans="1:14" x14ac:dyDescent="0.2">
      <c r="F16" s="19" t="s">
        <v>30</v>
      </c>
      <c r="G16" s="20" t="s">
        <v>25</v>
      </c>
      <c r="H16" s="20" t="s">
        <v>38</v>
      </c>
      <c r="I16" s="20" t="s">
        <v>2</v>
      </c>
      <c r="J16" s="20" t="s">
        <v>37</v>
      </c>
      <c r="K16" s="21">
        <v>0.20450971000000001</v>
      </c>
      <c r="L16" s="39">
        <f>Tabla2[[#This Row],[Indicador]]*$B$5</f>
        <v>30785874.246239837</v>
      </c>
      <c r="M16" s="36">
        <f>Tabla2[[#This Row],[Consumo energía '[MJ/año']]]/$L$9</f>
        <v>2.9080232704589374E-2</v>
      </c>
      <c r="N16" s="58">
        <f>IF(Tabla2[[#This Row],[Energético]]="Energía Eléctrica",((Tabla2[[#This Row],[Participación]]*$D$29)/SUMIF(Tabla2[Energético],"Energía Eléctrica",Tabla2[Participación]))*$B$33,Tabla2[[#This Row],[Consumo energía '[MJ/año']]])</f>
        <v>14040791.877970623</v>
      </c>
    </row>
    <row r="17" spans="1:14" x14ac:dyDescent="0.2">
      <c r="F17" s="19" t="s">
        <v>30</v>
      </c>
      <c r="G17" s="20" t="s">
        <v>25</v>
      </c>
      <c r="H17" s="20" t="s">
        <v>39</v>
      </c>
      <c r="I17" s="20" t="s">
        <v>2</v>
      </c>
      <c r="J17" s="20" t="s">
        <v>37</v>
      </c>
      <c r="K17" s="21">
        <v>0.20450971000000001</v>
      </c>
      <c r="L17" s="39">
        <f>Tabla2[[#This Row],[Indicador]]*$B$5</f>
        <v>30785874.246239837</v>
      </c>
      <c r="M17" s="36">
        <f>Tabla2[[#This Row],[Consumo energía '[MJ/año']]]/$L$9</f>
        <v>2.9080232704589374E-2</v>
      </c>
      <c r="N17" s="58">
        <f>IF(Tabla2[[#This Row],[Energético]]="Energía Eléctrica",((Tabla2[[#This Row],[Participación]]*$D$29)/SUMIF(Tabla2[Energético],"Energía Eléctrica",Tabla2[Participación]))*$B$33,Tabla2[[#This Row],[Consumo energía '[MJ/año']]])</f>
        <v>14040791.877970623</v>
      </c>
    </row>
    <row r="18" spans="1:14" x14ac:dyDescent="0.2">
      <c r="F18" s="19" t="s">
        <v>30</v>
      </c>
      <c r="G18" s="20" t="s">
        <v>25</v>
      </c>
      <c r="H18" s="20" t="s">
        <v>41</v>
      </c>
      <c r="I18" s="20" t="s">
        <v>10</v>
      </c>
      <c r="J18" s="20" t="s">
        <v>37</v>
      </c>
      <c r="K18" s="21">
        <v>4.6645667240600002</v>
      </c>
      <c r="L18" s="39">
        <f>Tabla2[[#This Row],[Indicador]]*$B$5</f>
        <v>702180667.02117014</v>
      </c>
      <c r="M18" s="36">
        <f>Tabla2[[#This Row],[Consumo energía '[MJ/año']]]/$L$9</f>
        <v>0.66327748350799043</v>
      </c>
      <c r="N18" s="58">
        <f>IF(Tabla2[[#This Row],[Energético]]="Energía Eléctrica",((Tabla2[[#This Row],[Participación]]*$D$29)/SUMIF(Tabla2[Energético],"Energía Eléctrica",Tabla2[Participación]))*$B$33,Tabla2[[#This Row],[Consumo energía '[MJ/año']]])</f>
        <v>702180667.02117014</v>
      </c>
    </row>
    <row r="19" spans="1:14" x14ac:dyDescent="0.2">
      <c r="F19" s="19" t="s">
        <v>30</v>
      </c>
      <c r="G19" s="20" t="s">
        <v>26</v>
      </c>
      <c r="H19" s="20" t="s">
        <v>38</v>
      </c>
      <c r="I19" s="20" t="s">
        <v>2</v>
      </c>
      <c r="J19" s="20" t="s">
        <v>37</v>
      </c>
      <c r="K19" s="21">
        <v>0.198329968</v>
      </c>
      <c r="L19" s="39">
        <f>Tabla2[[#This Row],[Indicador]]*$B$5</f>
        <v>29855606.631630208</v>
      </c>
      <c r="M19" s="36">
        <f>Tabla2[[#This Row],[Consumo energía '[MJ/año']]]/$L$9</f>
        <v>2.8201505061709604E-2</v>
      </c>
      <c r="N19" s="58">
        <f>IF(Tabla2[[#This Row],[Energético]]="Energía Eléctrica",((Tabla2[[#This Row],[Participación]]*$D$29)/SUMIF(Tabla2[Energético],"Energía Eléctrica",Tabla2[Participación]))*$B$33,Tabla2[[#This Row],[Consumo energía '[MJ/año']]])</f>
        <v>13616516.320191218</v>
      </c>
    </row>
    <row r="20" spans="1:14" ht="25.5" x14ac:dyDescent="0.2">
      <c r="A20" s="43" t="s">
        <v>49</v>
      </c>
      <c r="B20" s="44" t="s">
        <v>36</v>
      </c>
      <c r="C20" s="1"/>
      <c r="D20" s="1"/>
      <c r="F20" s="19" t="s">
        <v>30</v>
      </c>
      <c r="G20" s="20" t="s">
        <v>31</v>
      </c>
      <c r="H20" s="20" t="s">
        <v>38</v>
      </c>
      <c r="I20" s="20" t="s">
        <v>3</v>
      </c>
      <c r="J20" s="20" t="s">
        <v>37</v>
      </c>
      <c r="K20" s="21">
        <v>3.6182692299999999E-3</v>
      </c>
      <c r="L20" s="39">
        <f>Tabla2[[#This Row],[Indicador]]*$B$5</f>
        <v>544676.24790929991</v>
      </c>
      <c r="M20" s="36">
        <f>Tabla2[[#This Row],[Consumo energía '[MJ/año']]]/$L$9</f>
        <v>5.1449934184668005E-4</v>
      </c>
      <c r="N20" s="58">
        <f>IF(Tabla2[[#This Row],[Energético]]="Energía Eléctrica",((Tabla2[[#This Row],[Participación]]*$D$29)/SUMIF(Tabla2[Energético],"Energía Eléctrica",Tabla2[Participación]))*$B$33,Tabla2[[#This Row],[Consumo energía '[MJ/año']]])</f>
        <v>544676.24790929991</v>
      </c>
    </row>
    <row r="21" spans="1:14" ht="38.25" x14ac:dyDescent="0.2">
      <c r="A21" s="4" t="s">
        <v>50</v>
      </c>
      <c r="B21" s="4" t="s">
        <v>51</v>
      </c>
      <c r="C21" s="4" t="s">
        <v>1</v>
      </c>
      <c r="D21" s="4" t="s">
        <v>55</v>
      </c>
      <c r="F21" s="19" t="s">
        <v>30</v>
      </c>
      <c r="G21" s="20" t="s">
        <v>31</v>
      </c>
      <c r="H21" s="20" t="s">
        <v>38</v>
      </c>
      <c r="I21" s="20" t="s">
        <v>9</v>
      </c>
      <c r="J21" s="20" t="s">
        <v>37</v>
      </c>
      <c r="K21" s="21">
        <v>4.0574423100000001E-3</v>
      </c>
      <c r="L21" s="39">
        <f>Tabla2[[#This Row],[Indicador]]*$B$5</f>
        <v>610787.17835467507</v>
      </c>
      <c r="M21" s="36">
        <f>Tabla2[[#This Row],[Consumo energía '[MJ/año']]]/$L$9</f>
        <v>5.7694750317843909E-4</v>
      </c>
      <c r="N21" s="58">
        <f>IF(Tabla2[[#This Row],[Energético]]="Energía Eléctrica",((Tabla2[[#This Row],[Participación]]*$D$29)/SUMIF(Tabla2[Energético],"Energía Eléctrica",Tabla2[Participación]))*$B$33,Tabla2[[#This Row],[Consumo energía '[MJ/año']]])</f>
        <v>610787.17835467507</v>
      </c>
    </row>
    <row r="22" spans="1:14" x14ac:dyDescent="0.2">
      <c r="A22" s="34" t="s">
        <v>47</v>
      </c>
      <c r="B22" s="34">
        <f>61920000+2762667.3</f>
        <v>64682667.299999997</v>
      </c>
      <c r="C22" s="45">
        <f>B22/B24</f>
        <v>0.30054530693508225</v>
      </c>
      <c r="D22" s="34">
        <f>D24*C22</f>
        <v>5083800.2053148774</v>
      </c>
      <c r="F22" s="19" t="s">
        <v>30</v>
      </c>
      <c r="G22" s="20" t="s">
        <v>31</v>
      </c>
      <c r="H22" s="20" t="s">
        <v>40</v>
      </c>
      <c r="I22" s="20" t="s">
        <v>10</v>
      </c>
      <c r="J22" s="20" t="s">
        <v>37</v>
      </c>
      <c r="K22" s="21">
        <v>4.6690909099999997E-3</v>
      </c>
      <c r="L22" s="39">
        <f>Tabla2[[#This Row],[Indicador]]*$B$5</f>
        <v>702861.71546339535</v>
      </c>
      <c r="M22" s="36">
        <f>Tabla2[[#This Row],[Consumo energía '[MJ/año']]]/$L$9</f>
        <v>6.6392079956341897E-4</v>
      </c>
      <c r="N22" s="58">
        <f>IF(Tabla2[[#This Row],[Energético]]="Energía Eléctrica",((Tabla2[[#This Row],[Participación]]*$D$29)/SUMIF(Tabla2[Energético],"Energía Eléctrica",Tabla2[Participación]))*$B$33,Tabla2[[#This Row],[Consumo energía '[MJ/año']]])</f>
        <v>702861.71546339535</v>
      </c>
    </row>
    <row r="23" spans="1:14" x14ac:dyDescent="0.2">
      <c r="A23" s="41" t="s">
        <v>48</v>
      </c>
      <c r="B23" s="42">
        <f>B24-B22</f>
        <v>150535024.69999999</v>
      </c>
      <c r="C23" s="46">
        <f>B23/B24</f>
        <v>0.6994546930649177</v>
      </c>
      <c r="D23" s="42">
        <f>D24*C23</f>
        <v>11831453.794685122</v>
      </c>
      <c r="F23" s="19" t="s">
        <v>30</v>
      </c>
      <c r="G23" s="20" t="s">
        <v>27</v>
      </c>
      <c r="H23" s="20" t="s">
        <v>38</v>
      </c>
      <c r="I23" s="20" t="s">
        <v>2</v>
      </c>
      <c r="J23" s="20" t="s">
        <v>37</v>
      </c>
      <c r="K23" s="21">
        <v>6.3E-2</v>
      </c>
      <c r="L23" s="39">
        <f>Tabla2[[#This Row],[Indicador]]*$B$5</f>
        <v>9483706.5560999997</v>
      </c>
      <c r="M23" s="36">
        <f>Tabla2[[#This Row],[Consumo energía '[MJ/año']]]/$L$9</f>
        <v>8.9582771418977147E-3</v>
      </c>
      <c r="N23" s="58">
        <f>IF(Tabla2[[#This Row],[Energético]]="Energía Eléctrica",((Tabla2[[#This Row],[Participación]]*$D$29)/SUMIF(Tabla2[Energético],"Energía Eléctrica",Tabla2[Participación]))*$B$33,Tabla2[[#This Row],[Consumo energía '[MJ/año']]])</f>
        <v>4325319.7528476734</v>
      </c>
    </row>
    <row r="24" spans="1:14" x14ac:dyDescent="0.2">
      <c r="A24" s="40" t="s">
        <v>46</v>
      </c>
      <c r="B24" s="15">
        <v>215217692</v>
      </c>
      <c r="C24" s="47">
        <v>1</v>
      </c>
      <c r="D24" s="15">
        <v>16915254</v>
      </c>
      <c r="F24" s="19" t="s">
        <v>30</v>
      </c>
      <c r="G24" s="20" t="s">
        <v>27</v>
      </c>
      <c r="H24" s="20" t="s">
        <v>40</v>
      </c>
      <c r="I24" s="20" t="s">
        <v>10</v>
      </c>
      <c r="J24" s="20" t="s">
        <v>37</v>
      </c>
      <c r="K24" s="21">
        <v>0.74076923100000003</v>
      </c>
      <c r="L24" s="39">
        <f>Tabla2[[#This Row],[Indicador]]*$B$5</f>
        <v>111511714.485585</v>
      </c>
      <c r="M24" s="36">
        <f>Tabla2[[#This Row],[Consumo energía '[MJ/año']]]/$L$9</f>
        <v>0.10533358840457854</v>
      </c>
      <c r="N24" s="58">
        <f>IF(Tabla2[[#This Row],[Energético]]="Energía Eléctrica",((Tabla2[[#This Row],[Participación]]*$D$29)/SUMIF(Tabla2[Energético],"Energía Eléctrica",Tabla2[Participación]))*$B$33,Tabla2[[#This Row],[Consumo energía '[MJ/año']]])</f>
        <v>111511714.485585</v>
      </c>
    </row>
    <row r="26" spans="1:14" ht="15.75" x14ac:dyDescent="0.25">
      <c r="A26" s="59" t="s">
        <v>19</v>
      </c>
      <c r="B26" s="59"/>
      <c r="C26" s="59"/>
      <c r="D26" s="59"/>
    </row>
    <row r="27" spans="1:14" x14ac:dyDescent="0.2">
      <c r="F27" s="31"/>
      <c r="G27" s="32"/>
      <c r="H27" s="32"/>
      <c r="I27" s="11"/>
    </row>
    <row r="28" spans="1:14" x14ac:dyDescent="0.2">
      <c r="A28" s="4" t="s">
        <v>0</v>
      </c>
      <c r="B28" s="4" t="s">
        <v>21</v>
      </c>
      <c r="C28" s="4" t="s">
        <v>22</v>
      </c>
      <c r="D28" s="4" t="s">
        <v>1</v>
      </c>
      <c r="F28" s="31"/>
      <c r="G28" s="32"/>
      <c r="H28" s="32"/>
      <c r="I28" s="11"/>
    </row>
    <row r="29" spans="1:14" x14ac:dyDescent="0.2">
      <c r="A29" s="23" t="s">
        <v>2</v>
      </c>
      <c r="B29" s="24">
        <f>B8</f>
        <v>46908098.486726016</v>
      </c>
      <c r="C29" s="25">
        <f>'Aves de corral'!$B29/1000000</f>
        <v>46.908098486726018</v>
      </c>
      <c r="D29" s="26">
        <f>B29/$B$33</f>
        <v>4.6781309820020371E-2</v>
      </c>
    </row>
    <row r="30" spans="1:14" x14ac:dyDescent="0.2">
      <c r="A30" s="23" t="s">
        <v>3</v>
      </c>
      <c r="B30" s="27">
        <f>SUMIF(Tabla2[Energético],A30,Tabla2[Consumo energía '[MJ/año']])</f>
        <v>130056584.11104965</v>
      </c>
      <c r="C30" s="25">
        <f>'Aves de corral'!$B30/1000000</f>
        <v>130.05658411104966</v>
      </c>
      <c r="D30" s="28">
        <f>B30/$B$33</f>
        <v>0.12970505204243687</v>
      </c>
    </row>
    <row r="31" spans="1:14" x14ac:dyDescent="0.2">
      <c r="A31" s="23" t="s">
        <v>9</v>
      </c>
      <c r="B31" s="27">
        <f>SUMIF(Tabla2[Energético],A31,Tabla2[Consumo energía '[MJ/año']])</f>
        <v>1041677.6033963861</v>
      </c>
      <c r="C31" s="25">
        <f>'Aves de corral'!$B31/1000000</f>
        <v>1.0416776033963862</v>
      </c>
      <c r="D31" s="28">
        <f>B31/$B$33</f>
        <v>1.0388620359627768E-3</v>
      </c>
    </row>
    <row r="32" spans="1:14" x14ac:dyDescent="0.2">
      <c r="A32" s="23" t="s">
        <v>10</v>
      </c>
      <c r="B32" s="27">
        <f>SUMIF(Tabla2[Energético],A32,Tabla2[Consumo energía '[MJ/año']])</f>
        <v>824703881.71367455</v>
      </c>
      <c r="C32" s="25">
        <f>'Aves de corral'!$B32/1000000</f>
        <v>824.70388171367449</v>
      </c>
      <c r="D32" s="28">
        <f>B32/$B$33</f>
        <v>0.82247477610157993</v>
      </c>
    </row>
    <row r="33" spans="1:4" x14ac:dyDescent="0.2">
      <c r="A33" s="51" t="s">
        <v>52</v>
      </c>
      <c r="B33" s="52">
        <f>SUM(B29:B32)</f>
        <v>1002710241.9148467</v>
      </c>
      <c r="C33" s="52">
        <f>SUM(C29:C32)</f>
        <v>1002.7102419148465</v>
      </c>
      <c r="D33" s="53">
        <f>SUM(D29:D32)</f>
        <v>1</v>
      </c>
    </row>
    <row r="37" spans="1:4" ht="18" x14ac:dyDescent="0.25">
      <c r="A37" s="60" t="s">
        <v>23</v>
      </c>
      <c r="B37" s="60"/>
    </row>
    <row r="38" spans="1:4" x14ac:dyDescent="0.2">
      <c r="A38" s="29" t="str">
        <f>+A4</f>
        <v>Grupo Homogeneo</v>
      </c>
      <c r="B38" s="29" t="s">
        <v>34</v>
      </c>
    </row>
    <row r="39" spans="1:4" ht="25.5" x14ac:dyDescent="0.2">
      <c r="A39" s="30" t="str">
        <f>+$B$4</f>
        <v>Aves de corral (Pollos, gallinas, patos, pavos)</v>
      </c>
      <c r="B39" s="54">
        <f>B33/B5</f>
        <v>6.6609763668829869</v>
      </c>
    </row>
  </sheetData>
  <mergeCells count="4">
    <mergeCell ref="A3:B3"/>
    <mergeCell ref="A26:D26"/>
    <mergeCell ref="F8:K8"/>
    <mergeCell ref="A37:B37"/>
  </mergeCells>
  <phoneticPr fontId="9" type="noConversion"/>
  <pageMargins left="0.7" right="0.7" top="0.75" bottom="0.75" header="0.3" footer="0.3"/>
  <pageSetup paperSize="9" orientation="portrait" r:id="rId1"/>
  <ignoredErrors>
    <ignoredError sqref="B30:C30" evalError="1"/>
  </ignoredErrors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6025C92-C95A-4C51-AC01-1A2B533DB7BD}">
          <x14:formula1>
            <xm:f>Hoja2!$A$1:$A$11</xm:f>
          </x14:formula1>
          <xm:sqref>A29:A32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Aves de corral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2024-01-23T20:50:25Z</dcterms:modified>
</cp:coreProperties>
</file>