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4DD16A06-F40A-45ED-8387-8715B7354053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Palma de aceite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0" i="1" l="1"/>
  <c r="N20" i="1" s="1"/>
  <c r="P20" i="1" s="1"/>
  <c r="O20" i="1"/>
  <c r="B7" i="1"/>
  <c r="M13" i="1"/>
  <c r="N13" i="1" s="1"/>
  <c r="P13" i="1" s="1"/>
  <c r="R13" i="1" s="1"/>
  <c r="M14" i="1"/>
  <c r="N14" i="1" s="1"/>
  <c r="P14" i="1" s="1"/>
  <c r="R14" i="1" s="1"/>
  <c r="M15" i="1"/>
  <c r="N15" i="1" s="1"/>
  <c r="P15" i="1" s="1"/>
  <c r="R15" i="1" s="1"/>
  <c r="M16" i="1"/>
  <c r="N16" i="1" s="1"/>
  <c r="P16" i="1" s="1"/>
  <c r="R16" i="1" s="1"/>
  <c r="M17" i="1"/>
  <c r="N17" i="1" s="1"/>
  <c r="P17" i="1" s="1"/>
  <c r="R17" i="1" s="1"/>
  <c r="M18" i="1"/>
  <c r="N18" i="1" s="1"/>
  <c r="P18" i="1" s="1"/>
  <c r="R18" i="1" s="1"/>
  <c r="M19" i="1"/>
  <c r="O13" i="1"/>
  <c r="O14" i="1"/>
  <c r="O15" i="1"/>
  <c r="O16" i="1"/>
  <c r="O17" i="1"/>
  <c r="O18" i="1"/>
  <c r="O19" i="1"/>
  <c r="B18" i="1"/>
  <c r="B17" i="1"/>
  <c r="B9" i="1"/>
  <c r="B30" i="1" s="1"/>
  <c r="A37" i="1"/>
  <c r="A38" i="1"/>
  <c r="O12" i="1"/>
  <c r="M12" i="1"/>
  <c r="N12" i="1" s="1"/>
  <c r="P12" i="1" s="1"/>
  <c r="R12" i="1" s="1"/>
  <c r="N19" i="1" l="1"/>
  <c r="P19" i="1" s="1"/>
  <c r="R19" i="1" s="1"/>
  <c r="B19" i="1"/>
  <c r="C30" i="1"/>
  <c r="B20" i="1"/>
  <c r="B32" i="1"/>
  <c r="B31" i="1" l="1"/>
  <c r="B33" i="1" s="1"/>
  <c r="B38" i="1" s="1"/>
  <c r="C38" i="1" s="1"/>
  <c r="P10" i="1"/>
  <c r="Q20" i="1" s="1"/>
  <c r="C32" i="1"/>
  <c r="C31" i="1" l="1"/>
  <c r="Q13" i="1"/>
  <c r="Q17" i="1"/>
  <c r="Q14" i="1"/>
  <c r="Q18" i="1"/>
  <c r="Q15" i="1"/>
  <c r="Q19" i="1"/>
  <c r="Q12" i="1"/>
  <c r="Q16" i="1"/>
  <c r="C33" i="1"/>
  <c r="D30" i="1"/>
  <c r="R20" i="1" s="1"/>
  <c r="R10" i="1" s="1"/>
  <c r="D31" i="1" l="1"/>
  <c r="D32" i="1"/>
  <c r="D33" i="1" l="1"/>
</calcChain>
</file>

<file path=xl/sharedStrings.xml><?xml version="1.0" encoding="utf-8"?>
<sst xmlns="http://schemas.openxmlformats.org/spreadsheetml/2006/main" count="124" uniqueCount="79">
  <si>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</si>
  <si>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</si>
  <si>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</si>
  <si>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</si>
  <si>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</si>
  <si>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</si>
  <si>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</si>
  <si>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</si>
  <si>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</si>
  <si>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</si>
  <si>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</si>
  <si>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</si>
  <si>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</si>
  <si>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Rendimiento</t>
  </si>
  <si>
    <t>Consumo Eléctricidad por sector</t>
  </si>
  <si>
    <t>Grupo Homogéneo</t>
  </si>
  <si>
    <t>Proceso</t>
  </si>
  <si>
    <t>Energético</t>
  </si>
  <si>
    <t>Fumigación</t>
  </si>
  <si>
    <t>Preparación del terreno</t>
  </si>
  <si>
    <t>Producto final</t>
  </si>
  <si>
    <t>Unidades indicador producción</t>
  </si>
  <si>
    <t>Indicador</t>
  </si>
  <si>
    <t>MJ/Ha</t>
  </si>
  <si>
    <t>Parámetro</t>
  </si>
  <si>
    <t>Indicador área</t>
  </si>
  <si>
    <t>Unidades</t>
  </si>
  <si>
    <t>Debe estar en MJ/Tn o MJ/Ha</t>
  </si>
  <si>
    <t>Tabla 7 y Tabla 10</t>
  </si>
  <si>
    <t>Indicador [MJ/Ha]</t>
  </si>
  <si>
    <t>Grupo Homogeneo</t>
  </si>
  <si>
    <t>MJ/año</t>
  </si>
  <si>
    <t>TJ/año</t>
  </si>
  <si>
    <t>Tabla 9</t>
  </si>
  <si>
    <t>Dato de información secundaria [Ha]</t>
  </si>
  <si>
    <t>Mantenimiento</t>
  </si>
  <si>
    <t>Tn/Ha fruto (2010)</t>
  </si>
  <si>
    <t xml:space="preserve">https://www.dane.gov.co/files/investigaciones/pib/agroindustria/metodologia_agroindustria.pdf </t>
  </si>
  <si>
    <t>https://www.agronet.gov.co/Documents/PALMA%20DE%20ACEITE2016.pdf</t>
  </si>
  <si>
    <t>Ha sembras</t>
  </si>
  <si>
    <t>Tn fruto</t>
  </si>
  <si>
    <t>Tn aceite</t>
  </si>
  <si>
    <t>Tn/Ha Aceite crudo</t>
  </si>
  <si>
    <t>Tn fruto/aceite</t>
  </si>
  <si>
    <t>TEA</t>
  </si>
  <si>
    <t>Área productiva total sembrada</t>
  </si>
  <si>
    <t>Área productiva total cosechada</t>
  </si>
  <si>
    <t>Referencia</t>
  </si>
  <si>
    <t>https://publicaciones.fedepalma.org/index.php/anuario/issue/view/1620/178</t>
  </si>
  <si>
    <t>→</t>
  </si>
  <si>
    <t>Palma de aceite</t>
  </si>
  <si>
    <t>Cosecha</t>
  </si>
  <si>
    <t>Fruto</t>
  </si>
  <si>
    <t>MJ/Tn</t>
  </si>
  <si>
    <t>Fertilización</t>
  </si>
  <si>
    <t>Terreno fertilizado</t>
  </si>
  <si>
    <t>Terreno fumigado</t>
  </si>
  <si>
    <t>Limpieza de terreno</t>
  </si>
  <si>
    <t>Terreno guadañado</t>
  </si>
  <si>
    <t>Adecuación de terreno</t>
  </si>
  <si>
    <t>Transporte interno</t>
  </si>
  <si>
    <t>Frutos</t>
  </si>
  <si>
    <t>Indicador [MJ/Tn] (fruto)</t>
  </si>
  <si>
    <t>Uso final de energía</t>
  </si>
  <si>
    <t>Fuerza motriz</t>
  </si>
  <si>
    <t>Dato</t>
  </si>
  <si>
    <t>Detalle</t>
  </si>
  <si>
    <t>Total</t>
  </si>
  <si>
    <t>Tabla 8. Indicador producción</t>
  </si>
  <si>
    <t>Particiáción</t>
  </si>
  <si>
    <t>Sector</t>
  </si>
  <si>
    <t>Dato comercial por CIIU de XM [kWh/año]</t>
  </si>
  <si>
    <t>Dato de información secundaria Tn/Ha Agronet</t>
  </si>
  <si>
    <t>Terreno irrigado</t>
  </si>
  <si>
    <t>Sistema de Riego y drenaje</t>
  </si>
  <si>
    <t>Consumo Eléctricidad por sector [MJ/año]</t>
  </si>
  <si>
    <t>Consumo energía [MJ/año]</t>
  </si>
  <si>
    <t>Consumo energía corregido [MJ/año]</t>
  </si>
  <si>
    <t>Total [MJ/año]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</si>
</sst>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theme="0" tint="-4.9989318521683403E-2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i/>
      <sz val="10"/>
      <color theme="1"/>
      <name val="Arial"/>
      <family val="2"/>
    </font>
    <font>
      <b/>
      <sz val="14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0" fillId="0" borderId="0" xfId="0" applyAlignment="1"/>
    <xf numFmtId="0" fontId="3" fillId="0" borderId="1" xfId="0" applyFont="1" applyBorder="1" applyAlignment="1"/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0" fillId="2" borderId="1" xfId="0" applyFill="1" applyBorder="1" applyAlignment="1"/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4" fontId="0" fillId="0" borderId="1" xfId="0" applyNumberFormat="1" applyFont="1" applyFill="1" applyBorder="1"/>
    <xf numFmtId="4" fontId="0" fillId="0" borderId="1" xfId="0" applyNumberFormat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7" fillId="0" borderId="0" xfId="0" applyFont="1"/>
    <xf numFmtId="0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/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2" fontId="0" fillId="0" borderId="1" xfId="0" applyNumberFormat="1" applyBorder="1" applyAlignment="1">
      <alignment horizontal="center" vertical="center"/>
    </xf>
    <xf numFmtId="0" fontId="8" fillId="7" borderId="1" xfId="0" applyFont="1" applyFill="1" applyBorder="1"/>
    <xf numFmtId="10" fontId="8" fillId="7" borderId="1" xfId="1" applyNumberFormat="1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/>
    </xf>
    <xf numFmtId="10" fontId="3" fillId="8" borderId="1" xfId="0" applyNumberFormat="1" applyFont="1" applyFill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/>
    </xf>
    <xf numFmtId="4" fontId="4" fillId="5" borderId="0" xfId="0" applyNumberFormat="1" applyFont="1" applyFill="1" applyAlignment="1">
      <alignment horizontal="center" vertical="center"/>
    </xf>
    <xf numFmtId="0" fontId="0" fillId="2" borderId="9" xfId="0" applyFill="1" applyBorder="1" applyAlignment="1">
      <alignment horizontal="center"/>
    </xf>
    <xf numFmtId="4" fontId="0" fillId="2" borderId="9" xfId="0" applyNumberFormat="1" applyFill="1" applyBorder="1" applyAlignment="1">
      <alignment horizontal="center"/>
    </xf>
    <xf numFmtId="0" fontId="0" fillId="0" borderId="9" xfId="0" applyNumberFormat="1" applyFill="1" applyBorder="1" applyAlignment="1">
      <alignment horizontal="center"/>
    </xf>
    <xf numFmtId="4" fontId="0" fillId="0" borderId="9" xfId="0" applyNumberFormat="1" applyFill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10" fontId="0" fillId="0" borderId="9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18"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1:R20" totalsRowShown="0" headerRowDxfId="17" dataDxfId="15" headerRowBorderDxfId="16" tableBorderDxfId="14" totalsRowBorderDxfId="13">
  <autoFilter ref="F11:R20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097AA7CE-2C19-4522-AFCC-2D7077ABB6B9}" name="Grupo Homogéneo" dataDxfId="12"/>
    <tableColumn id="2" xr3:uid="{B5D1F10D-371F-4B26-972F-7E20D881EF10}" name="Proceso" dataDxfId="11"/>
    <tableColumn id="13" xr3:uid="{3443E865-B09E-4ABD-8752-928DD58C8D54}" name="Uso final de energía" dataDxfId="10"/>
    <tableColumn id="3" xr3:uid="{D5C4E4C9-E4CD-42F0-B878-EAED958F5FA0}" name="Energético" dataDxfId="9"/>
    <tableColumn id="4" xr3:uid="{B7B5D837-72C9-44E9-A5D9-0A2D73C6B023}" name="Producto final" dataDxfId="8"/>
    <tableColumn id="5" xr3:uid="{3CF749A7-0CC3-4EAE-8383-BA07291F80FF}" name="Unidades indicador producción" dataDxfId="7"/>
    <tableColumn id="6" xr3:uid="{380EDCBC-1202-4CB0-B868-AB32DBAE2810}" name="Indicador" dataDxfId="6"/>
    <tableColumn id="7" xr3:uid="{F7C4E07E-D41C-4EB3-84F4-91947724497C}" name="Parámetro" dataDxfId="5">
      <calculatedColumnFormula>IFERROR(RIGHT(Tabla2[[#This Row],[Unidades indicador producción]], LEN(Tabla2[[#This Row],[Unidades indicador producción]])-FIND("/", Tabla2[[#This Row],[Unidades indicador producción]])), "")</calculatedColumnFormula>
    </tableColumn>
    <tableColumn id="8" xr3:uid="{0FF27519-F70B-45F1-A622-B58EACF1F88B}" name="Indicador área" dataDxfId="4">
      <calculatedColumnFormula>IF(Tabla2[[#This Row],[Parámetro]]="Tn",Tabla2[[#This Row],[Indicador]]*$B$7,Tabla2[[#This Row],[Indicador]])</calculatedColumnFormula>
    </tableColumn>
    <tableColumn id="9" xr3:uid="{3AD82B07-3885-48D4-987A-DBF40EFD0198}" name="Unidades" dataDxfId="3">
      <calculatedColumnFormula>"MJ/Ha"</calculatedColumnFormula>
    </tableColumn>
    <tableColumn id="10" xr3:uid="{E16307D2-7B0D-4BEC-94C3-8D5C9401D2A7}" name="Consumo energía [MJ/año]" dataDxfId="2">
      <calculatedColumnFormula>(Tabla2[[#This Row],[Indicador área]]*$B$5)</calculatedColumnFormula>
    </tableColumn>
    <tableColumn id="11" xr3:uid="{ACA3F6C2-D45D-40BB-9D96-9CCEBDC68551}" name="Particiáción" dataDxfId="1" dataCellStyle="Porcentaje">
      <calculatedColumnFormula>+Tabla2[[#This Row],[Consumo energía '[MJ/año']]]/$P$10</calculatedColumnFormula>
    </tableColumn>
    <tableColumn id="12" xr3:uid="{5C767618-211C-4AFC-B78A-15D17A716F5E}" name="Consumo energía corregido [MJ/año]" dataDxfId="0">
      <calculatedColumnFormula>IF(Tabla2[[#This Row],[Energético]]="Energía Eléctrica",((Tabla2[[#This Row],[Particiáción]]*$D$30)/SUMIF(Tabla2[Energético],"Energía Eléctrica",Tabla2[Particiáción]))*$B$33,Tabla2[[#This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R38"/>
  <sheetViews>
    <sheetView showGridLines="0" tabSelected="1" workbookViewId="0">
      <selection activeCell="A10" sqref="A10"/>
    </sheetView>
  </sheetViews>
  <sheetFormatPr baseColWidth="10" defaultRowHeight="12.75" x14ac:dyDescent="0.2"/>
  <cols>
    <col min="1" max="1" width="37.7109375" customWidth="1"/>
    <col min="2" max="2" width="16.42578125" customWidth="1"/>
    <col min="3" max="3" width="35.28515625" customWidth="1"/>
    <col min="4" max="4" width="13" bestFit="1" customWidth="1"/>
    <col min="6" max="6" width="20.28515625" customWidth="1"/>
    <col min="7" max="8" width="24.5703125" customWidth="1"/>
    <col min="9" max="9" width="26.5703125" customWidth="1"/>
    <col min="10" max="10" width="23.42578125" customWidth="1"/>
    <col min="11" max="11" width="19.7109375" customWidth="1"/>
    <col min="12" max="12" width="11.7109375" customWidth="1"/>
    <col min="14" max="14" width="15" customWidth="1"/>
    <col min="16" max="16" width="24.5703125" customWidth="1"/>
    <col min="17" max="17" width="14.140625" customWidth="1"/>
    <col min="18" max="18" width="23.28515625" customWidth="1"/>
  </cols>
  <sheetData>
    <row r="1" spans="1:18" ht="18" x14ac:dyDescent="0.25">
      <c r="A1" s="15"/>
    </row>
    <row r="3" spans="1:18" ht="18" x14ac:dyDescent="0.2">
      <c r="A3" s="59" t="s">
        <v>70</v>
      </c>
      <c r="B3" s="60"/>
      <c r="C3" s="4"/>
    </row>
    <row r="4" spans="1:18" x14ac:dyDescent="0.2">
      <c r="A4" s="5" t="s">
        <v>30</v>
      </c>
      <c r="B4" s="14" t="s">
        <v>50</v>
      </c>
      <c r="C4" s="4"/>
    </row>
    <row r="5" spans="1:18" ht="20.25" x14ac:dyDescent="0.2">
      <c r="A5" s="6" t="s">
        <v>45</v>
      </c>
      <c r="B5" s="7">
        <v>595722</v>
      </c>
      <c r="C5" s="33" t="s">
        <v>34</v>
      </c>
      <c r="D5" s="41" t="s">
        <v>49</v>
      </c>
      <c r="E5" s="42" t="s">
        <v>47</v>
      </c>
      <c r="F5" s="42" t="s">
        <v>48</v>
      </c>
    </row>
    <row r="6" spans="1:18" ht="20.25" x14ac:dyDescent="0.2">
      <c r="A6" s="6" t="s">
        <v>46</v>
      </c>
      <c r="B6" s="7">
        <v>499346</v>
      </c>
      <c r="C6" s="33" t="s">
        <v>34</v>
      </c>
      <c r="D6" s="41" t="s">
        <v>49</v>
      </c>
      <c r="E6" s="42" t="s">
        <v>47</v>
      </c>
      <c r="F6" s="42" t="s">
        <v>48</v>
      </c>
    </row>
    <row r="7" spans="1:18" x14ac:dyDescent="0.2">
      <c r="A7" s="6" t="s">
        <v>13</v>
      </c>
      <c r="B7" s="7">
        <f>+B12</f>
        <v>15.1</v>
      </c>
      <c r="C7" s="33" t="s">
        <v>72</v>
      </c>
    </row>
    <row r="8" spans="1:18" x14ac:dyDescent="0.2">
      <c r="A8" s="8" t="s">
        <v>14</v>
      </c>
      <c r="B8" s="7">
        <v>1553132.5306864204</v>
      </c>
      <c r="C8" s="33" t="s">
        <v>71</v>
      </c>
    </row>
    <row r="9" spans="1:18" ht="26.25" x14ac:dyDescent="0.25">
      <c r="A9" s="8" t="s">
        <v>75</v>
      </c>
      <c r="B9" s="22">
        <f>+B8*3.6</f>
        <v>5591277.1104711136</v>
      </c>
      <c r="C9" s="1"/>
      <c r="F9" s="57" t="s">
        <v>68</v>
      </c>
      <c r="G9" s="57"/>
      <c r="H9" s="57"/>
      <c r="I9" s="57"/>
      <c r="J9" s="57"/>
      <c r="K9" s="57"/>
      <c r="L9" s="57"/>
      <c r="R9" s="12" t="s">
        <v>78</v>
      </c>
    </row>
    <row r="10" spans="1:18" ht="35.25" customHeight="1" x14ac:dyDescent="0.25">
      <c r="K10" s="3" t="s">
        <v>27</v>
      </c>
      <c r="P10" s="13">
        <f>SUM(Tabla2[Consumo energía '[MJ/año']])</f>
        <v>2732903132.130414</v>
      </c>
      <c r="R10" s="50">
        <f>SUM(Tabla2[Consumo energía corregido '[MJ/año']])</f>
        <v>2732903132.130414</v>
      </c>
    </row>
    <row r="11" spans="1:18" s="2" customFormat="1" ht="25.5" x14ac:dyDescent="0.2">
      <c r="A11" s="16" t="s">
        <v>47</v>
      </c>
      <c r="B11" s="16" t="s">
        <v>65</v>
      </c>
      <c r="C11" s="16" t="s">
        <v>66</v>
      </c>
      <c r="F11" s="23" t="s">
        <v>15</v>
      </c>
      <c r="G11" s="24" t="s">
        <v>16</v>
      </c>
      <c r="H11" s="24" t="s">
        <v>63</v>
      </c>
      <c r="I11" s="24" t="s">
        <v>17</v>
      </c>
      <c r="J11" s="24" t="s">
        <v>20</v>
      </c>
      <c r="K11" s="25" t="s">
        <v>21</v>
      </c>
      <c r="L11" s="24" t="s">
        <v>22</v>
      </c>
      <c r="M11" s="24" t="s">
        <v>24</v>
      </c>
      <c r="N11" s="24" t="s">
        <v>25</v>
      </c>
      <c r="O11" s="24" t="s">
        <v>26</v>
      </c>
      <c r="P11" s="26" t="s">
        <v>76</v>
      </c>
      <c r="Q11" s="24" t="s">
        <v>69</v>
      </c>
      <c r="R11" s="24" t="s">
        <v>77</v>
      </c>
    </row>
    <row r="12" spans="1:18" x14ac:dyDescent="0.2">
      <c r="A12" s="10" t="s">
        <v>37</v>
      </c>
      <c r="B12" s="35">
        <v>15.1</v>
      </c>
      <c r="C12" s="39" t="s">
        <v>36</v>
      </c>
      <c r="F12" s="27" t="s">
        <v>50</v>
      </c>
      <c r="G12" s="28" t="s">
        <v>51</v>
      </c>
      <c r="H12" s="28" t="s">
        <v>64</v>
      </c>
      <c r="I12" s="28" t="s">
        <v>3</v>
      </c>
      <c r="J12" s="28" t="s">
        <v>52</v>
      </c>
      <c r="K12" s="28" t="s">
        <v>53</v>
      </c>
      <c r="L12" s="29">
        <v>49.195567089999997</v>
      </c>
      <c r="M12" s="30" t="str">
        <f>IFERROR(RIGHT(Tabla2[[#This Row],[Unidades indicador producción]], LEN(Tabla2[[#This Row],[Unidades indicador producción]])-FIND("/", Tabla2[[#This Row],[Unidades indicador producción]])), "")</f>
        <v>Tn</v>
      </c>
      <c r="N12" s="31">
        <f>IF(Tabla2[[#This Row],[Parámetro]]="Tn",Tabla2[[#This Row],[Indicador]]*$B$7,Tabla2[[#This Row],[Indicador]])</f>
        <v>742.85306305899996</v>
      </c>
      <c r="O12" s="30" t="str">
        <f t="shared" ref="O12" si="0">"MJ/Ha"</f>
        <v>MJ/Ha</v>
      </c>
      <c r="P12" s="32">
        <f>+Tabla2[[#This Row],[Indicador área]]*B6</f>
        <v>370940705.62625939</v>
      </c>
      <c r="Q12" s="49">
        <f>+Tabla2[[#This Row],[Consumo energía '[MJ/año']]]/$P$10</f>
        <v>0.13573137710779209</v>
      </c>
      <c r="R12" s="32">
        <f>IF(Tabla2[[#This Row],[Energético]]="Energía Eléctrica",((Tabla2[[#This Row],[Particiáción]]*$D$30)/SUMIF(Tabla2[Energético],"Energía Eléctrica",Tabla2[Particiáción]))*$B$33,Tabla2[[#This Row],[Consumo energía '[MJ/año']]])</f>
        <v>370940705.62625939</v>
      </c>
    </row>
    <row r="13" spans="1:18" x14ac:dyDescent="0.2">
      <c r="A13" s="36" t="s">
        <v>38</v>
      </c>
      <c r="B13" s="35">
        <v>3.27</v>
      </c>
      <c r="C13" s="40" t="s">
        <v>42</v>
      </c>
      <c r="F13" s="27" t="s">
        <v>50</v>
      </c>
      <c r="G13" s="28" t="s">
        <v>54</v>
      </c>
      <c r="H13" s="28" t="s">
        <v>64</v>
      </c>
      <c r="I13" s="28" t="s">
        <v>3</v>
      </c>
      <c r="J13" s="28" t="s">
        <v>55</v>
      </c>
      <c r="K13" s="28" t="s">
        <v>23</v>
      </c>
      <c r="L13" s="29">
        <v>588.19887249999999</v>
      </c>
      <c r="M13" s="34" t="str">
        <f>IFERROR(RIGHT(Tabla2[[#This Row],[Unidades indicador producción]], LEN(Tabla2[[#This Row],[Unidades indicador producción]])-FIND("/", Tabla2[[#This Row],[Unidades indicador producción]])), "")</f>
        <v>Ha</v>
      </c>
      <c r="N13" s="31">
        <f>IF(Tabla2[[#This Row],[Parámetro]]="Tn",Tabla2[[#This Row],[Indicador]]*$B$7,Tabla2[[#This Row],[Indicador]])</f>
        <v>588.19887249999999</v>
      </c>
      <c r="O13" s="34" t="str">
        <f t="shared" ref="O13:O19" si="1">"MJ/Ha"</f>
        <v>MJ/Ha</v>
      </c>
      <c r="P13" s="32">
        <f>(Tabla2[[#This Row],[Indicador área]]*$B$5)</f>
        <v>350403008.723445</v>
      </c>
      <c r="Q13" s="49">
        <f>+Tabla2[[#This Row],[Consumo energía '[MJ/año']]]/$P$10</f>
        <v>0.12821640277103089</v>
      </c>
      <c r="R13" s="32">
        <f>IF(Tabla2[[#This Row],[Energético]]="Energía Eléctrica",((Tabla2[[#This Row],[Particiáción]]*$D$30)/SUMIF(Tabla2[Energético],"Energía Eléctrica",Tabla2[Particiáción]))*$B$33,Tabla2[[#This Row],[Consumo energía '[MJ/año']]])</f>
        <v>350403008.723445</v>
      </c>
    </row>
    <row r="14" spans="1:18" x14ac:dyDescent="0.2">
      <c r="A14" s="10" t="s">
        <v>37</v>
      </c>
      <c r="B14" s="38">
        <v>284290</v>
      </c>
      <c r="C14" s="40" t="s">
        <v>39</v>
      </c>
      <c r="F14" s="27" t="s">
        <v>50</v>
      </c>
      <c r="G14" s="28" t="s">
        <v>18</v>
      </c>
      <c r="H14" s="28" t="s">
        <v>64</v>
      </c>
      <c r="I14" s="28" t="s">
        <v>9</v>
      </c>
      <c r="J14" s="28" t="s">
        <v>56</v>
      </c>
      <c r="K14" s="28" t="s">
        <v>23</v>
      </c>
      <c r="L14" s="29">
        <v>53.669871790000002</v>
      </c>
      <c r="M14" s="34" t="str">
        <f>IFERROR(RIGHT(Tabla2[[#This Row],[Unidades indicador producción]], LEN(Tabla2[[#This Row],[Unidades indicador producción]])-FIND("/", Tabla2[[#This Row],[Unidades indicador producción]])), "")</f>
        <v>Ha</v>
      </c>
      <c r="N14" s="31">
        <f>IF(Tabla2[[#This Row],[Parámetro]]="Tn",Tabla2[[#This Row],[Indicador]]*$B$7,Tabla2[[#This Row],[Indicador]])</f>
        <v>53.669871790000002</v>
      </c>
      <c r="O14" s="34" t="str">
        <f t="shared" si="1"/>
        <v>MJ/Ha</v>
      </c>
      <c r="P14" s="32">
        <f>(Tabla2[[#This Row],[Indicador área]]*$B$5)</f>
        <v>31972323.36248238</v>
      </c>
      <c r="Q14" s="49">
        <f>+Tabla2[[#This Row],[Consumo energía '[MJ/año']]]/$P$10</f>
        <v>1.1699032792852265E-2</v>
      </c>
      <c r="R14" s="32">
        <f>IF(Tabla2[[#This Row],[Energético]]="Energía Eléctrica",((Tabla2[[#This Row],[Particiáción]]*$D$30)/SUMIF(Tabla2[Energético],"Energía Eléctrica",Tabla2[Particiáción]))*$B$33,Tabla2[[#This Row],[Consumo energía '[MJ/año']]])</f>
        <v>31972323.36248238</v>
      </c>
    </row>
    <row r="15" spans="1:18" x14ac:dyDescent="0.2">
      <c r="F15" s="27" t="s">
        <v>50</v>
      </c>
      <c r="G15" s="28" t="s">
        <v>35</v>
      </c>
      <c r="H15" s="28" t="s">
        <v>64</v>
      </c>
      <c r="I15" s="28" t="s">
        <v>3</v>
      </c>
      <c r="J15" s="28" t="s">
        <v>57</v>
      </c>
      <c r="K15" s="28" t="s">
        <v>23</v>
      </c>
      <c r="L15" s="29">
        <v>408.21499010000002</v>
      </c>
      <c r="M15" s="34" t="str">
        <f>IFERROR(RIGHT(Tabla2[[#This Row],[Unidades indicador producción]], LEN(Tabla2[[#This Row],[Unidades indicador producción]])-FIND("/", Tabla2[[#This Row],[Unidades indicador producción]])), "")</f>
        <v>Ha</v>
      </c>
      <c r="N15" s="31">
        <f>IF(Tabla2[[#This Row],[Parámetro]]="Tn",Tabla2[[#This Row],[Indicador]]*$B$7,Tabla2[[#This Row],[Indicador]])</f>
        <v>408.21499010000002</v>
      </c>
      <c r="O15" s="34" t="str">
        <f t="shared" si="1"/>
        <v>MJ/Ha</v>
      </c>
      <c r="P15" s="32">
        <f>(Tabla2[[#This Row],[Indicador área]]*$B$5)</f>
        <v>243182650.33235222</v>
      </c>
      <c r="Q15" s="49">
        <f>+Tabla2[[#This Row],[Consumo energía '[MJ/año']]]/$P$10</f>
        <v>8.8983267454042919E-2</v>
      </c>
      <c r="R15" s="32">
        <f>IF(Tabla2[[#This Row],[Energético]]="Energía Eléctrica",((Tabla2[[#This Row],[Particiáción]]*$D$30)/SUMIF(Tabla2[Energético],"Energía Eléctrica",Tabla2[Particiáción]))*$B$33,Tabla2[[#This Row],[Consumo energía '[MJ/año']]])</f>
        <v>243182650.33235222</v>
      </c>
    </row>
    <row r="16" spans="1:18" x14ac:dyDescent="0.2">
      <c r="F16" s="27" t="s">
        <v>50</v>
      </c>
      <c r="G16" s="28" t="s">
        <v>35</v>
      </c>
      <c r="H16" s="28" t="s">
        <v>64</v>
      </c>
      <c r="I16" s="28" t="s">
        <v>3</v>
      </c>
      <c r="J16" s="28" t="s">
        <v>35</v>
      </c>
      <c r="K16" s="28" t="s">
        <v>23</v>
      </c>
      <c r="L16" s="29">
        <v>642.82378979999999</v>
      </c>
      <c r="M16" s="34" t="str">
        <f>IFERROR(RIGHT(Tabla2[[#This Row],[Unidades indicador producción]], LEN(Tabla2[[#This Row],[Unidades indicador producción]])-FIND("/", Tabla2[[#This Row],[Unidades indicador producción]])), "")</f>
        <v>Ha</v>
      </c>
      <c r="N16" s="31">
        <f>IF(Tabla2[[#This Row],[Parámetro]]="Tn",Tabla2[[#This Row],[Indicador]]*$B$7,Tabla2[[#This Row],[Indicador]])</f>
        <v>642.82378979999999</v>
      </c>
      <c r="O16" s="34" t="str">
        <f t="shared" si="1"/>
        <v>MJ/Ha</v>
      </c>
      <c r="P16" s="32">
        <f>(Tabla2[[#This Row],[Indicador área]]*$B$5)</f>
        <v>382944273.70723557</v>
      </c>
      <c r="Q16" s="49">
        <f>+Tabla2[[#This Row],[Consumo energía '[MJ/año']]]/$P$10</f>
        <v>0.14012361770346182</v>
      </c>
      <c r="R16" s="32">
        <f>IF(Tabla2[[#This Row],[Energético]]="Energía Eléctrica",((Tabla2[[#This Row],[Particiáción]]*$D$30)/SUMIF(Tabla2[Energético],"Energía Eléctrica",Tabla2[Particiáción]))*$B$33,Tabla2[[#This Row],[Consumo energía '[MJ/año']]])</f>
        <v>382944273.70723557</v>
      </c>
    </row>
    <row r="17" spans="1:18" x14ac:dyDescent="0.2">
      <c r="A17" s="37" t="s">
        <v>40</v>
      </c>
      <c r="B17" s="38">
        <f>+B14*B12</f>
        <v>4292779</v>
      </c>
      <c r="F17" s="27" t="s">
        <v>50</v>
      </c>
      <c r="G17" s="28" t="s">
        <v>35</v>
      </c>
      <c r="H17" s="28" t="s">
        <v>64</v>
      </c>
      <c r="I17" s="28" t="s">
        <v>9</v>
      </c>
      <c r="J17" s="28" t="s">
        <v>58</v>
      </c>
      <c r="K17" s="28" t="s">
        <v>23</v>
      </c>
      <c r="L17" s="29">
        <v>91.414006929999999</v>
      </c>
      <c r="M17" s="34" t="str">
        <f>IFERROR(RIGHT(Tabla2[[#This Row],[Unidades indicador producción]], LEN(Tabla2[[#This Row],[Unidades indicador producción]])-FIND("/", Tabla2[[#This Row],[Unidades indicador producción]])), "")</f>
        <v>Ha</v>
      </c>
      <c r="N17" s="31">
        <f>IF(Tabla2[[#This Row],[Parámetro]]="Tn",Tabla2[[#This Row],[Indicador]]*$B$7,Tabla2[[#This Row],[Indicador]])</f>
        <v>91.414006929999999</v>
      </c>
      <c r="O17" s="34" t="str">
        <f t="shared" si="1"/>
        <v>MJ/Ha</v>
      </c>
      <c r="P17" s="32">
        <f>(Tabla2[[#This Row],[Indicador área]]*$B$5)</f>
        <v>54457335.036353461</v>
      </c>
      <c r="Q17" s="49">
        <f>+Tabla2[[#This Row],[Consumo energía '[MJ/año']]]/$P$10</f>
        <v>1.9926551510774427E-2</v>
      </c>
      <c r="R17" s="32">
        <f>IF(Tabla2[[#This Row],[Energético]]="Energía Eléctrica",((Tabla2[[#This Row],[Particiáción]]*$D$30)/SUMIF(Tabla2[Energético],"Energía Eléctrica",Tabla2[Particiáción]))*$B$33,Tabla2[[#This Row],[Consumo energía '[MJ/año']]])</f>
        <v>54457335.036353461</v>
      </c>
    </row>
    <row r="18" spans="1:18" x14ac:dyDescent="0.2">
      <c r="A18" s="37" t="s">
        <v>41</v>
      </c>
      <c r="B18" s="38">
        <f>+B14*B13</f>
        <v>929628.3</v>
      </c>
      <c r="F18" s="27" t="s">
        <v>50</v>
      </c>
      <c r="G18" s="28" t="s">
        <v>19</v>
      </c>
      <c r="H18" s="28" t="s">
        <v>64</v>
      </c>
      <c r="I18" s="28" t="s">
        <v>3</v>
      </c>
      <c r="J18" s="28" t="s">
        <v>59</v>
      </c>
      <c r="K18" s="28" t="s">
        <v>23</v>
      </c>
      <c r="L18" s="29">
        <v>1264.4809110000001</v>
      </c>
      <c r="M18" s="34" t="str">
        <f>IFERROR(RIGHT(Tabla2[[#This Row],[Unidades indicador producción]], LEN(Tabla2[[#This Row],[Unidades indicador producción]])-FIND("/", Tabla2[[#This Row],[Unidades indicador producción]])), "")</f>
        <v>Ha</v>
      </c>
      <c r="N18" s="31">
        <f>IF(Tabla2[[#This Row],[Parámetro]]="Tn",Tabla2[[#This Row],[Indicador]]*$B$7,Tabla2[[#This Row],[Indicador]])</f>
        <v>1264.4809110000001</v>
      </c>
      <c r="O18" s="34" t="str">
        <f t="shared" si="1"/>
        <v>MJ/Ha</v>
      </c>
      <c r="P18" s="32">
        <f>(Tabla2[[#This Row],[Indicador área]]*$B$5)</f>
        <v>753279097.26274204</v>
      </c>
      <c r="Q18" s="49">
        <f>+Tabla2[[#This Row],[Consumo energía '[MJ/año']]]/$P$10</f>
        <v>0.2756332957456597</v>
      </c>
      <c r="R18" s="32">
        <f>IF(Tabla2[[#This Row],[Energético]]="Energía Eléctrica",((Tabla2[[#This Row],[Particiáción]]*$D$30)/SUMIF(Tabla2[Energético],"Energía Eléctrica",Tabla2[Particiáción]))*$B$33,Tabla2[[#This Row],[Consumo energía '[MJ/año']]])</f>
        <v>753279097.26274204</v>
      </c>
    </row>
    <row r="19" spans="1:18" x14ac:dyDescent="0.2">
      <c r="A19" s="37" t="s">
        <v>43</v>
      </c>
      <c r="B19" s="43">
        <f>+B17/B18</f>
        <v>4.617737003058104</v>
      </c>
      <c r="F19" s="27" t="s">
        <v>50</v>
      </c>
      <c r="G19" s="28" t="s">
        <v>60</v>
      </c>
      <c r="H19" s="28" t="s">
        <v>64</v>
      </c>
      <c r="I19" s="28" t="s">
        <v>3</v>
      </c>
      <c r="J19" s="28" t="s">
        <v>61</v>
      </c>
      <c r="K19" s="28" t="s">
        <v>53</v>
      </c>
      <c r="L19" s="29">
        <v>71.634421130000007</v>
      </c>
      <c r="M19" s="34" t="str">
        <f>IFERROR(RIGHT(Tabla2[[#This Row],[Unidades indicador producción]], LEN(Tabla2[[#This Row],[Unidades indicador producción]])-FIND("/", Tabla2[[#This Row],[Unidades indicador producción]])), "")</f>
        <v>Tn</v>
      </c>
      <c r="N19" s="31">
        <f>IF(Tabla2[[#This Row],[Parámetro]]="Tn",Tabla2[[#This Row],[Indicador]]*$B$7,Tabla2[[#This Row],[Indicador]])</f>
        <v>1081.6797590630001</v>
      </c>
      <c r="O19" s="34" t="str">
        <f t="shared" si="1"/>
        <v>MJ/Ha</v>
      </c>
      <c r="P19" s="32">
        <f>+B6*Tabla2[[#This Row],[Indicador área]]</f>
        <v>540132460.96907282</v>
      </c>
      <c r="Q19" s="49">
        <f>+Tabla2[[#This Row],[Consumo energía '[MJ/año']]]/$P$10</f>
        <v>0.19764054372026593</v>
      </c>
      <c r="R19" s="32">
        <f>IF(Tabla2[[#This Row],[Energético]]="Energía Eléctrica",((Tabla2[[#This Row],[Particiáción]]*$D$30)/SUMIF(Tabla2[Energético],"Energía Eléctrica",Tabla2[Particiáción]))*$B$33,Tabla2[[#This Row],[Consumo energía '[MJ/año']]])</f>
        <v>540132460.96907282</v>
      </c>
    </row>
    <row r="20" spans="1:18" ht="15.75" x14ac:dyDescent="0.25">
      <c r="A20" s="44" t="s">
        <v>44</v>
      </c>
      <c r="B20" s="45">
        <f>+B18/B17</f>
        <v>0.21655629139072849</v>
      </c>
      <c r="F20" s="27" t="s">
        <v>50</v>
      </c>
      <c r="G20" s="51" t="s">
        <v>74</v>
      </c>
      <c r="H20" s="28" t="s">
        <v>64</v>
      </c>
      <c r="I20" s="51" t="s">
        <v>2</v>
      </c>
      <c r="J20" s="51" t="s">
        <v>73</v>
      </c>
      <c r="K20" s="51" t="s">
        <v>23</v>
      </c>
      <c r="L20" s="52">
        <v>9.3857153344531739</v>
      </c>
      <c r="M20" s="53" t="str">
        <f>IFERROR(RIGHT(Tabla2[[#This Row],[Unidades indicador producción]], LEN(Tabla2[[#This Row],[Unidades indicador producción]])-FIND("/", Tabla2[[#This Row],[Unidades indicador producción]])), "")</f>
        <v>Ha</v>
      </c>
      <c r="N20" s="54">
        <f>IF(Tabla2[[#This Row],[Parámetro]]="Tn",Tabla2[[#This Row],[Indicador]]*$B$7,Tabla2[[#This Row],[Indicador]])</f>
        <v>9.3857153344531739</v>
      </c>
      <c r="O20" s="53" t="str">
        <f>"MJ/Ha"</f>
        <v>MJ/Ha</v>
      </c>
      <c r="P20" s="55">
        <f>(Tabla2[[#This Row],[Indicador área]]*$B$5)</f>
        <v>5591277.1104711136</v>
      </c>
      <c r="Q20" s="56">
        <f>+Tabla2[[#This Row],[Consumo energía '[MJ/año']]]/$P$10</f>
        <v>2.0459111941199598E-3</v>
      </c>
      <c r="R20" s="55">
        <f>IF(Tabla2[[#This Row],[Energético]]="Energía Eléctrica",((Tabla2[[#This Row],[Particiáción]]*$D$30)/SUMIF(Tabla2[Energético],"Energía Eléctrica",Tabla2[Particiáción]))*$B$33,Tabla2[[#This Row],[Consumo energía '[MJ/año']]])</f>
        <v>5591277.1104711136</v>
      </c>
    </row>
    <row r="27" spans="1:18" ht="15.75" x14ac:dyDescent="0.25">
      <c r="A27" s="57" t="s">
        <v>28</v>
      </c>
      <c r="B27" s="57"/>
      <c r="C27" s="57"/>
      <c r="D27" s="57"/>
    </row>
    <row r="29" spans="1:18" x14ac:dyDescent="0.2">
      <c r="A29" s="16" t="s">
        <v>0</v>
      </c>
      <c r="B29" s="16" t="s">
        <v>31</v>
      </c>
      <c r="C29" s="16" t="s">
        <v>32</v>
      </c>
      <c r="D29" s="16" t="s">
        <v>1</v>
      </c>
    </row>
    <row r="30" spans="1:18" x14ac:dyDescent="0.2">
      <c r="A30" s="17" t="s">
        <v>2</v>
      </c>
      <c r="B30" s="18">
        <f>B9</f>
        <v>5591277.1104711136</v>
      </c>
      <c r="C30" s="19">
        <f>'Palma de aceite'!$B30/1000000</f>
        <v>5.5912771104711139</v>
      </c>
      <c r="D30" s="20">
        <f>B30/$B$33</f>
        <v>2.0459111941199598E-3</v>
      </c>
    </row>
    <row r="31" spans="1:18" x14ac:dyDescent="0.2">
      <c r="A31" s="17" t="s">
        <v>3</v>
      </c>
      <c r="B31" s="21">
        <f>SUMIF(Tabla2[Energético],A31,Tabla2[Consumo energía '[MJ/año']])</f>
        <v>2640882196.6211071</v>
      </c>
      <c r="C31" s="19">
        <f>'Palma de aceite'!$B31/1000000</f>
        <v>2640.8821966211071</v>
      </c>
      <c r="D31" s="20">
        <f>B31/$B$33</f>
        <v>0.96632850450225338</v>
      </c>
    </row>
    <row r="32" spans="1:18" x14ac:dyDescent="0.2">
      <c r="A32" s="17" t="s">
        <v>9</v>
      </c>
      <c r="B32" s="21">
        <f>SUMIF(Tabla2[Energético],A32,Tabla2[Consumo energía '[MJ/año']])</f>
        <v>86429658.398835838</v>
      </c>
      <c r="C32" s="19">
        <f>'Palma de aceite'!$B32/1000000</f>
        <v>86.429658398835841</v>
      </c>
      <c r="D32" s="20">
        <f>B32/$B$33</f>
        <v>3.1625584303626691E-2</v>
      </c>
    </row>
    <row r="33" spans="1:4" x14ac:dyDescent="0.2">
      <c r="A33" s="46" t="s">
        <v>67</v>
      </c>
      <c r="B33" s="47">
        <f>SUM(B30:B32)</f>
        <v>2732903132.130414</v>
      </c>
      <c r="C33" s="47">
        <f>SUM(C30:C32)</f>
        <v>2732.9031321304142</v>
      </c>
      <c r="D33" s="48">
        <f>SUM(D30:D32)</f>
        <v>1</v>
      </c>
    </row>
    <row r="36" spans="1:4" ht="18" x14ac:dyDescent="0.25">
      <c r="A36" s="58" t="s">
        <v>33</v>
      </c>
      <c r="B36" s="58"/>
      <c r="C36" s="58"/>
    </row>
    <row r="37" spans="1:4" x14ac:dyDescent="0.2">
      <c r="A37" s="9" t="str">
        <f>+A4</f>
        <v>Grupo Homogeneo</v>
      </c>
      <c r="B37" s="9" t="s">
        <v>29</v>
      </c>
      <c r="C37" s="9" t="s">
        <v>62</v>
      </c>
    </row>
    <row r="38" spans="1:4" x14ac:dyDescent="0.2">
      <c r="A38" s="10" t="str">
        <f>+$B$4</f>
        <v>Palma de aceite</v>
      </c>
      <c r="B38" s="11">
        <f>B33/B5</f>
        <v>4587.5477691446913</v>
      </c>
      <c r="C38" s="11">
        <f>B38/$B$7</f>
        <v>303.81111053938355</v>
      </c>
    </row>
  </sheetData>
  <mergeCells count="4">
    <mergeCell ref="A27:D27"/>
    <mergeCell ref="F9:L9"/>
    <mergeCell ref="A36:C36"/>
    <mergeCell ref="A3:B3"/>
  </mergeCells>
  <phoneticPr fontId="9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A30:A32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Palma de aceite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2024-01-23T21:01:41Z</dcterms:modified>
</cp:coreProperties>
</file>