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BC54DDE3-5CE5-446D-9273-DFD5A47F7340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Caña de azucar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M11" i="1" l="1"/>
  <c r="M17" i="1"/>
  <c r="M18" i="1"/>
  <c r="M19" i="1"/>
  <c r="M20" i="1"/>
  <c r="M21" i="1"/>
  <c r="M22" i="1"/>
  <c r="M23" i="1"/>
  <c r="M24" i="1"/>
  <c r="M25" i="1"/>
  <c r="M26" i="1"/>
  <c r="M27" i="1"/>
  <c r="P27" i="1" s="1"/>
  <c r="R27" i="1" s="1"/>
  <c r="M28" i="1"/>
  <c r="P28" i="1" s="1"/>
  <c r="R28" i="1" s="1"/>
  <c r="P17" i="1"/>
  <c r="R17" i="1" s="1"/>
  <c r="P18" i="1"/>
  <c r="R18" i="1" s="1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O17" i="1"/>
  <c r="O18" i="1"/>
  <c r="O19" i="1"/>
  <c r="O20" i="1"/>
  <c r="O21" i="1"/>
  <c r="O22" i="1"/>
  <c r="O23" i="1"/>
  <c r="O24" i="1"/>
  <c r="O25" i="1"/>
  <c r="O26" i="1"/>
  <c r="O27" i="1"/>
  <c r="O28" i="1"/>
  <c r="B8" i="1"/>
  <c r="B29" i="1" s="1"/>
  <c r="A37" i="1"/>
  <c r="A38" i="1"/>
  <c r="O11" i="1"/>
  <c r="O12" i="1"/>
  <c r="O13" i="1"/>
  <c r="O14" i="1"/>
  <c r="O15" i="1"/>
  <c r="O16" i="1"/>
  <c r="M12" i="1"/>
  <c r="P12" i="1" s="1"/>
  <c r="R12" i="1" s="1"/>
  <c r="M13" i="1"/>
  <c r="P13" i="1" s="1"/>
  <c r="R13" i="1" s="1"/>
  <c r="M14" i="1"/>
  <c r="M15" i="1"/>
  <c r="P15" i="1" s="1"/>
  <c r="R15" i="1" s="1"/>
  <c r="M16" i="1"/>
  <c r="P16" i="1" s="1"/>
  <c r="R16" i="1" s="1"/>
  <c r="C29" i="1" l="1"/>
  <c r="P11" i="1"/>
  <c r="R11" i="1" s="1"/>
  <c r="P14" i="1"/>
  <c r="B31" i="1" l="1"/>
  <c r="R14" i="1"/>
  <c r="B30" i="1"/>
  <c r="P9" i="1"/>
  <c r="C31" i="1" l="1"/>
  <c r="Q11" i="1"/>
  <c r="Q15" i="1"/>
  <c r="Q19" i="1"/>
  <c r="Q23" i="1"/>
  <c r="Q27" i="1"/>
  <c r="Q18" i="1"/>
  <c r="Q22" i="1"/>
  <c r="Q12" i="1"/>
  <c r="Q16" i="1"/>
  <c r="Q20" i="1"/>
  <c r="Q24" i="1"/>
  <c r="Q28" i="1"/>
  <c r="Q14" i="1"/>
  <c r="Q26" i="1"/>
  <c r="Q13" i="1"/>
  <c r="Q17" i="1"/>
  <c r="Q21" i="1"/>
  <c r="Q25" i="1"/>
  <c r="C30" i="1"/>
  <c r="C32" i="1" s="1"/>
  <c r="B32" i="1"/>
  <c r="D29" i="1" l="1"/>
  <c r="R26" i="1" s="1"/>
  <c r="R9" i="1" s="1"/>
  <c r="B38" i="1"/>
  <c r="C38" i="1" s="1"/>
  <c r="D30" i="1"/>
  <c r="D31" i="1"/>
</calcChain>
</file>

<file path=xl/sharedStrings.xml><?xml version="1.0" encoding="utf-8"?>
<sst xmlns="http://schemas.openxmlformats.org/spreadsheetml/2006/main" count="157" uniqueCount="70">
  <si>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</si>
  <si>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</si>
  <si>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</si>
  <si>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</si>
  <si>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</si>
  <si>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</si>
  <si>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</si>
  <si>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</si>
  <si>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</si>
  <si>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</si>
  <si>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</si>
  <si>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</si>
  <si>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</si>
  <si>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</si>
  <si>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</si>
  <si>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</si>
  <si>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</si>
  <si>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</si>
  <si>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</si>
  <si>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</si>
  <si>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</si>
  <si>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Siembra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</si>
  <si>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</si>
  <si>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</si>
  <si>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</si>
  <si>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</si>
  <si>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</si>
  <si>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</si>
  <si>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</si>
  <si>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</si>
  <si>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</si>
  <si>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</si>
  <si>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</si>
  <si>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</si>
  <si>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</si>
  <si>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</si>
  <si>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</si>
  <si>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Mantenimiento</t>
  </si>
  <si>
    <t>Caña de azúcar</t>
  </si>
  <si>
    <t>Cosecha</t>
  </si>
  <si>
    <t>Fertilización</t>
  </si>
  <si>
    <t>Terreno fertilizado</t>
  </si>
  <si>
    <t>Terreno fumigado</t>
  </si>
  <si>
    <t>Terreno en mantenimiento</t>
  </si>
  <si>
    <t>Terreno subsolado</t>
  </si>
  <si>
    <t>Terreno nivelado</t>
  </si>
  <si>
    <t>Terreno rastrillado</t>
  </si>
  <si>
    <t>Terreno descepado</t>
  </si>
  <si>
    <t>Terreno surcado</t>
  </si>
  <si>
    <t>Terreno encallado</t>
  </si>
  <si>
    <t>Terreno sembrado</t>
  </si>
  <si>
    <t>Sistema de Riego y drenaje</t>
  </si>
  <si>
    <t>Terreno irrigado</t>
  </si>
  <si>
    <t>Terreno Drenado</t>
  </si>
  <si>
    <t>Transporte interno</t>
  </si>
  <si>
    <t>Cultivo</t>
  </si>
  <si>
    <t>Terreno con cultivo</t>
  </si>
  <si>
    <t>Uso final de energía</t>
  </si>
  <si>
    <t>Fuerza motriz</t>
  </si>
  <si>
    <t>MJ/Tn</t>
  </si>
  <si>
    <t>Consumo Eléctricidad por sector [MJ/año]</t>
  </si>
  <si>
    <t>Dato comercial por CIIU de XM [kWh/año]</t>
  </si>
  <si>
    <t>Dato de información secundaria [Ha] Agronet</t>
  </si>
  <si>
    <t>Dato de información secundaria Tn/Ha Agronet</t>
  </si>
  <si>
    <t>Consumo energía [MJ/año]</t>
  </si>
  <si>
    <t>Consumo energía corregido[MJ/año]</t>
  </si>
  <si>
    <t>Total [MJ/año]</t>
  </si>
  <si>
    <t>Total</t>
  </si>
  <si>
    <t>Sector</t>
  </si>
  <si>
    <t>Tabla 8. Indicador 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</si>
</sst>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4" fontId="0" fillId="0" borderId="0" xfId="0" applyNumberFormat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4" fontId="0" fillId="0" borderId="0" xfId="0" applyNumberFormat="1" applyFill="1" applyBorder="1"/>
    <xf numFmtId="4" fontId="4" fillId="5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7" borderId="1" xfId="0" applyFont="1" applyFill="1" applyBorder="1"/>
    <xf numFmtId="4" fontId="3" fillId="7" borderId="1" xfId="0" applyNumberFormat="1" applyFont="1" applyFill="1" applyBorder="1"/>
    <xf numFmtId="10" fontId="3" fillId="7" borderId="1" xfId="0" applyNumberFormat="1" applyFont="1" applyFill="1" applyBorder="1"/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8"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R28" totalsRowShown="0" headerRowDxfId="17" dataDxfId="15" headerRowBorderDxfId="16" tableBorderDxfId="14" totalsRowBorderDxfId="13">
  <autoFilter ref="F10:R28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3" xr3:uid="{1E19BB9F-4B77-41A3-891A-55B28E8E61A9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/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38F6D4EE-6536-452F-AFD1-6C8C0DB7AD10}" name="Participación" dataDxfId="1" dataCellStyle="Porcentaje">
      <calculatedColumnFormula>+Tabla2[[#This Row],[Consumo energía '[MJ/año']]]/$P$9</calculatedColumnFormula>
    </tableColumn>
    <tableColumn id="12" xr3:uid="{63A014CC-3D79-477B-8230-FCC277BECFF6}" name="Consumo energía corregido[MJ/año]" dataDxfId="0">
      <calculatedColumnFormula>IF(Tabla2[[#This Row],[Energético]]="Energía Eléctrica",((Tabla2[[#This Row],[Participación]]*$D$29)/SUMIF(Tabla2[Energético],"Energía Eléctrica",Tabla2[Participación]))*$B$32,Tabla2[[#This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45"/>
  <sheetViews>
    <sheetView showGridLines="0" tabSelected="1" workbookViewId="0">
      <selection activeCell="A38" sqref="A38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7" max="17" width="15" customWidth="1"/>
    <col min="18" max="18" width="22.140625" customWidth="1"/>
  </cols>
  <sheetData>
    <row r="1" spans="1:18" ht="18" x14ac:dyDescent="0.25">
      <c r="A1" s="15"/>
    </row>
    <row r="2" spans="1:18" x14ac:dyDescent="0.2">
      <c r="F2" s="39"/>
      <c r="G2" s="39"/>
      <c r="H2" s="39"/>
    </row>
    <row r="3" spans="1:18" ht="18" x14ac:dyDescent="0.2">
      <c r="A3" s="48" t="s">
        <v>68</v>
      </c>
      <c r="B3" s="49"/>
      <c r="C3" s="4"/>
      <c r="F3" s="39"/>
      <c r="G3" s="39"/>
      <c r="H3" s="39"/>
    </row>
    <row r="4" spans="1:18" x14ac:dyDescent="0.2">
      <c r="A4" s="5" t="s">
        <v>33</v>
      </c>
      <c r="B4" s="14" t="s">
        <v>38</v>
      </c>
      <c r="C4" s="4"/>
      <c r="F4" s="39"/>
      <c r="G4" s="39"/>
      <c r="H4" s="39"/>
    </row>
    <row r="5" spans="1:18" x14ac:dyDescent="0.2">
      <c r="A5" s="6" t="s">
        <v>13</v>
      </c>
      <c r="B5" s="7">
        <v>269768</v>
      </c>
      <c r="C5" s="33" t="s">
        <v>62</v>
      </c>
      <c r="F5" s="40"/>
      <c r="G5" s="40"/>
      <c r="H5" s="39"/>
    </row>
    <row r="6" spans="1:18" x14ac:dyDescent="0.2">
      <c r="A6" s="6" t="s">
        <v>14</v>
      </c>
      <c r="B6" s="7">
        <v>118.19</v>
      </c>
      <c r="C6" s="33" t="s">
        <v>63</v>
      </c>
    </row>
    <row r="7" spans="1:18" ht="25.5" x14ac:dyDescent="0.2">
      <c r="A7" s="8" t="s">
        <v>15</v>
      </c>
      <c r="B7" s="7">
        <v>9908611.6736114547</v>
      </c>
      <c r="C7" s="33" t="s">
        <v>61</v>
      </c>
    </row>
    <row r="8" spans="1:18" ht="26.25" x14ac:dyDescent="0.25">
      <c r="A8" s="8" t="s">
        <v>60</v>
      </c>
      <c r="B8" s="22">
        <f>+B7*3.6</f>
        <v>35671002.025001235</v>
      </c>
      <c r="C8" s="1"/>
      <c r="F8" s="37" t="s">
        <v>69</v>
      </c>
      <c r="G8" s="37"/>
      <c r="H8" s="37"/>
      <c r="I8" s="37"/>
      <c r="J8" s="37"/>
      <c r="K8" s="37"/>
      <c r="L8" s="37"/>
      <c r="R8" s="12" t="s">
        <v>66</v>
      </c>
    </row>
    <row r="9" spans="1:18" ht="35.25" customHeight="1" x14ac:dyDescent="0.25">
      <c r="K9" s="3" t="s">
        <v>29</v>
      </c>
      <c r="P9" s="13">
        <f>SUM(Tabla2[Consumo energía '[MJ/año']])</f>
        <v>2937048826.5486188</v>
      </c>
      <c r="R9" s="41">
        <f>SUM(Tabla2[Consumo energía corregido'[MJ/año']])</f>
        <v>2809373036.6070671</v>
      </c>
    </row>
    <row r="10" spans="1:18" s="2" customFormat="1" ht="51" x14ac:dyDescent="0.2">
      <c r="F10" s="23" t="s">
        <v>16</v>
      </c>
      <c r="G10" s="24" t="s">
        <v>17</v>
      </c>
      <c r="H10" s="24" t="s">
        <v>57</v>
      </c>
      <c r="I10" s="24" t="s">
        <v>18</v>
      </c>
      <c r="J10" s="24" t="s">
        <v>22</v>
      </c>
      <c r="K10" s="25" t="s">
        <v>23</v>
      </c>
      <c r="L10" s="24" t="s">
        <v>24</v>
      </c>
      <c r="M10" s="24" t="s">
        <v>26</v>
      </c>
      <c r="N10" s="24" t="s">
        <v>27</v>
      </c>
      <c r="O10" s="24" t="s">
        <v>28</v>
      </c>
      <c r="P10" s="26" t="s">
        <v>64</v>
      </c>
      <c r="Q10" s="42" t="s">
        <v>1</v>
      </c>
      <c r="R10" s="42" t="s">
        <v>65</v>
      </c>
    </row>
    <row r="11" spans="1:18" x14ac:dyDescent="0.2">
      <c r="F11" s="27" t="s">
        <v>38</v>
      </c>
      <c r="G11" s="28" t="s">
        <v>39</v>
      </c>
      <c r="H11" s="28" t="s">
        <v>58</v>
      </c>
      <c r="I11" s="28" t="s">
        <v>3</v>
      </c>
      <c r="J11" s="28" t="s">
        <v>38</v>
      </c>
      <c r="K11" s="28" t="s">
        <v>59</v>
      </c>
      <c r="L11" s="29">
        <v>52.327966050000001</v>
      </c>
      <c r="M11" s="30" t="str">
        <f>IFERROR(RIGHT(Tabla2[[#This Row],[Unidades indicador producción]], LEN(Tabla2[[#This Row],[Unidades indicador producción]])-FIND("/", Tabla2[[#This Row],[Unidades indicador producción]])), "")</f>
        <v>Tn</v>
      </c>
      <c r="N11" s="31">
        <v>52.327966050000001</v>
      </c>
      <c r="O11" s="30" t="str">
        <f t="shared" ref="O11:O16" si="0">"MJ/Ha"</f>
        <v>MJ/Ha</v>
      </c>
      <c r="P11" s="32">
        <f>(Tabla2[[#This Row],[Indicador área]]*$B$5)</f>
        <v>14116410.745376401</v>
      </c>
      <c r="Q11" s="43">
        <f>+Tabla2[[#This Row],[Consumo energía '[MJ/año']]]/$P$9</f>
        <v>4.8063248447813038E-3</v>
      </c>
      <c r="R11" s="44">
        <f>IF(Tabla2[[#This Row],[Energético]]="Energía Eléctrica",((Tabla2[[#This Row],[Participación]]*$D$29)/SUMIF(Tabla2[Energético],"Energía Eléctrica",Tabla2[Participación]))*$B$32,Tabla2[[#This Row],[Consumo energía '[MJ/año']]])</f>
        <v>14116410.745376401</v>
      </c>
    </row>
    <row r="12" spans="1:18" x14ac:dyDescent="0.2">
      <c r="F12" s="27" t="s">
        <v>38</v>
      </c>
      <c r="G12" s="28" t="s">
        <v>40</v>
      </c>
      <c r="H12" s="28" t="s">
        <v>58</v>
      </c>
      <c r="I12" s="28" t="s">
        <v>3</v>
      </c>
      <c r="J12" s="28" t="s">
        <v>41</v>
      </c>
      <c r="K12" s="28" t="s">
        <v>25</v>
      </c>
      <c r="L12" s="29">
        <v>359.00728770000001</v>
      </c>
      <c r="M12" s="30" t="str">
        <f>IFERROR(RIGHT(Tabla2[[#This Row],[Unidades indicador producción]], LEN(Tabla2[[#This Row],[Unidades indicador producción]])-FIND("/", Tabla2[[#This Row],[Unidades indicador producción]])), "")</f>
        <v>Ha</v>
      </c>
      <c r="N12" s="31">
        <v>359.00728770000001</v>
      </c>
      <c r="O12" s="30" t="str">
        <f t="shared" si="0"/>
        <v>MJ/Ha</v>
      </c>
      <c r="P12" s="32">
        <f>(Tabla2[[#This Row],[Indicador área]]*$B$5)</f>
        <v>96848677.988253608</v>
      </c>
      <c r="Q12" s="43">
        <f>+Tabla2[[#This Row],[Consumo energía '[MJ/año']]]/$P$9</f>
        <v>3.2974827354866384E-2</v>
      </c>
      <c r="R12" s="44">
        <f>IF(Tabla2[[#This Row],[Energético]]="Energía Eléctrica",((Tabla2[[#This Row],[Participación]]*$D$29)/SUMIF(Tabla2[Energético],"Energía Eléctrica",Tabla2[Participación]))*$B$32,Tabla2[[#This Row],[Consumo energía '[MJ/año']]])</f>
        <v>96848677.988253608</v>
      </c>
    </row>
    <row r="13" spans="1:18" x14ac:dyDescent="0.2">
      <c r="F13" s="27" t="s">
        <v>38</v>
      </c>
      <c r="G13" s="28" t="s">
        <v>19</v>
      </c>
      <c r="H13" s="28" t="s">
        <v>58</v>
      </c>
      <c r="I13" s="28" t="s">
        <v>3</v>
      </c>
      <c r="J13" s="28" t="s">
        <v>42</v>
      </c>
      <c r="K13" s="28" t="s">
        <v>25</v>
      </c>
      <c r="L13" s="29">
        <v>182.3309874</v>
      </c>
      <c r="M13" s="30" t="str">
        <f>IFERROR(RIGHT(Tabla2[[#This Row],[Unidades indicador producción]], LEN(Tabla2[[#This Row],[Unidades indicador producción]])-FIND("/", Tabla2[[#This Row],[Unidades indicador producción]])), "")</f>
        <v>Ha</v>
      </c>
      <c r="N13" s="31">
        <v>182.3309874</v>
      </c>
      <c r="O13" s="30" t="str">
        <f t="shared" si="0"/>
        <v>MJ/Ha</v>
      </c>
      <c r="P13" s="32">
        <f>(Tabla2[[#This Row],[Indicador área]]*$B$5)</f>
        <v>49187065.8089232</v>
      </c>
      <c r="Q13" s="43">
        <f>+Tabla2[[#This Row],[Consumo energía '[MJ/año']]]/$P$9</f>
        <v>1.6747105245343792E-2</v>
      </c>
      <c r="R13" s="44">
        <f>IF(Tabla2[[#This Row],[Energético]]="Energía Eléctrica",((Tabla2[[#This Row],[Participación]]*$D$29)/SUMIF(Tabla2[Energético],"Energía Eléctrica",Tabla2[Participación]))*$B$32,Tabla2[[#This Row],[Consumo energía '[MJ/año']]])</f>
        <v>49187065.8089232</v>
      </c>
    </row>
    <row r="14" spans="1:18" x14ac:dyDescent="0.2">
      <c r="F14" s="27" t="s">
        <v>38</v>
      </c>
      <c r="G14" s="28" t="s">
        <v>19</v>
      </c>
      <c r="H14" s="28" t="s">
        <v>58</v>
      </c>
      <c r="I14" s="28" t="s">
        <v>9</v>
      </c>
      <c r="J14" s="28" t="s">
        <v>42</v>
      </c>
      <c r="K14" s="28" t="s">
        <v>25</v>
      </c>
      <c r="L14" s="29">
        <v>58.98574481</v>
      </c>
      <c r="M14" s="30" t="str">
        <f>IFERROR(RIGHT(Tabla2[[#This Row],[Unidades indicador producción]], LEN(Tabla2[[#This Row],[Unidades indicador producción]])-FIND("/", Tabla2[[#This Row],[Unidades indicador producción]])), "")</f>
        <v>Ha</v>
      </c>
      <c r="N14" s="31">
        <v>58.98574481</v>
      </c>
      <c r="O14" s="30" t="str">
        <f t="shared" si="0"/>
        <v>MJ/Ha</v>
      </c>
      <c r="P14" s="32">
        <f>(Tabla2[[#This Row],[Indicador área]]*$B$5)</f>
        <v>15912466.405904081</v>
      </c>
      <c r="Q14" s="43">
        <f>+Tabla2[[#This Row],[Consumo energía '[MJ/año']]]/$P$9</f>
        <v>5.4178419718691291E-3</v>
      </c>
      <c r="R14" s="44">
        <f>IF(Tabla2[[#This Row],[Energético]]="Energía Eléctrica",((Tabla2[[#This Row],[Participación]]*$D$29)/SUMIF(Tabla2[Energético],"Energía Eléctrica",Tabla2[Participación]))*$B$32,Tabla2[[#This Row],[Consumo energía '[MJ/año']]])</f>
        <v>15912466.405904081</v>
      </c>
    </row>
    <row r="15" spans="1:18" x14ac:dyDescent="0.2">
      <c r="F15" s="27" t="s">
        <v>38</v>
      </c>
      <c r="G15" s="28" t="s">
        <v>37</v>
      </c>
      <c r="H15" s="28" t="s">
        <v>58</v>
      </c>
      <c r="I15" s="28" t="s">
        <v>3</v>
      </c>
      <c r="J15" s="28" t="s">
        <v>43</v>
      </c>
      <c r="K15" s="28" t="s">
        <v>25</v>
      </c>
      <c r="L15" s="29">
        <v>115.78461540000001</v>
      </c>
      <c r="M15" s="30" t="str">
        <f>IFERROR(RIGHT(Tabla2[[#This Row],[Unidades indicador producción]], LEN(Tabla2[[#This Row],[Unidades indicador producción]])-FIND("/", Tabla2[[#This Row],[Unidades indicador producción]])), "")</f>
        <v>Ha</v>
      </c>
      <c r="N15" s="31">
        <v>115.78461540000001</v>
      </c>
      <c r="O15" s="30" t="str">
        <f t="shared" si="0"/>
        <v>MJ/Ha</v>
      </c>
      <c r="P15" s="32">
        <f>(Tabla2[[#This Row],[Indicador área]]*$B$5)</f>
        <v>31234984.127227202</v>
      </c>
      <c r="Q15" s="43">
        <f>+Tabla2[[#This Row],[Consumo energía '[MJ/año']]]/$P$9</f>
        <v>1.063481949802381E-2</v>
      </c>
      <c r="R15" s="44">
        <f>IF(Tabla2[[#This Row],[Energético]]="Energía Eléctrica",((Tabla2[[#This Row],[Participación]]*$D$29)/SUMIF(Tabla2[Energético],"Energía Eléctrica",Tabla2[Participación]))*$B$32,Tabla2[[#This Row],[Consumo energía '[MJ/año']]])</f>
        <v>31234984.127227202</v>
      </c>
    </row>
    <row r="16" spans="1:18" x14ac:dyDescent="0.2">
      <c r="F16" s="27" t="s">
        <v>38</v>
      </c>
      <c r="G16" s="28" t="s">
        <v>37</v>
      </c>
      <c r="H16" s="28" t="s">
        <v>58</v>
      </c>
      <c r="I16" s="28" t="s">
        <v>3</v>
      </c>
      <c r="J16" s="28" t="s">
        <v>44</v>
      </c>
      <c r="K16" s="28" t="s">
        <v>25</v>
      </c>
      <c r="L16" s="29">
        <v>1458.7066010000001</v>
      </c>
      <c r="M16" s="30" t="str">
        <f>IFERROR(RIGHT(Tabla2[[#This Row],[Unidades indicador producción]], LEN(Tabla2[[#This Row],[Unidades indicador producción]])-FIND("/", Tabla2[[#This Row],[Unidades indicador producción]])), "")</f>
        <v>Ha</v>
      </c>
      <c r="N16" s="31">
        <v>1458.7066010000001</v>
      </c>
      <c r="O16" s="30" t="str">
        <f t="shared" si="0"/>
        <v>MJ/Ha</v>
      </c>
      <c r="P16" s="32">
        <f>(Tabla2[[#This Row],[Indicador área]]*$B$5)</f>
        <v>393512362.33856803</v>
      </c>
      <c r="Q16" s="43">
        <f>+Tabla2[[#This Row],[Consumo energía '[MJ/año']]]/$P$9</f>
        <v>0.13398223372438509</v>
      </c>
      <c r="R16" s="44">
        <f>IF(Tabla2[[#This Row],[Energético]]="Energía Eléctrica",((Tabla2[[#This Row],[Participación]]*$D$29)/SUMIF(Tabla2[Energético],"Energía Eléctrica",Tabla2[Participación]))*$B$32,Tabla2[[#This Row],[Consumo energía '[MJ/año']]])</f>
        <v>393512362.33856803</v>
      </c>
    </row>
    <row r="17" spans="1:18" x14ac:dyDescent="0.2">
      <c r="F17" s="27" t="s">
        <v>38</v>
      </c>
      <c r="G17" s="28" t="s">
        <v>20</v>
      </c>
      <c r="H17" s="28" t="s">
        <v>58</v>
      </c>
      <c r="I17" s="28" t="s">
        <v>3</v>
      </c>
      <c r="J17" s="28" t="s">
        <v>45</v>
      </c>
      <c r="K17" s="28" t="s">
        <v>25</v>
      </c>
      <c r="L17" s="29">
        <v>727.14158620000001</v>
      </c>
      <c r="M17" s="34" t="str">
        <f>IFERROR(RIGHT(Tabla2[[#This Row],[Unidades indicador producción]], LEN(Tabla2[[#This Row],[Unidades indicador producción]])-FIND("/", Tabla2[[#This Row],[Unidades indicador producción]])), "")</f>
        <v>Ha</v>
      </c>
      <c r="N17" s="31">
        <v>708.76307580000002</v>
      </c>
      <c r="O17" s="34" t="str">
        <f t="shared" ref="O17:O28" si="1">"MJ/Ha"</f>
        <v>MJ/Ha</v>
      </c>
      <c r="P17" s="32">
        <f>(Tabla2[[#This Row],[Indicador área]]*$B$5)</f>
        <v>191201597.43241441</v>
      </c>
      <c r="Q17" s="43">
        <f>+Tabla2[[#This Row],[Consumo energía '[MJ/año']]]/$P$9</f>
        <v>6.5099904265840544E-2</v>
      </c>
      <c r="R17" s="44">
        <f>IF(Tabla2[[#This Row],[Energético]]="Energía Eléctrica",((Tabla2[[#This Row],[Participación]]*$D$29)/SUMIF(Tabla2[Energético],"Energía Eléctrica",Tabla2[Participación]))*$B$32,Tabla2[[#This Row],[Consumo energía '[MJ/año']]])</f>
        <v>191201597.43241441</v>
      </c>
    </row>
    <row r="18" spans="1:18" x14ac:dyDescent="0.2">
      <c r="F18" s="27" t="s">
        <v>38</v>
      </c>
      <c r="G18" s="28" t="s">
        <v>20</v>
      </c>
      <c r="H18" s="28" t="s">
        <v>58</v>
      </c>
      <c r="I18" s="28" t="s">
        <v>3</v>
      </c>
      <c r="J18" s="28" t="s">
        <v>46</v>
      </c>
      <c r="K18" s="28" t="s">
        <v>25</v>
      </c>
      <c r="L18" s="29">
        <v>555.20107429999996</v>
      </c>
      <c r="M18" s="34" t="str">
        <f>IFERROR(RIGHT(Tabla2[[#This Row],[Unidades indicador producción]], LEN(Tabla2[[#This Row],[Unidades indicador producción]])-FIND("/", Tabla2[[#This Row],[Unidades indicador producción]])), "")</f>
        <v>Ha</v>
      </c>
      <c r="N18" s="31">
        <v>555.20107429999996</v>
      </c>
      <c r="O18" s="34" t="str">
        <f t="shared" si="1"/>
        <v>MJ/Ha</v>
      </c>
      <c r="P18" s="32">
        <f>(Tabla2[[#This Row],[Indicador área]]*$B$5)</f>
        <v>149775483.41176239</v>
      </c>
      <c r="Q18" s="43">
        <f>+Tabla2[[#This Row],[Consumo energía '[MJ/año']]]/$P$9</f>
        <v>5.0995231014857305E-2</v>
      </c>
      <c r="R18" s="44">
        <f>IF(Tabla2[[#This Row],[Energético]]="Energía Eléctrica",((Tabla2[[#This Row],[Participación]]*$D$29)/SUMIF(Tabla2[Energético],"Energía Eléctrica",Tabla2[Participación]))*$B$32,Tabla2[[#This Row],[Consumo energía '[MJ/año']]])</f>
        <v>149775483.41176239</v>
      </c>
    </row>
    <row r="19" spans="1:18" x14ac:dyDescent="0.2">
      <c r="F19" s="27" t="s">
        <v>38</v>
      </c>
      <c r="G19" s="28" t="s">
        <v>20</v>
      </c>
      <c r="H19" s="28" t="s">
        <v>58</v>
      </c>
      <c r="I19" s="28" t="s">
        <v>3</v>
      </c>
      <c r="J19" s="28" t="s">
        <v>47</v>
      </c>
      <c r="K19" s="28" t="s">
        <v>25</v>
      </c>
      <c r="L19" s="29">
        <v>926.11753399999998</v>
      </c>
      <c r="M19" s="34" t="str">
        <f>IFERROR(RIGHT(Tabla2[[#This Row],[Unidades indicador producción]], LEN(Tabla2[[#This Row],[Unidades indicador producción]])-FIND("/", Tabla2[[#This Row],[Unidades indicador producción]])), "")</f>
        <v>Ha</v>
      </c>
      <c r="N19" s="31">
        <v>926.11753399999998</v>
      </c>
      <c r="O19" s="34" t="str">
        <f t="shared" si="1"/>
        <v>MJ/Ha</v>
      </c>
      <c r="P19" s="32">
        <f>(Tabla2[[#This Row],[Indicador área]]*$B$5)</f>
        <v>249836874.912112</v>
      </c>
      <c r="Q19" s="43">
        <f>+Tabla2[[#This Row],[Consumo energía '[MJ/año']]]/$P$9</f>
        <v>8.5063916082627741E-2</v>
      </c>
      <c r="R19" s="44">
        <f>IF(Tabla2[[#This Row],[Energético]]="Energía Eléctrica",((Tabla2[[#This Row],[Participación]]*$D$29)/SUMIF(Tabla2[Energético],"Energía Eléctrica",Tabla2[Participación]))*$B$32,Tabla2[[#This Row],[Consumo energía '[MJ/año']]])</f>
        <v>249836874.912112</v>
      </c>
    </row>
    <row r="20" spans="1:18" x14ac:dyDescent="0.2">
      <c r="F20" s="27" t="s">
        <v>38</v>
      </c>
      <c r="G20" s="28" t="s">
        <v>20</v>
      </c>
      <c r="H20" s="28" t="s">
        <v>58</v>
      </c>
      <c r="I20" s="28" t="s">
        <v>3</v>
      </c>
      <c r="J20" s="28" t="s">
        <v>48</v>
      </c>
      <c r="K20" s="28" t="s">
        <v>25</v>
      </c>
      <c r="L20" s="29">
        <v>281.89152530000001</v>
      </c>
      <c r="M20" s="34" t="str">
        <f>IFERROR(RIGHT(Tabla2[[#This Row],[Unidades indicador producción]], LEN(Tabla2[[#This Row],[Unidades indicador producción]])-FIND("/", Tabla2[[#This Row],[Unidades indicador producción]])), "")</f>
        <v>Ha</v>
      </c>
      <c r="N20" s="31">
        <v>281.89152530000001</v>
      </c>
      <c r="O20" s="34" t="str">
        <f t="shared" si="1"/>
        <v>MJ/Ha</v>
      </c>
      <c r="P20" s="32">
        <f>(Tabla2[[#This Row],[Indicador área]]*$B$5)</f>
        <v>76045312.997130409</v>
      </c>
      <c r="Q20" s="43">
        <f>+Tabla2[[#This Row],[Consumo energía '[MJ/año']]]/$P$9</f>
        <v>2.5891742864381551E-2</v>
      </c>
      <c r="R20" s="44">
        <f>IF(Tabla2[[#This Row],[Energético]]="Energía Eléctrica",((Tabla2[[#This Row],[Participación]]*$D$29)/SUMIF(Tabla2[Energético],"Energía Eléctrica",Tabla2[Participación]))*$B$32,Tabla2[[#This Row],[Consumo energía '[MJ/año']]])</f>
        <v>76045312.997130409</v>
      </c>
    </row>
    <row r="21" spans="1:18" x14ac:dyDescent="0.2">
      <c r="F21" s="27" t="s">
        <v>38</v>
      </c>
      <c r="G21" s="28" t="s">
        <v>20</v>
      </c>
      <c r="H21" s="28" t="s">
        <v>58</v>
      </c>
      <c r="I21" s="28" t="s">
        <v>3</v>
      </c>
      <c r="J21" s="28" t="s">
        <v>49</v>
      </c>
      <c r="K21" s="28" t="s">
        <v>25</v>
      </c>
      <c r="L21" s="29">
        <v>159.08898049999999</v>
      </c>
      <c r="M21" s="34" t="str">
        <f>IFERROR(RIGHT(Tabla2[[#This Row],[Unidades indicador producción]], LEN(Tabla2[[#This Row],[Unidades indicador producción]])-FIND("/", Tabla2[[#This Row],[Unidades indicador producción]])), "")</f>
        <v>Ha</v>
      </c>
      <c r="N21" s="31">
        <v>159.08898049999999</v>
      </c>
      <c r="O21" s="34" t="str">
        <f t="shared" si="1"/>
        <v>MJ/Ha</v>
      </c>
      <c r="P21" s="32">
        <f>(Tabla2[[#This Row],[Indicador área]]*$B$5)</f>
        <v>42917116.091523997</v>
      </c>
      <c r="Q21" s="43">
        <f>+Tabla2[[#This Row],[Consumo energía '[MJ/año']]]/$P$9</f>
        <v>1.4612326394980878E-2</v>
      </c>
      <c r="R21" s="44">
        <f>IF(Tabla2[[#This Row],[Energético]]="Energía Eléctrica",((Tabla2[[#This Row],[Participación]]*$D$29)/SUMIF(Tabla2[Energético],"Energía Eléctrica",Tabla2[Participación]))*$B$32,Tabla2[[#This Row],[Consumo energía '[MJ/año']]])</f>
        <v>42917116.091523997</v>
      </c>
    </row>
    <row r="22" spans="1:18" x14ac:dyDescent="0.2">
      <c r="F22" s="27" t="s">
        <v>38</v>
      </c>
      <c r="G22" s="28" t="s">
        <v>20</v>
      </c>
      <c r="H22" s="28" t="s">
        <v>58</v>
      </c>
      <c r="I22" s="28" t="s">
        <v>3</v>
      </c>
      <c r="J22" s="28" t="s">
        <v>44</v>
      </c>
      <c r="K22" s="28" t="s">
        <v>25</v>
      </c>
      <c r="L22" s="29">
        <v>831.22556469999995</v>
      </c>
      <c r="M22" s="34" t="str">
        <f>IFERROR(RIGHT(Tabla2[[#This Row],[Unidades indicador producción]], LEN(Tabla2[[#This Row],[Unidades indicador producción]])-FIND("/", Tabla2[[#This Row],[Unidades indicador producción]])), "")</f>
        <v>Ha</v>
      </c>
      <c r="N22" s="31">
        <v>835.36072950000005</v>
      </c>
      <c r="O22" s="34" t="str">
        <f t="shared" si="1"/>
        <v>MJ/Ha</v>
      </c>
      <c r="P22" s="32">
        <f>(Tabla2[[#This Row],[Indicador área]]*$B$5)</f>
        <v>225353593.275756</v>
      </c>
      <c r="Q22" s="43">
        <f>+Tabla2[[#This Row],[Consumo energía '[MJ/año']]]/$P$9</f>
        <v>7.6727901572059748E-2</v>
      </c>
      <c r="R22" s="44">
        <f>IF(Tabla2[[#This Row],[Energético]]="Energía Eléctrica",((Tabla2[[#This Row],[Participación]]*$D$29)/SUMIF(Tabla2[Energético],"Energía Eléctrica",Tabla2[Participación]))*$B$32,Tabla2[[#This Row],[Consumo energía '[MJ/año']]])</f>
        <v>225353593.275756</v>
      </c>
    </row>
    <row r="23" spans="1:18" x14ac:dyDescent="0.2">
      <c r="F23" s="27" t="s">
        <v>38</v>
      </c>
      <c r="G23" s="28" t="s">
        <v>21</v>
      </c>
      <c r="H23" s="28" t="s">
        <v>58</v>
      </c>
      <c r="I23" s="28" t="s">
        <v>3</v>
      </c>
      <c r="J23" s="28" t="s">
        <v>50</v>
      </c>
      <c r="K23" s="28" t="s">
        <v>25</v>
      </c>
      <c r="L23" s="29">
        <v>722.73492060000001</v>
      </c>
      <c r="M23" s="34" t="str">
        <f>IFERROR(RIGHT(Tabla2[[#This Row],[Unidades indicador producción]], LEN(Tabla2[[#This Row],[Unidades indicador producción]])-FIND("/", Tabla2[[#This Row],[Unidades indicador producción]])), "")</f>
        <v>Ha</v>
      </c>
      <c r="N23" s="31">
        <v>722.73492060000001</v>
      </c>
      <c r="O23" s="34" t="str">
        <f t="shared" si="1"/>
        <v>MJ/Ha</v>
      </c>
      <c r="P23" s="32">
        <f>(Tabla2[[#This Row],[Indicador área]]*$B$5)</f>
        <v>194970754.06042081</v>
      </c>
      <c r="Q23" s="43">
        <f>+Tabla2[[#This Row],[Consumo energía '[MJ/año']]]/$P$9</f>
        <v>6.6383218521271437E-2</v>
      </c>
      <c r="R23" s="44">
        <f>IF(Tabla2[[#This Row],[Energético]]="Energía Eléctrica",((Tabla2[[#This Row],[Participación]]*$D$29)/SUMIF(Tabla2[Energético],"Energía Eléctrica",Tabla2[Participación]))*$B$32,Tabla2[[#This Row],[Consumo energía '[MJ/año']]])</f>
        <v>194970754.06042081</v>
      </c>
    </row>
    <row r="24" spans="1:18" x14ac:dyDescent="0.2">
      <c r="F24" s="27" t="s">
        <v>38</v>
      </c>
      <c r="G24" s="28" t="s">
        <v>51</v>
      </c>
      <c r="H24" s="28" t="s">
        <v>58</v>
      </c>
      <c r="I24" s="28" t="s">
        <v>3</v>
      </c>
      <c r="J24" s="28" t="s">
        <v>52</v>
      </c>
      <c r="K24" s="28" t="s">
        <v>25</v>
      </c>
      <c r="L24" s="29">
        <v>3340.3861539999998</v>
      </c>
      <c r="M24" s="34" t="str">
        <f>IFERROR(RIGHT(Tabla2[[#This Row],[Unidades indicador producción]], LEN(Tabla2[[#This Row],[Unidades indicador producción]])-FIND("/", Tabla2[[#This Row],[Unidades indicador producción]])), "")</f>
        <v>Ha</v>
      </c>
      <c r="N24" s="31">
        <v>3340.3861539999998</v>
      </c>
      <c r="O24" s="34" t="str">
        <f t="shared" si="1"/>
        <v>MJ/Ha</v>
      </c>
      <c r="P24" s="32">
        <f>(Tabla2[[#This Row],[Indicador área]]*$B$5)</f>
        <v>901129291.9922719</v>
      </c>
      <c r="Q24" s="43">
        <f>+Tabla2[[#This Row],[Consumo energía '[MJ/año']]]/$P$9</f>
        <v>0.30681454249135037</v>
      </c>
      <c r="R24" s="44">
        <f>IF(Tabla2[[#This Row],[Energético]]="Energía Eléctrica",((Tabla2[[#This Row],[Participación]]*$D$29)/SUMIF(Tabla2[Energético],"Energía Eléctrica",Tabla2[Participación]))*$B$32,Tabla2[[#This Row],[Consumo energía '[MJ/año']]])</f>
        <v>901129291.9922719</v>
      </c>
    </row>
    <row r="25" spans="1:18" x14ac:dyDescent="0.2">
      <c r="F25" s="27" t="s">
        <v>38</v>
      </c>
      <c r="G25" s="28" t="s">
        <v>51</v>
      </c>
      <c r="H25" s="28" t="s">
        <v>58</v>
      </c>
      <c r="I25" s="28" t="s">
        <v>3</v>
      </c>
      <c r="J25" s="28" t="s">
        <v>53</v>
      </c>
      <c r="K25" s="28" t="s">
        <v>25</v>
      </c>
      <c r="L25" s="29">
        <v>292.76967029999997</v>
      </c>
      <c r="M25" s="34" t="str">
        <f>IFERROR(RIGHT(Tabla2[[#This Row],[Unidades indicador producción]], LEN(Tabla2[[#This Row],[Unidades indicador producción]])-FIND("/", Tabla2[[#This Row],[Unidades indicador producción]])), "")</f>
        <v>Ha</v>
      </c>
      <c r="N25" s="31">
        <v>292.76967029999997</v>
      </c>
      <c r="O25" s="34" t="str">
        <f t="shared" si="1"/>
        <v>MJ/Ha</v>
      </c>
      <c r="P25" s="32">
        <f>(Tabla2[[#This Row],[Indicador área]]*$B$5)</f>
        <v>78979888.417490393</v>
      </c>
      <c r="Q25" s="43">
        <f>+Tabla2[[#This Row],[Consumo energía '[MJ/año']]]/$P$9</f>
        <v>2.6890900724419055E-2</v>
      </c>
      <c r="R25" s="44">
        <f>IF(Tabla2[[#This Row],[Energético]]="Energía Eléctrica",((Tabla2[[#This Row],[Participación]]*$D$29)/SUMIF(Tabla2[Energético],"Energía Eléctrica",Tabla2[Participación]))*$B$32,Tabla2[[#This Row],[Consumo energía '[MJ/año']]])</f>
        <v>78979888.417490393</v>
      </c>
    </row>
    <row r="26" spans="1:18" ht="15.75" x14ac:dyDescent="0.25">
      <c r="A26" s="37" t="s">
        <v>30</v>
      </c>
      <c r="B26" s="37"/>
      <c r="C26" s="37"/>
      <c r="D26" s="37"/>
      <c r="F26" s="27" t="s">
        <v>38</v>
      </c>
      <c r="G26" s="28" t="s">
        <v>51</v>
      </c>
      <c r="H26" s="28" t="s">
        <v>58</v>
      </c>
      <c r="I26" s="28" t="s">
        <v>2</v>
      </c>
      <c r="J26" s="28" t="s">
        <v>52</v>
      </c>
      <c r="K26" s="28" t="s">
        <v>25</v>
      </c>
      <c r="L26" s="29">
        <v>605.5084071</v>
      </c>
      <c r="M26" s="34" t="str">
        <f>IFERROR(RIGHT(Tabla2[[#This Row],[Unidades indicador producción]], LEN(Tabla2[[#This Row],[Unidades indicador producción]])-FIND("/", Tabla2[[#This Row],[Unidades indicador producción]])), "")</f>
        <v>Ha</v>
      </c>
      <c r="N26" s="31">
        <v>605.5084071</v>
      </c>
      <c r="O26" s="34" t="str">
        <f t="shared" si="1"/>
        <v>MJ/Ha</v>
      </c>
      <c r="P26" s="32">
        <f>(Tabla2[[#This Row],[Indicador área]]*$B$5)</f>
        <v>163346791.96655279</v>
      </c>
      <c r="Q26" s="43">
        <f>+Tabla2[[#This Row],[Consumo energía '[MJ/año']]]/$P$9</f>
        <v>5.561596065071369E-2</v>
      </c>
      <c r="R26" s="44">
        <f>IF(Tabla2[[#This Row],[Energético]]="Energía Eléctrica",((Tabla2[[#This Row],[Participación]]*$D$29)/SUMIF(Tabla2[Energético],"Energía Eléctrica",Tabla2[Participación]))*$B$32,Tabla2[[#This Row],[Consumo energía '[MJ/año']]])</f>
        <v>35671002.025001235</v>
      </c>
    </row>
    <row r="27" spans="1:18" x14ac:dyDescent="0.2">
      <c r="F27" s="27" t="s">
        <v>38</v>
      </c>
      <c r="G27" s="28" t="s">
        <v>54</v>
      </c>
      <c r="H27" s="28" t="s">
        <v>58</v>
      </c>
      <c r="I27" s="28" t="s">
        <v>3</v>
      </c>
      <c r="J27" s="28" t="s">
        <v>38</v>
      </c>
      <c r="K27" s="28" t="s">
        <v>59</v>
      </c>
      <c r="L27" s="29">
        <v>6.6668244420000002</v>
      </c>
      <c r="M27" s="34" t="str">
        <f>IFERROR(RIGHT(Tabla2[[#This Row],[Unidades indicador producción]], LEN(Tabla2[[#This Row],[Unidades indicador producción]])-FIND("/", Tabla2[[#This Row],[Unidades indicador producción]])), "")</f>
        <v>Tn</v>
      </c>
      <c r="N27" s="31">
        <v>6.6668244420000002</v>
      </c>
      <c r="O27" s="34" t="str">
        <f t="shared" si="1"/>
        <v>MJ/Ha</v>
      </c>
      <c r="P27" s="32">
        <f>(Tabla2[[#This Row],[Indicador área]]*$B$5)</f>
        <v>1798495.8960694561</v>
      </c>
      <c r="Q27" s="43">
        <f>+Tabla2[[#This Row],[Consumo energía '[MJ/año']]]/$P$9</f>
        <v>6.1234797318058295E-4</v>
      </c>
      <c r="R27" s="44">
        <f>IF(Tabla2[[#This Row],[Energético]]="Energía Eléctrica",((Tabla2[[#This Row],[Participación]]*$D$29)/SUMIF(Tabla2[Energético],"Energía Eléctrica",Tabla2[Participación]))*$B$32,Tabla2[[#This Row],[Consumo energía '[MJ/año']]])</f>
        <v>1798495.8960694561</v>
      </c>
    </row>
    <row r="28" spans="1:18" x14ac:dyDescent="0.2">
      <c r="A28" s="16" t="s">
        <v>0</v>
      </c>
      <c r="B28" s="16" t="s">
        <v>34</v>
      </c>
      <c r="C28" s="16" t="s">
        <v>35</v>
      </c>
      <c r="D28" s="16" t="s">
        <v>1</v>
      </c>
      <c r="F28" s="27" t="s">
        <v>38</v>
      </c>
      <c r="G28" s="28" t="s">
        <v>55</v>
      </c>
      <c r="H28" s="28" t="s">
        <v>58</v>
      </c>
      <c r="I28" s="28" t="s">
        <v>3</v>
      </c>
      <c r="J28" s="28" t="s">
        <v>56</v>
      </c>
      <c r="K28" s="28" t="s">
        <v>25</v>
      </c>
      <c r="L28" s="29">
        <v>225.68154369999999</v>
      </c>
      <c r="M28" s="34" t="str">
        <f>IFERROR(RIGHT(Tabla2[[#This Row],[Unidades indicador producción]], LEN(Tabla2[[#This Row],[Unidades indicador producción]])-FIND("/", Tabla2[[#This Row],[Unidades indicador producción]])), "")</f>
        <v>Ha</v>
      </c>
      <c r="N28" s="31">
        <v>225.68154369999999</v>
      </c>
      <c r="O28" s="34" t="str">
        <f t="shared" si="1"/>
        <v>MJ/Ha</v>
      </c>
      <c r="P28" s="32">
        <f>(Tabla2[[#This Row],[Indicador área]]*$B$5)</f>
        <v>60881658.6808616</v>
      </c>
      <c r="Q28" s="43">
        <f>+Tabla2[[#This Row],[Consumo energía '[MJ/año']]]/$P$9</f>
        <v>2.0728854805047547E-2</v>
      </c>
      <c r="R28" s="44">
        <f>IF(Tabla2[[#This Row],[Energético]]="Energía Eléctrica",((Tabla2[[#This Row],[Participación]]*$D$29)/SUMIF(Tabla2[Energético],"Energía Eléctrica",Tabla2[Participación]))*$B$32,Tabla2[[#This Row],[Consumo energía '[MJ/año']]])</f>
        <v>60881658.6808616</v>
      </c>
    </row>
    <row r="29" spans="1:18" x14ac:dyDescent="0.2">
      <c r="A29" s="17" t="s">
        <v>2</v>
      </c>
      <c r="B29" s="18">
        <f>B8</f>
        <v>35671002.025001235</v>
      </c>
      <c r="C29" s="19">
        <f>'Caña de azucar'!$B29/1000000</f>
        <v>35.671002025001236</v>
      </c>
      <c r="D29" s="20">
        <f>B29/$B$32</f>
        <v>1.2697139739079216E-2</v>
      </c>
    </row>
    <row r="30" spans="1:18" x14ac:dyDescent="0.2">
      <c r="A30" s="17" t="s">
        <v>3</v>
      </c>
      <c r="B30" s="21">
        <f>SUMIF(Tabla2[Energético],A30,Tabla2[Consumo energía '[MJ/año']])</f>
        <v>2757789568.1761613</v>
      </c>
      <c r="C30" s="19">
        <f>'Caña de azucar'!$B30/1000000</f>
        <v>2757.7895681761611</v>
      </c>
      <c r="D30" s="20">
        <f>B30/$B$32</f>
        <v>0.98163879707010937</v>
      </c>
    </row>
    <row r="31" spans="1:18" x14ac:dyDescent="0.2">
      <c r="A31" s="17" t="s">
        <v>9</v>
      </c>
      <c r="B31" s="21">
        <f>SUMIF(Tabla2[Energético],A31,Tabla2[Consumo energía '[MJ/año']])</f>
        <v>15912466.405904081</v>
      </c>
      <c r="C31" s="19">
        <f>'Caña de azucar'!$B31/1000000</f>
        <v>15.91246640590408</v>
      </c>
      <c r="D31" s="20">
        <f>B31/$B$32</f>
        <v>5.664063190811381E-3</v>
      </c>
    </row>
    <row r="32" spans="1:18" x14ac:dyDescent="0.2">
      <c r="A32" s="45" t="s">
        <v>67</v>
      </c>
      <c r="B32" s="46">
        <f>SUM(B29:B31)</f>
        <v>2809373036.6070666</v>
      </c>
      <c r="C32" s="46">
        <f>SUM(C29:C31)</f>
        <v>2809.3730366070663</v>
      </c>
      <c r="D32" s="47">
        <f>SUM(D29:D31)</f>
        <v>1</v>
      </c>
    </row>
    <row r="36" spans="1:8" ht="18" x14ac:dyDescent="0.25">
      <c r="A36" s="38" t="s">
        <v>36</v>
      </c>
      <c r="B36" s="38"/>
      <c r="C36" s="38"/>
      <c r="F36" s="35"/>
      <c r="G36" s="36"/>
      <c r="H36" s="36"/>
    </row>
    <row r="37" spans="1:8" x14ac:dyDescent="0.2">
      <c r="A37" s="9" t="str">
        <f>+A4</f>
        <v>Grupo Homogeneo</v>
      </c>
      <c r="B37" s="9" t="s">
        <v>31</v>
      </c>
      <c r="C37" s="9" t="s">
        <v>32</v>
      </c>
      <c r="G37" s="35"/>
    </row>
    <row r="38" spans="1:8" x14ac:dyDescent="0.2">
      <c r="A38" s="10" t="str">
        <f>+$B$4</f>
        <v>Caña de azúcar</v>
      </c>
      <c r="B38" s="11">
        <f>B32/B5</f>
        <v>10414.033675628936</v>
      </c>
      <c r="C38" s="11">
        <f>B38/$B$6</f>
        <v>88.112646379803166</v>
      </c>
    </row>
    <row r="45" spans="1:8" x14ac:dyDescent="0.2">
      <c r="G45" s="36"/>
      <c r="H45" s="36"/>
    </row>
  </sheetData>
  <mergeCells count="4">
    <mergeCell ref="A26:D26"/>
    <mergeCell ref="F8:L8"/>
    <mergeCell ref="A36:C36"/>
    <mergeCell ref="A3:B3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Caña de azucar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2024-01-23T21:08:41Z</dcterms:modified>
</cp:coreProperties>
</file>