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56E69312-7525-4088-9FC9-0DC0CB516B66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Participación" sheetId="2" r:id="rId1"/>
    <sheet name="Cebollas" sheetId="1" r:id="rId2"/>
    <sheet name="Hortalizas" sheetId="5" r:id="rId3"/>
    <sheet name="Hortalizas de fruto" sheetId="6" r:id="rId4"/>
    <sheet name="Raices" sheetId="7" r:id="rId5"/>
    <sheet name="Tuberculos" sheetId="8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11" i="7" s="1"/>
  <c r="B11" i="8"/>
  <c r="B11" i="5"/>
  <c r="B4" i="8"/>
  <c r="A39" i="8" s="1"/>
  <c r="A38" i="8"/>
  <c r="N24" i="8"/>
  <c r="L24" i="8"/>
  <c r="M24" i="8" s="1"/>
  <c r="N23" i="8"/>
  <c r="L23" i="8"/>
  <c r="M23" i="8" s="1"/>
  <c r="N22" i="8"/>
  <c r="L22" i="8"/>
  <c r="M22" i="8" s="1"/>
  <c r="N21" i="8"/>
  <c r="L21" i="8"/>
  <c r="M21" i="8" s="1"/>
  <c r="N20" i="8"/>
  <c r="L20" i="8"/>
  <c r="M20" i="8" s="1"/>
  <c r="N19" i="8"/>
  <c r="L19" i="8"/>
  <c r="M19" i="8" s="1"/>
  <c r="N18" i="8"/>
  <c r="L18" i="8"/>
  <c r="M18" i="8" s="1"/>
  <c r="N17" i="8"/>
  <c r="L17" i="8"/>
  <c r="M17" i="8" s="1"/>
  <c r="N16" i="8"/>
  <c r="L16" i="8"/>
  <c r="M16" i="8" s="1"/>
  <c r="N15" i="8"/>
  <c r="L15" i="8"/>
  <c r="M15" i="8" s="1"/>
  <c r="N14" i="8"/>
  <c r="L14" i="8"/>
  <c r="M14" i="8" s="1"/>
  <c r="N13" i="8"/>
  <c r="L13" i="8"/>
  <c r="M13" i="8" s="1"/>
  <c r="N12" i="8"/>
  <c r="L12" i="8"/>
  <c r="M12" i="8" s="1"/>
  <c r="B4" i="7"/>
  <c r="A39" i="7" s="1"/>
  <c r="A38" i="7"/>
  <c r="N24" i="7"/>
  <c r="L24" i="7"/>
  <c r="M24" i="7" s="1"/>
  <c r="N23" i="7"/>
  <c r="L23" i="7"/>
  <c r="M23" i="7" s="1"/>
  <c r="N22" i="7"/>
  <c r="L22" i="7"/>
  <c r="M22" i="7" s="1"/>
  <c r="N21" i="7"/>
  <c r="L21" i="7"/>
  <c r="M21" i="7" s="1"/>
  <c r="N20" i="7"/>
  <c r="L20" i="7"/>
  <c r="M20" i="7" s="1"/>
  <c r="N19" i="7"/>
  <c r="L19" i="7"/>
  <c r="M19" i="7" s="1"/>
  <c r="N18" i="7"/>
  <c r="L18" i="7"/>
  <c r="M18" i="7" s="1"/>
  <c r="N17" i="7"/>
  <c r="L17" i="7"/>
  <c r="M17" i="7" s="1"/>
  <c r="N16" i="7"/>
  <c r="L16" i="7"/>
  <c r="M16" i="7" s="1"/>
  <c r="N15" i="7"/>
  <c r="L15" i="7"/>
  <c r="M15" i="7" s="1"/>
  <c r="N14" i="7"/>
  <c r="L14" i="7"/>
  <c r="M14" i="7" s="1"/>
  <c r="N13" i="7"/>
  <c r="L13" i="7"/>
  <c r="M13" i="7" s="1"/>
  <c r="N12" i="7"/>
  <c r="L12" i="7"/>
  <c r="M12" i="7" s="1"/>
  <c r="B4" i="6"/>
  <c r="A39" i="6" s="1"/>
  <c r="A38" i="6"/>
  <c r="N25" i="6"/>
  <c r="L25" i="6"/>
  <c r="M25" i="6" s="1"/>
  <c r="N24" i="6"/>
  <c r="L24" i="6"/>
  <c r="M24" i="6" s="1"/>
  <c r="N23" i="6"/>
  <c r="L23" i="6"/>
  <c r="M23" i="6" s="1"/>
  <c r="N22" i="6"/>
  <c r="L22" i="6"/>
  <c r="M22" i="6" s="1"/>
  <c r="N21" i="6"/>
  <c r="L21" i="6"/>
  <c r="M21" i="6" s="1"/>
  <c r="N20" i="6"/>
  <c r="L20" i="6"/>
  <c r="M20" i="6" s="1"/>
  <c r="N19" i="6"/>
  <c r="L19" i="6"/>
  <c r="M19" i="6" s="1"/>
  <c r="N18" i="6"/>
  <c r="L18" i="6"/>
  <c r="M18" i="6" s="1"/>
  <c r="N17" i="6"/>
  <c r="L17" i="6"/>
  <c r="M17" i="6" s="1"/>
  <c r="N16" i="6"/>
  <c r="L16" i="6"/>
  <c r="M16" i="6" s="1"/>
  <c r="N15" i="6"/>
  <c r="L15" i="6"/>
  <c r="M15" i="6" s="1"/>
  <c r="N14" i="6"/>
  <c r="L14" i="6"/>
  <c r="M14" i="6" s="1"/>
  <c r="N13" i="6"/>
  <c r="L13" i="6"/>
  <c r="M13" i="6" s="1"/>
  <c r="N12" i="6"/>
  <c r="L12" i="6"/>
  <c r="M12" i="6" s="1"/>
  <c r="B4" i="5"/>
  <c r="A39" i="5" s="1"/>
  <c r="A38" i="5"/>
  <c r="N25" i="5"/>
  <c r="L25" i="5"/>
  <c r="M25" i="5" s="1"/>
  <c r="N24" i="5"/>
  <c r="L24" i="5"/>
  <c r="M24" i="5" s="1"/>
  <c r="N23" i="5"/>
  <c r="L23" i="5"/>
  <c r="M23" i="5" s="1"/>
  <c r="N22" i="5"/>
  <c r="L22" i="5"/>
  <c r="M22" i="5" s="1"/>
  <c r="N21" i="5"/>
  <c r="L21" i="5"/>
  <c r="M21" i="5" s="1"/>
  <c r="N20" i="5"/>
  <c r="L20" i="5"/>
  <c r="M20" i="5" s="1"/>
  <c r="N19" i="5"/>
  <c r="L19" i="5"/>
  <c r="M19" i="5" s="1"/>
  <c r="N18" i="5"/>
  <c r="L18" i="5"/>
  <c r="M18" i="5" s="1"/>
  <c r="N17" i="5"/>
  <c r="L17" i="5"/>
  <c r="M17" i="5" s="1"/>
  <c r="N16" i="5"/>
  <c r="L16" i="5"/>
  <c r="M16" i="5" s="1"/>
  <c r="N15" i="5"/>
  <c r="L15" i="5"/>
  <c r="M15" i="5" s="1"/>
  <c r="N14" i="5"/>
  <c r="L14" i="5"/>
  <c r="M14" i="5" s="1"/>
  <c r="N13" i="5"/>
  <c r="L13" i="5"/>
  <c r="M13" i="5" s="1"/>
  <c r="N12" i="5"/>
  <c r="L12" i="5"/>
  <c r="M12" i="5" s="1"/>
  <c r="B7" i="7"/>
  <c r="B6" i="6"/>
  <c r="B5" i="5"/>
  <c r="B7" i="8"/>
  <c r="B6" i="7"/>
  <c r="B5" i="6"/>
  <c r="B12" i="7"/>
  <c r="B5" i="8"/>
  <c r="B7" i="6"/>
  <c r="B6" i="5"/>
  <c r="B12" i="5"/>
  <c r="B6" i="8"/>
  <c r="B5" i="7"/>
  <c r="B7" i="5"/>
  <c r="B12" i="8"/>
  <c r="B11" i="6" l="1"/>
  <c r="B8" i="8"/>
  <c r="B9" i="8" s="1"/>
  <c r="B30" i="8" s="1"/>
  <c r="C30" i="8" s="1"/>
  <c r="O23" i="8"/>
  <c r="Q23" i="8" s="1"/>
  <c r="O21" i="8"/>
  <c r="Q21" i="8" s="1"/>
  <c r="O18" i="8"/>
  <c r="Q18" i="8" s="1"/>
  <c r="O16" i="8"/>
  <c r="Q16" i="8" s="1"/>
  <c r="O15" i="8"/>
  <c r="Q15" i="8" s="1"/>
  <c r="O24" i="8"/>
  <c r="O22" i="8"/>
  <c r="Q22" i="8" s="1"/>
  <c r="O20" i="8"/>
  <c r="Q20" i="8" s="1"/>
  <c r="O19" i="8"/>
  <c r="Q19" i="8" s="1"/>
  <c r="O17" i="8"/>
  <c r="Q17" i="8" s="1"/>
  <c r="O14" i="8"/>
  <c r="Q14" i="8" s="1"/>
  <c r="O13" i="8"/>
  <c r="Q13" i="8" s="1"/>
  <c r="O12" i="8"/>
  <c r="Q12" i="8" s="1"/>
  <c r="B8" i="7"/>
  <c r="B9" i="7" s="1"/>
  <c r="B30" i="7" s="1"/>
  <c r="C30" i="7" s="1"/>
  <c r="O23" i="7"/>
  <c r="Q23" i="7" s="1"/>
  <c r="O21" i="7"/>
  <c r="Q21" i="7" s="1"/>
  <c r="O18" i="7"/>
  <c r="Q18" i="7" s="1"/>
  <c r="O15" i="7"/>
  <c r="Q15" i="7" s="1"/>
  <c r="O16" i="7"/>
  <c r="Q16" i="7" s="1"/>
  <c r="O24" i="7"/>
  <c r="O22" i="7"/>
  <c r="Q22" i="7" s="1"/>
  <c r="O20" i="7"/>
  <c r="Q20" i="7" s="1"/>
  <c r="O19" i="7"/>
  <c r="Q19" i="7" s="1"/>
  <c r="O17" i="7"/>
  <c r="Q17" i="7" s="1"/>
  <c r="O14" i="7"/>
  <c r="Q14" i="7" s="1"/>
  <c r="O13" i="7"/>
  <c r="Q13" i="7" s="1"/>
  <c r="O12" i="7"/>
  <c r="Q12" i="7" s="1"/>
  <c r="O24" i="6"/>
  <c r="Q24" i="6" s="1"/>
  <c r="O22" i="6"/>
  <c r="Q22" i="6" s="1"/>
  <c r="O20" i="6"/>
  <c r="Q20" i="6" s="1"/>
  <c r="O18" i="6"/>
  <c r="Q18" i="6" s="1"/>
  <c r="O16" i="6"/>
  <c r="Q16" i="6" s="1"/>
  <c r="O14" i="6"/>
  <c r="Q14" i="6" s="1"/>
  <c r="O25" i="6"/>
  <c r="O23" i="6"/>
  <c r="Q23" i="6" s="1"/>
  <c r="O21" i="6"/>
  <c r="Q21" i="6" s="1"/>
  <c r="O19" i="6"/>
  <c r="Q19" i="6" s="1"/>
  <c r="O17" i="6"/>
  <c r="Q17" i="6" s="1"/>
  <c r="O15" i="6"/>
  <c r="Q15" i="6" s="1"/>
  <c r="O12" i="6"/>
  <c r="Q12" i="6" s="1"/>
  <c r="O13" i="6"/>
  <c r="Q13" i="6" s="1"/>
  <c r="B8" i="5"/>
  <c r="B9" i="5" s="1"/>
  <c r="B30" i="5" s="1"/>
  <c r="C30" i="5" s="1"/>
  <c r="O25" i="5"/>
  <c r="O24" i="5"/>
  <c r="Q24" i="5" s="1"/>
  <c r="O23" i="5"/>
  <c r="Q23" i="5" s="1"/>
  <c r="O22" i="5"/>
  <c r="Q22" i="5" s="1"/>
  <c r="O21" i="5"/>
  <c r="Q21" i="5" s="1"/>
  <c r="O20" i="5"/>
  <c r="Q20" i="5" s="1"/>
  <c r="O19" i="5"/>
  <c r="Q19" i="5" s="1"/>
  <c r="O18" i="5"/>
  <c r="Q18" i="5" s="1"/>
  <c r="O17" i="5"/>
  <c r="Q17" i="5" s="1"/>
  <c r="O16" i="5"/>
  <c r="Q16" i="5" s="1"/>
  <c r="O15" i="5"/>
  <c r="Q15" i="5" s="1"/>
  <c r="O14" i="5"/>
  <c r="Q14" i="5" s="1"/>
  <c r="O13" i="5"/>
  <c r="Q13" i="5" s="1"/>
  <c r="O12" i="5"/>
  <c r="Q12" i="5" s="1"/>
  <c r="B12" i="6"/>
  <c r="B8" i="6" l="1"/>
  <c r="B9" i="6" s="1"/>
  <c r="B30" i="6" s="1"/>
  <c r="C30" i="6" s="1"/>
  <c r="B32" i="8"/>
  <c r="C32" i="8" s="1"/>
  <c r="O10" i="8"/>
  <c r="B31" i="8"/>
  <c r="C31" i="8" s="1"/>
  <c r="B32" i="7"/>
  <c r="C32" i="7" s="1"/>
  <c r="O10" i="7"/>
  <c r="B31" i="7"/>
  <c r="C31" i="7" s="1"/>
  <c r="B32" i="6"/>
  <c r="C32" i="6" s="1"/>
  <c r="O10" i="6"/>
  <c r="B31" i="6"/>
  <c r="C31" i="6" s="1"/>
  <c r="O10" i="5"/>
  <c r="B31" i="5"/>
  <c r="C31" i="5" s="1"/>
  <c r="B32" i="5"/>
  <c r="C32" i="5" s="1"/>
  <c r="B4" i="1"/>
  <c r="L15" i="1"/>
  <c r="M15" i="1" s="1"/>
  <c r="L16" i="1"/>
  <c r="M16" i="1" s="1"/>
  <c r="L17" i="1"/>
  <c r="M17" i="1" s="1"/>
  <c r="L18" i="1"/>
  <c r="M18" i="1" s="1"/>
  <c r="L19" i="1"/>
  <c r="L20" i="1"/>
  <c r="M20" i="1" s="1"/>
  <c r="L21" i="1"/>
  <c r="M21" i="1" s="1"/>
  <c r="L22" i="1"/>
  <c r="L23" i="1"/>
  <c r="M23" i="1" s="1"/>
  <c r="L24" i="1"/>
  <c r="M24" i="1" s="1"/>
  <c r="M19" i="1"/>
  <c r="M22" i="1"/>
  <c r="N15" i="1"/>
  <c r="N16" i="1"/>
  <c r="N17" i="1"/>
  <c r="N18" i="1"/>
  <c r="N19" i="1"/>
  <c r="N20" i="1"/>
  <c r="N21" i="1"/>
  <c r="N22" i="1"/>
  <c r="N23" i="1"/>
  <c r="N24" i="1"/>
  <c r="B7" i="1"/>
  <c r="B6" i="1"/>
  <c r="B5" i="1"/>
  <c r="B12" i="1"/>
  <c r="P12" i="8" l="1"/>
  <c r="P16" i="8"/>
  <c r="P20" i="8"/>
  <c r="P24" i="8"/>
  <c r="P13" i="8"/>
  <c r="P17" i="8"/>
  <c r="P21" i="8"/>
  <c r="P14" i="8"/>
  <c r="P18" i="8"/>
  <c r="P22" i="8"/>
  <c r="P15" i="8"/>
  <c r="P19" i="8"/>
  <c r="P23" i="8"/>
  <c r="P12" i="7"/>
  <c r="P16" i="7"/>
  <c r="P20" i="7"/>
  <c r="P24" i="7"/>
  <c r="P13" i="7"/>
  <c r="P17" i="7"/>
  <c r="P21" i="7"/>
  <c r="P14" i="7"/>
  <c r="P18" i="7"/>
  <c r="P22" i="7"/>
  <c r="P15" i="7"/>
  <c r="P19" i="7"/>
  <c r="P23" i="7"/>
  <c r="P12" i="6"/>
  <c r="P16" i="6"/>
  <c r="P20" i="6"/>
  <c r="P24" i="6"/>
  <c r="P14" i="6"/>
  <c r="P18" i="6"/>
  <c r="P22" i="6"/>
  <c r="P15" i="6"/>
  <c r="P19" i="6"/>
  <c r="P13" i="6"/>
  <c r="P17" i="6"/>
  <c r="P21" i="6"/>
  <c r="P25" i="6"/>
  <c r="P23" i="6"/>
  <c r="P12" i="5"/>
  <c r="P16" i="5"/>
  <c r="P20" i="5"/>
  <c r="P24" i="5"/>
  <c r="P13" i="5"/>
  <c r="P17" i="5"/>
  <c r="P21" i="5"/>
  <c r="P25" i="5"/>
  <c r="P14" i="5"/>
  <c r="P22" i="5"/>
  <c r="P15" i="5"/>
  <c r="P19" i="5"/>
  <c r="P23" i="5"/>
  <c r="P18" i="5"/>
  <c r="C33" i="8"/>
  <c r="C33" i="7"/>
  <c r="C33" i="6"/>
  <c r="B33" i="8"/>
  <c r="B33" i="7"/>
  <c r="B33" i="6"/>
  <c r="D32" i="6" s="1"/>
  <c r="C33" i="5"/>
  <c r="B33" i="5"/>
  <c r="D32" i="5" s="1"/>
  <c r="O15" i="1"/>
  <c r="Q15" i="1" s="1"/>
  <c r="O18" i="1"/>
  <c r="Q18" i="1" s="1"/>
  <c r="O24" i="1"/>
  <c r="O20" i="1"/>
  <c r="Q20" i="1" s="1"/>
  <c r="O17" i="1"/>
  <c r="Q17" i="1" s="1"/>
  <c r="O22" i="1"/>
  <c r="Q22" i="1" s="1"/>
  <c r="O23" i="1"/>
  <c r="Q23" i="1" s="1"/>
  <c r="O16" i="1"/>
  <c r="Q16" i="1" s="1"/>
  <c r="O21" i="1"/>
  <c r="Q21" i="1" s="1"/>
  <c r="O19" i="1"/>
  <c r="Q19" i="1" s="1"/>
  <c r="B8" i="1"/>
  <c r="B9" i="1" s="1"/>
  <c r="B30" i="1" s="1"/>
  <c r="B24" i="2" s="1"/>
  <c r="A38" i="1"/>
  <c r="A39" i="1"/>
  <c r="N12" i="1"/>
  <c r="N13" i="1"/>
  <c r="N14" i="1"/>
  <c r="L12" i="1"/>
  <c r="M12" i="1" s="1"/>
  <c r="O12" i="1" s="1"/>
  <c r="Q12" i="1" s="1"/>
  <c r="L13" i="1"/>
  <c r="M13" i="1" s="1"/>
  <c r="O13" i="1" s="1"/>
  <c r="Q13" i="1" s="1"/>
  <c r="L14" i="1"/>
  <c r="M14" i="1" s="1"/>
  <c r="O14" i="1" s="1"/>
  <c r="Q14" i="1" s="1"/>
  <c r="D31" i="5" l="1"/>
  <c r="C24" i="2"/>
  <c r="B39" i="8"/>
  <c r="C39" i="8" s="1"/>
  <c r="D32" i="8"/>
  <c r="D30" i="8"/>
  <c r="D31" i="8"/>
  <c r="B39" i="7"/>
  <c r="C39" i="7" s="1"/>
  <c r="D32" i="7"/>
  <c r="D30" i="7"/>
  <c r="D31" i="7"/>
  <c r="B39" i="6"/>
  <c r="C39" i="6" s="1"/>
  <c r="D30" i="6"/>
  <c r="D31" i="6"/>
  <c r="B39" i="5"/>
  <c r="C39" i="5" s="1"/>
  <c r="D30" i="5"/>
  <c r="C30" i="1"/>
  <c r="B32" i="1"/>
  <c r="B26" i="2" s="1"/>
  <c r="Q24" i="8" l="1"/>
  <c r="Q10" i="8" s="1"/>
  <c r="D33" i="8"/>
  <c r="Q24" i="7"/>
  <c r="Q10" i="7" s="1"/>
  <c r="D33" i="7"/>
  <c r="Q25" i="6"/>
  <c r="Q10" i="6" s="1"/>
  <c r="D33" i="6"/>
  <c r="Q25" i="5"/>
  <c r="Q10" i="5" s="1"/>
  <c r="D33" i="5"/>
  <c r="C26" i="2"/>
  <c r="B31" i="1"/>
  <c r="B25" i="2" s="1"/>
  <c r="O10" i="1"/>
  <c r="C32" i="1"/>
  <c r="P12" i="1" l="1"/>
  <c r="P16" i="1"/>
  <c r="P20" i="1"/>
  <c r="P24" i="1"/>
  <c r="P13" i="1"/>
  <c r="P18" i="1"/>
  <c r="P22" i="1"/>
  <c r="P15" i="1"/>
  <c r="P19" i="1"/>
  <c r="P23" i="1"/>
  <c r="P17" i="1"/>
  <c r="P21" i="1"/>
  <c r="P14" i="1"/>
  <c r="C25" i="2"/>
  <c r="C27" i="2" s="1"/>
  <c r="B27" i="2"/>
  <c r="C31" i="1"/>
  <c r="C33" i="1" s="1"/>
  <c r="B33" i="1"/>
  <c r="B39" i="1" s="1"/>
  <c r="C39" i="1" s="1"/>
  <c r="D24" i="2" l="1"/>
  <c r="D26" i="2"/>
  <c r="D25" i="2"/>
  <c r="D31" i="1"/>
  <c r="D32" i="1"/>
  <c r="D30" i="1"/>
  <c r="D27" i="2" l="1"/>
  <c r="Q24" i="1"/>
  <c r="Q10" i="1" s="1"/>
  <c r="D33" i="1"/>
</calcChain>
</file>

<file path=xl/sharedStrings.xml><?xml version="1.0" encoding="utf-8"?>
<sst xmlns="http://schemas.openxmlformats.org/spreadsheetml/2006/main" count="588" uniqueCount="97">
  <si>
    <t>Energetico</t>
  </si>
  <si>
    <t>Participación</t>
  </si>
  <si>
    <t>Energía Eléctrica</t>
  </si>
  <si>
    <t>ACPM</t>
  </si>
  <si>
    <t>Gasolina</t>
  </si>
  <si>
    <t>Rendimiento</t>
  </si>
  <si>
    <t>Consumo Eléctricidad por sector</t>
  </si>
  <si>
    <t>Grupo Homogéneo</t>
  </si>
  <si>
    <t>Proceso</t>
  </si>
  <si>
    <t>Energético</t>
  </si>
  <si>
    <t>Cosecha</t>
  </si>
  <si>
    <t>Fertilización</t>
  </si>
  <si>
    <t>Fumigación</t>
  </si>
  <si>
    <t>Preparación del terreno</t>
  </si>
  <si>
    <t>Siembra</t>
  </si>
  <si>
    <t>Sistema de Riego y drenaje</t>
  </si>
  <si>
    <t>Producto final</t>
  </si>
  <si>
    <t>Unidades indicador producción</t>
  </si>
  <si>
    <t>Indicador</t>
  </si>
  <si>
    <t>Terreno fertilizado</t>
  </si>
  <si>
    <t>MJ/Ha</t>
  </si>
  <si>
    <t>Terreno fumigado</t>
  </si>
  <si>
    <t>Terreno arado</t>
  </si>
  <si>
    <t>Terreno caballonado</t>
  </si>
  <si>
    <t>Terreno rastrillado</t>
  </si>
  <si>
    <t>Terreno sembrado</t>
  </si>
  <si>
    <t>Terreno irrigado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</si>
  <si>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</si>
  <si>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</si>
  <si>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</si>
  <si>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</si>
  <si>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</si>
  <si>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</si>
  <si>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</si>
  <si>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</si>
  <si>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</si>
  <si>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</si>
  <si>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</si>
  <si>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Tabla 8. Indicador producción (lo encerrado va al excel)</t>
  </si>
  <si>
    <t>Hortalizas</t>
  </si>
  <si>
    <t>Cultivo de hortalizas, raíces y tubérculos</t>
  </si>
  <si>
    <t>Mantenimiento</t>
  </si>
  <si>
    <t>Terreno guadañado</t>
  </si>
  <si>
    <t>Terreno Plastificado</t>
  </si>
  <si>
    <t>Producción</t>
  </si>
  <si>
    <t>Hortaliza de hoja</t>
  </si>
  <si>
    <t>Cebolla bulbo</t>
  </si>
  <si>
    <t>Cebolla rama</t>
  </si>
  <si>
    <t>Hortaliza flor</t>
  </si>
  <si>
    <t xml:space="preserve">Hortaliza fruto </t>
  </si>
  <si>
    <t>Hortaliza de tallo</t>
  </si>
  <si>
    <t>Hortaliza de raiz</t>
  </si>
  <si>
    <t>Papá</t>
  </si>
  <si>
    <t xml:space="preserve">Yuca </t>
  </si>
  <si>
    <t xml:space="preserve">Otros tuberculos </t>
  </si>
  <si>
    <t>Zanahoria</t>
  </si>
  <si>
    <t>Area sembrada</t>
  </si>
  <si>
    <t xml:space="preserve">Área cosechada </t>
  </si>
  <si>
    <t>Tomate</t>
  </si>
  <si>
    <t>Cebollas</t>
  </si>
  <si>
    <t>Hortalizas de fruto</t>
  </si>
  <si>
    <t>Raices</t>
  </si>
  <si>
    <t>Tuberculos</t>
  </si>
  <si>
    <t>Detalle</t>
  </si>
  <si>
    <t>Item</t>
  </si>
  <si>
    <t>Terreno cosechado</t>
  </si>
  <si>
    <t>Etiquetas de fila</t>
  </si>
  <si>
    <t>Total general</t>
  </si>
  <si>
    <t>Promedio de Rendimiento</t>
  </si>
  <si>
    <t>Suma de Area sembrada</t>
  </si>
  <si>
    <t xml:space="preserve">Suma de Área cosechada </t>
  </si>
  <si>
    <t>Suma de Area sembrada2</t>
  </si>
  <si>
    <t>Área productiva total (sembrada)</t>
  </si>
  <si>
    <t>Área productiva total (Cosechada)</t>
  </si>
  <si>
    <t xml:space="preserve">Tratamiento de semillas para propagación </t>
  </si>
  <si>
    <t xml:space="preserve">Otros cultivos permanentes n.c.p. </t>
  </si>
  <si>
    <t xml:space="preserve">Cultivo de hortalizas, raíces y tubérculos </t>
  </si>
  <si>
    <t>Actividades posteriores a la cosecha</t>
  </si>
  <si>
    <t xml:space="preserve">Explotación mixta (agrícola y pecuaria) </t>
  </si>
  <si>
    <t>Repartido entre arroz y hortalizas</t>
  </si>
  <si>
    <t>Sector</t>
  </si>
  <si>
    <t>Consumo Eléctricidad por sector [kWh/año]</t>
  </si>
  <si>
    <t>consumo eléctricidad hortalizas [kWh/año]</t>
  </si>
  <si>
    <t>Consumo [kWh/año]</t>
  </si>
  <si>
    <t>Dato de información secundaria [Ha] Agronet</t>
  </si>
  <si>
    <t>Dato de información secundaria Tn/Ha Agronet</t>
  </si>
  <si>
    <t>Dato comercial por CIIU de XM [kWh/año]</t>
  </si>
  <si>
    <t>Total</t>
  </si>
  <si>
    <t>Tabla 8. Indicador producción</t>
  </si>
  <si>
    <t>Consumo energía [MJ/año]</t>
  </si>
  <si>
    <t>Consumo energía corregida [MJ/año]</t>
  </si>
  <si>
    <t>Total [MJ/año]</t>
  </si>
  <si>
    <t>consumo eléctricidad Cebollas [kWh/año]</t>
  </si>
  <si>
    <t>consumo eléctricidad hortalizas de fruto [kWh/año]</t>
  </si>
  <si>
    <t>consumo eléctricidad raíces [kWh/año]</t>
  </si>
  <si>
    <t>consumo eléctricidad tubérculos [kWh/año]</t>
  </si>
  <si>
    <t>Consumo Eléctricidad por sector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</si>
</sst>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_-;\-* #,##0.0_-;_-* &quot;-&quot;_-;_-@_-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  <font>
      <b/>
      <sz val="10"/>
      <color theme="2" tint="-0.89999084444715716"/>
      <name val="Arial"/>
      <family val="2"/>
    </font>
    <font>
      <b/>
      <sz val="18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0" fontId="0" fillId="0" borderId="1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7" fillId="0" borderId="0" xfId="0" applyFont="1"/>
    <xf numFmtId="4" fontId="3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4" fontId="3" fillId="7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164" fontId="8" fillId="10" borderId="7" xfId="2" applyNumberFormat="1" applyFont="1" applyFill="1" applyBorder="1" applyAlignment="1">
      <alignment horizontal="center" vertical="center"/>
    </xf>
    <xf numFmtId="164" fontId="8" fillId="11" borderId="7" xfId="2" applyNumberFormat="1" applyFont="1" applyFill="1" applyBorder="1" applyAlignment="1">
      <alignment horizontal="center" vertical="center"/>
    </xf>
    <xf numFmtId="164" fontId="8" fillId="8" borderId="7" xfId="2" applyNumberFormat="1" applyFont="1" applyFill="1" applyBorder="1" applyAlignment="1">
      <alignment horizontal="center" vertical="center"/>
    </xf>
    <xf numFmtId="164" fontId="8" fillId="9" borderId="7" xfId="2" applyNumberFormat="1" applyFont="1" applyFill="1" applyBorder="1" applyAlignment="1">
      <alignment horizontal="center" vertical="center"/>
    </xf>
    <xf numFmtId="164" fontId="8" fillId="2" borderId="7" xfId="2" applyNumberFormat="1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Fill="1" applyBorder="1"/>
    <xf numFmtId="0" fontId="0" fillId="0" borderId="8" xfId="0" applyFill="1" applyBorder="1"/>
    <xf numFmtId="0" fontId="0" fillId="2" borderId="9" xfId="0" applyFill="1" applyBorder="1"/>
    <xf numFmtId="164" fontId="8" fillId="2" borderId="10" xfId="2" applyNumberFormat="1" applyFont="1" applyFill="1" applyBorder="1" applyAlignment="1">
      <alignment horizontal="center" vertical="center"/>
    </xf>
    <xf numFmtId="4" fontId="0" fillId="10" borderId="1" xfId="0" applyNumberFormat="1" applyFont="1" applyFill="1" applyBorder="1" applyAlignment="1">
      <alignment horizontal="right" vertical="center"/>
    </xf>
    <xf numFmtId="4" fontId="8" fillId="10" borderId="1" xfId="2" applyNumberFormat="1" applyFont="1" applyFill="1" applyBorder="1" applyAlignment="1">
      <alignment horizontal="right" vertical="center"/>
    </xf>
    <xf numFmtId="4" fontId="8" fillId="11" borderId="1" xfId="2" applyNumberFormat="1" applyFont="1" applyFill="1" applyBorder="1" applyAlignment="1">
      <alignment horizontal="right" vertical="center"/>
    </xf>
    <xf numFmtId="4" fontId="8" fillId="8" borderId="1" xfId="2" applyNumberFormat="1" applyFont="1" applyFill="1" applyBorder="1" applyAlignment="1">
      <alignment horizontal="right" vertical="center"/>
    </xf>
    <xf numFmtId="4" fontId="8" fillId="9" borderId="1" xfId="2" applyNumberFormat="1" applyFont="1" applyFill="1" applyBorder="1" applyAlignment="1">
      <alignment horizontal="right" vertical="center"/>
    </xf>
    <xf numFmtId="4" fontId="8" fillId="2" borderId="1" xfId="2" applyNumberFormat="1" applyFont="1" applyFill="1" applyBorder="1" applyAlignment="1">
      <alignment horizontal="right" vertical="center"/>
    </xf>
    <xf numFmtId="4" fontId="0" fillId="2" borderId="1" xfId="0" applyNumberFormat="1" applyFont="1" applyFill="1" applyBorder="1" applyAlignment="1">
      <alignment horizontal="right" vertical="center"/>
    </xf>
    <xf numFmtId="4" fontId="8" fillId="2" borderId="9" xfId="2" applyNumberFormat="1" applyFont="1" applyFill="1" applyBorder="1" applyAlignment="1">
      <alignment horizontal="right" vertical="center"/>
    </xf>
    <xf numFmtId="4" fontId="0" fillId="2" borderId="9" xfId="0" applyNumberFormat="1" applyFon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1" xfId="0" applyBorder="1" applyAlignment="1">
      <alignment horizontal="left" wrapText="1"/>
    </xf>
    <xf numFmtId="9" fontId="0" fillId="0" borderId="1" xfId="1" applyFont="1" applyBorder="1" applyAlignment="1">
      <alignment wrapText="1"/>
    </xf>
    <xf numFmtId="0" fontId="0" fillId="12" borderId="1" xfId="0" applyFill="1" applyBorder="1" applyAlignment="1">
      <alignment wrapText="1"/>
    </xf>
    <xf numFmtId="0" fontId="11" fillId="12" borderId="1" xfId="0" applyFont="1" applyFill="1" applyBorder="1" applyAlignment="1">
      <alignment horizontal="center"/>
    </xf>
    <xf numFmtId="4" fontId="11" fillId="12" borderId="1" xfId="0" applyNumberFormat="1" applyFont="1" applyFill="1" applyBorder="1" applyAlignment="1">
      <alignment horizontal="center"/>
    </xf>
    <xf numFmtId="9" fontId="11" fillId="12" borderId="1" xfId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/>
    </xf>
    <xf numFmtId="4" fontId="4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0" fillId="0" borderId="0" xfId="0" applyBorder="1"/>
    <xf numFmtId="3" fontId="0" fillId="0" borderId="0" xfId="0" applyNumberFormat="1" applyBorder="1"/>
    <xf numFmtId="0" fontId="12" fillId="13" borderId="0" xfId="0" applyFont="1" applyFill="1" applyAlignment="1">
      <alignment horizontal="center"/>
    </xf>
  </cellXfs>
  <cellStyles count="3">
    <cellStyle name="Millares [0]" xfId="2" builtinId="6"/>
    <cellStyle name="Normal" xfId="0" builtinId="0"/>
    <cellStyle name="Porcentaje" xfId="1" builtinId="5"/>
  </cellStyles>
  <dxfs count="97"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.0_-;\-* #,##0.0_-;_-* &quot;-&quot;_-;_-@_-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4" formatCode="0.00%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smoralesr" refreshedDate="45308.733568055555" createdVersion="7" refreshedVersion="7" minRefreshableVersion="3" recordCount="12" xr:uid="{8FC6F1E1-65C6-495F-A9D2-D428D7F9797A}">
  <cacheSource type="worksheet">
    <worksheetSource name="Tabla4"/>
  </cacheSource>
  <cacheFields count="6">
    <cacheField name="Detalle" numFmtId="0">
      <sharedItems count="5">
        <s v="Cebollas"/>
        <s v="Hortalizas"/>
        <s v="Hortalizas de fruto"/>
        <s v="Raices"/>
        <s v="Tuberculos"/>
      </sharedItems>
    </cacheField>
    <cacheField name="Item" numFmtId="0">
      <sharedItems/>
    </cacheField>
    <cacheField name="Area sembrada" numFmtId="4">
      <sharedItems containsSemiMixedTypes="0" containsString="0" containsNumber="1" minValue="1517.82" maxValue="141465"/>
    </cacheField>
    <cacheField name="Área cosechada " numFmtId="4">
      <sharedItems containsSemiMixedTypes="0" containsString="0" containsNumber="1" containsInteger="1" minValue="1631" maxValue="133570"/>
    </cacheField>
    <cacheField name="Producción" numFmtId="4">
      <sharedItems containsSemiMixedTypes="0" containsString="0" containsNumber="1" minValue="11854.6" maxValue="3123804"/>
    </cacheField>
    <cacheField name="Rendimiento" numFmtId="164">
      <sharedItems containsSemiMixedTypes="0" containsString="0" containsNumber="1" minValue="6.9738959999999999" maxValue="65.661704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x v="0"/>
    <s v="Cebolla bulbo"/>
    <n v="17191.09"/>
    <n v="15668"/>
    <n v="399511.26"/>
    <n v="25.498277999999999"/>
  </r>
  <r>
    <x v="0"/>
    <s v="Cebolla rama"/>
    <n v="17911.330000000002"/>
    <n v="16922"/>
    <n v="414553.9"/>
    <n v="24.497582999999999"/>
  </r>
  <r>
    <x v="1"/>
    <s v="Hortaliza flor"/>
    <n v="4151.9399999999996"/>
    <n v="3444"/>
    <n v="59291.34"/>
    <n v="17.214746000000002"/>
  </r>
  <r>
    <x v="1"/>
    <s v="Hortaliza de hoja"/>
    <n v="23788.2"/>
    <n v="23626"/>
    <n v="415167.53"/>
    <n v="17.572514999999999"/>
  </r>
  <r>
    <x v="1"/>
    <s v="Hortaliza de tallo"/>
    <n v="1517.82"/>
    <n v="1631"/>
    <n v="11854.6"/>
    <n v="7.2695319999999999"/>
  </r>
  <r>
    <x v="2"/>
    <s v="Hortaliza fruto "/>
    <n v="28144.76"/>
    <n v="20623"/>
    <n v="365327.04"/>
    <n v="17.714234000000001"/>
  </r>
  <r>
    <x v="2"/>
    <s v="Tomate"/>
    <n v="10391"/>
    <n v="8478"/>
    <n v="556692"/>
    <n v="65.661704999999998"/>
  </r>
  <r>
    <x v="3"/>
    <s v="Hortaliza de raiz"/>
    <n v="4418.96"/>
    <n v="3241"/>
    <n v="98206.89"/>
    <n v="30.305758000000001"/>
  </r>
  <r>
    <x v="3"/>
    <s v="Zanahoria"/>
    <n v="12644"/>
    <n v="10200"/>
    <n v="257023"/>
    <n v="25.197523"/>
  </r>
  <r>
    <x v="4"/>
    <s v="Papá"/>
    <n v="141465"/>
    <n v="133570"/>
    <n v="3123804"/>
    <n v="23.387008999999999"/>
  </r>
  <r>
    <x v="4"/>
    <s v="Yuca "/>
    <n v="108851"/>
    <n v="94247"/>
    <n v="1026643"/>
    <n v="10.893155"/>
  </r>
  <r>
    <x v="4"/>
    <s v="Otros tuberculos "/>
    <n v="19853"/>
    <n v="9903"/>
    <n v="69062"/>
    <n v="6.973895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E4E405-B618-4F64-8621-9F358B0228D7}" name="TablaDinámica1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L5:P11" firstHeaderRow="0" firstDataRow="1" firstDataCol="1"/>
  <pivotFields count="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dataField="1" numFmtId="4" showAll="0"/>
    <pivotField dataField="1" numFmtId="4" showAll="0"/>
    <pivotField numFmtId="4" showAll="0"/>
    <pivotField dataField="1" numFmtId="164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Promedio de Rendimiento" fld="5" subtotal="average" baseField="0" baseItem="0"/>
    <dataField name="Suma de Area sembrada" fld="2" baseField="0" baseItem="0"/>
    <dataField name="Suma de Área cosechada " fld="3" baseField="0" baseItem="0"/>
    <dataField name="Suma de Area sembrada2" fld="2" showDataAs="percentOfTotal" baseField="0" baseItem="3" numFmtId="10"/>
  </dataFields>
  <formats count="2">
    <format dxfId="96">
      <pivotArea outline="0" collapsedLevelsAreSubtotals="1" fieldPosition="0"/>
    </format>
    <format dxfId="95">
      <pivotArea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7EA2E3-F385-42E1-BECC-4404D13A46DB}" name="Tabla4" displayName="Tabla4" ref="E5:J17" totalsRowShown="0" headerRowDxfId="94" headerRowBorderDxfId="93" tableBorderDxfId="92" totalsRowBorderDxfId="91">
  <autoFilter ref="E5:J17" xr:uid="{A37EA2E3-F385-42E1-BECC-4404D13A46D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sortState xmlns:xlrd2="http://schemas.microsoft.com/office/spreadsheetml/2017/richdata2" ref="E6:J17">
    <sortCondition ref="E5:E17"/>
  </sortState>
  <tableColumns count="6">
    <tableColumn id="1" xr3:uid="{A17CB276-FAED-4C2C-BD0C-7FB09D8C0554}" name="Detalle" dataDxfId="90"/>
    <tableColumn id="2" xr3:uid="{486B2100-9113-4167-9429-7DCC14D0914C}" name="Item" dataDxfId="89"/>
    <tableColumn id="3" xr3:uid="{D43B1063-9F9E-4ECC-BF96-042AAE8C952B}" name="Area sembrada" dataDxfId="88" dataCellStyle="Millares [0]"/>
    <tableColumn id="4" xr3:uid="{F98C65B3-7D7B-4983-AEB3-8BD39EBE6D91}" name="Área cosechada " dataDxfId="87"/>
    <tableColumn id="5" xr3:uid="{0E670E62-A0F0-4125-9903-7CB13526C458}" name="Producción" dataDxfId="86" dataCellStyle="Millares [0]"/>
    <tableColumn id="6" xr3:uid="{02B86D70-4781-481D-83A1-9D1DE5DEE2DC}" name="Rendimiento" dataDxfId="85" dataCellStyle="Millares [0]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1:Q24" totalsRowShown="0" headerRowDxfId="84" dataDxfId="82" headerRowBorderDxfId="83" tableBorderDxfId="81" totalsRowBorderDxfId="80">
  <autoFilter ref="F11:Q24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97AA7CE-2C19-4522-AFCC-2D7077ABB6B9}" name="Grupo Homogéneo" dataDxfId="79"/>
    <tableColumn id="2" xr3:uid="{B5D1F10D-371F-4B26-972F-7E20D881EF10}" name="Proceso" dataDxfId="78"/>
    <tableColumn id="3" xr3:uid="{D5C4E4C9-E4CD-42F0-B878-EAED958F5FA0}" name="Energético" dataDxfId="77"/>
    <tableColumn id="4" xr3:uid="{B7B5D837-72C9-44E9-A5D9-0A2D73C6B023}" name="Producto final" dataDxfId="76"/>
    <tableColumn id="5" xr3:uid="{3CF749A7-0CC3-4EAE-8383-BA07291F80FF}" name="Unidades indicador producción" dataDxfId="75"/>
    <tableColumn id="6" xr3:uid="{380EDCBC-1202-4CB0-B868-AB32DBAE2810}" name="Indicador" dataDxfId="74"/>
    <tableColumn id="7" xr3:uid="{F7C4E07E-D41C-4EB3-84F4-91947724497C}" name="Parámetro" dataDxfId="73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72">
      <calculatedColumnFormula>IF(Tabla2[[#This Row],[Parámetro]]="Tn",Tabla2[[#This Row],[Indicador]]*$B$7,Tabla2[[#This Row],[Indicador]])</calculatedColumnFormula>
    </tableColumn>
    <tableColumn id="9" xr3:uid="{3AD82B07-3885-48D4-987A-DBF40EFD0198}" name="Unidades" dataDxfId="71">
      <calculatedColumnFormula>"MJ/Ha"</calculatedColumnFormula>
    </tableColumn>
    <tableColumn id="10" xr3:uid="{E16307D2-7B0D-4BEC-94C3-8D5C9401D2A7}" name="Consumo energía [MJ/año]" dataDxfId="70">
      <calculatedColumnFormula>(Tabla2[[#This Row],[Indicador área]]*$B$5)</calculatedColumnFormula>
    </tableColumn>
    <tableColumn id="11" xr3:uid="{BC8F1542-97C8-4CD8-9D0D-EC7623DD577E}" name="Participación" dataDxfId="69" dataCellStyle="Porcentaje">
      <calculatedColumnFormula>+Tabla2[[#This Row],[Consumo energía '[MJ/año']]]/$O$10</calculatedColumnFormula>
    </tableColumn>
    <tableColumn id="12" xr3:uid="{8BE7831C-9C91-4F6B-8E78-257192172672}" name="Consumo energía corregida [MJ/año]" dataDxfId="68">
      <calculatedColumnFormula>IF(Tabla2[[#This Row],[Energético]]="Energía Eléctrica",((Tabla2[[#This Row],[Participación]]*$D$30)/SUMIF(Tabla2[Energético],"Energía Eléctrica",Tabla2[Participación]))*$B$33,Tabla2[[#This Row],[Consumo energía '[MJ/año']]])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B1963E-4206-4560-A19E-8E3E81D09A40}" name="Tabla26" displayName="Tabla26" ref="F11:Q25" totalsRowShown="0" headerRowDxfId="67" dataDxfId="65" headerRowBorderDxfId="66" tableBorderDxfId="64" totalsRowBorderDxfId="63">
  <autoFilter ref="F11:Q25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EEA350B0-640D-49E3-BBCA-952AEC4E45D2}" name="Grupo Homogéneo" dataDxfId="62"/>
    <tableColumn id="2" xr3:uid="{5CA23B8C-6AE6-450E-AFBF-22B9C6F01DE0}" name="Proceso" dataDxfId="61"/>
    <tableColumn id="3" xr3:uid="{C11E7660-0784-4C94-97EE-60FDB6C2EC2A}" name="Energético" dataDxfId="60"/>
    <tableColumn id="4" xr3:uid="{DC01F7C6-2E82-4509-9189-4703584D9342}" name="Producto final" dataDxfId="59"/>
    <tableColumn id="5" xr3:uid="{2B41E9AF-5539-424A-8201-C7169C5D7AC0}" name="Unidades indicador producción" dataDxfId="58"/>
    <tableColumn id="6" xr3:uid="{B88ACFF1-2776-4F46-B489-0F44B6900A5C}" name="Indicador" dataDxfId="57"/>
    <tableColumn id="7" xr3:uid="{98D06EFD-C670-4832-9D0C-C92AC73EBBC5}" name="Parámetro" dataDxfId="56">
      <calculatedColumnFormula>IFERROR(RIGHT(Tabla26[[#This Row],[Unidades indicador producción]], LEN(Tabla26[[#This Row],[Unidades indicador producción]])-FIND("/", Tabla26[[#This Row],[Unidades indicador producción]])), "")</calculatedColumnFormula>
    </tableColumn>
    <tableColumn id="8" xr3:uid="{76D9AEDF-BAD7-402C-8D30-32AC4ECCE612}" name="Indicador área" dataDxfId="55">
      <calculatedColumnFormula>IF(Tabla26[[#This Row],[Parámetro]]="Tn",Tabla26[[#This Row],[Indicador]]*$B$7,Tabla26[[#This Row],[Indicador]])</calculatedColumnFormula>
    </tableColumn>
    <tableColumn id="9" xr3:uid="{7F243467-26DC-48DE-922A-F4EDDE37DA8B}" name="Unidades" dataDxfId="54">
      <calculatedColumnFormula>"MJ/Ha"</calculatedColumnFormula>
    </tableColumn>
    <tableColumn id="10" xr3:uid="{878388DA-8F1D-4689-A517-FB47901A435D}" name="Consumo energía [MJ/año]" dataDxfId="53">
      <calculatedColumnFormula>(Tabla26[[#This Row],[Indicador área]]*$B$5)</calculatedColumnFormula>
    </tableColumn>
    <tableColumn id="11" xr3:uid="{67E4AFCB-E83C-4B8C-9280-CE409E66818E}" name="Participación" dataDxfId="52" dataCellStyle="Porcentaje">
      <calculatedColumnFormula>+Tabla26[[#This Row],[Consumo energía '[MJ/año']]]/$O$10</calculatedColumnFormula>
    </tableColumn>
    <tableColumn id="12" xr3:uid="{992FCC49-22BB-44A5-AE29-D42867B3F331}" name="Consumo energía corregida [MJ/año]" dataDxfId="51">
      <calculatedColumnFormula>IF(Tabla26[[#This Row],[Energético]]="Energía Eléctrica",((Tabla26[[#This Row],[Participación]]*$D$30)/SUMIF(Tabla26[Energético],"Energía Eléctrica",Tabla26[Participación]))*$B$33,Tabla26[[#This Row],[Consumo energía '[MJ/año']]])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54958C1-6172-4296-890B-D90400E57864}" name="Tabla267" displayName="Tabla267" ref="F11:Q25" totalsRowShown="0" headerRowDxfId="50" dataDxfId="48" headerRowBorderDxfId="49" tableBorderDxfId="47" totalsRowBorderDxfId="46">
  <autoFilter ref="F11:Q25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A0EB738B-521F-4E75-BE7D-9B694503774F}" name="Grupo Homogéneo" dataDxfId="45"/>
    <tableColumn id="2" xr3:uid="{418B870E-E853-4719-96C6-20DECE03D4B7}" name="Proceso" dataDxfId="44"/>
    <tableColumn id="3" xr3:uid="{669DC559-8F52-45DC-A9FA-D17FBCBDC835}" name="Energético" dataDxfId="43"/>
    <tableColumn id="4" xr3:uid="{63341495-E194-42E3-AC63-329FE8C2FC32}" name="Producto final" dataDxfId="42"/>
    <tableColumn id="5" xr3:uid="{BF31E843-F77B-40B2-927F-8537173894E6}" name="Unidades indicador producción" dataDxfId="41"/>
    <tableColumn id="6" xr3:uid="{DDC49A12-CD29-49A1-B252-BAD9FE1BDFAD}" name="Indicador" dataDxfId="40"/>
    <tableColumn id="7" xr3:uid="{56A71B74-C94A-4468-B5FE-BC473B308845}" name="Parámetro" dataDxfId="39">
      <calculatedColumnFormula>IFERROR(RIGHT(Tabla267[[#This Row],[Unidades indicador producción]], LEN(Tabla267[[#This Row],[Unidades indicador producción]])-FIND("/", Tabla267[[#This Row],[Unidades indicador producción]])), "")</calculatedColumnFormula>
    </tableColumn>
    <tableColumn id="8" xr3:uid="{9FFF8013-2150-48F4-B947-52CC1ACACC22}" name="Indicador área" dataDxfId="38">
      <calculatedColumnFormula>IF(Tabla267[[#This Row],[Parámetro]]="Tn",Tabla267[[#This Row],[Indicador]]*$B$7,Tabla267[[#This Row],[Indicador]])</calculatedColumnFormula>
    </tableColumn>
    <tableColumn id="9" xr3:uid="{9CEBFF74-2C80-498A-8E03-09A32C4680E8}" name="Unidades" dataDxfId="37">
      <calculatedColumnFormula>"MJ/Ha"</calculatedColumnFormula>
    </tableColumn>
    <tableColumn id="10" xr3:uid="{1D281419-5FB5-4E61-8C6B-1C486D758B53}" name="Consumo energía [MJ/año]" dataDxfId="36">
      <calculatedColumnFormula>(Tabla267[[#This Row],[Indicador área]]*$B$5)</calculatedColumnFormula>
    </tableColumn>
    <tableColumn id="11" xr3:uid="{2EAA3078-005E-4147-A63E-1E32E90AE47E}" name="Participación" dataDxfId="35" dataCellStyle="Porcentaje">
      <calculatedColumnFormula>+Tabla267[[#This Row],[Consumo energía '[MJ/año']]]/$O$10</calculatedColumnFormula>
    </tableColumn>
    <tableColumn id="12" xr3:uid="{90B21863-FEB6-48DC-88D8-48C92E54730B}" name="Consumo energía corregida [MJ/año]" dataDxfId="34">
      <calculatedColumnFormula>IF(Tabla267[[#This Row],[Energético]]="Energía Eléctrica",((Tabla267[[#This Row],[Participación]]*$D$30)/SUMIF(Tabla267[Energético],"Energía Eléctrica",Tabla267[Participación]))*$B$33,Tabla267[[#This Row],[Consumo energía '[MJ/año']]])</calculatedColumnFormula>
    </tableColumn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ECA6201-B76D-4B37-AD4C-0982A51605C3}" name="Tabla2678" displayName="Tabla2678" ref="F11:Q24" totalsRowShown="0" headerRowDxfId="33" dataDxfId="31" headerRowBorderDxfId="32" tableBorderDxfId="30" totalsRowBorderDxfId="29">
  <autoFilter ref="F11:Q24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C311F93E-4FDF-46D3-877B-5DFE20EB7E2C}" name="Grupo Homogéneo" dataDxfId="28"/>
    <tableColumn id="2" xr3:uid="{88C36630-CCE7-4856-8A95-2345C05F3B59}" name="Proceso" dataDxfId="27"/>
    <tableColumn id="3" xr3:uid="{153A9C0E-954D-4070-AB4B-AF7EC13A32FD}" name="Energético" dataDxfId="26"/>
    <tableColumn id="4" xr3:uid="{BCBAD681-5730-4290-B945-1F0D818E3EAA}" name="Producto final" dataDxfId="25"/>
    <tableColumn id="5" xr3:uid="{81500515-44CD-4928-B77A-85D8C9840250}" name="Unidades indicador producción" dataDxfId="24"/>
    <tableColumn id="6" xr3:uid="{89E48554-D90A-4CEC-B5DD-B380E749A4EE}" name="Indicador" dataDxfId="23"/>
    <tableColumn id="7" xr3:uid="{ED17D591-8392-42B1-93AD-8D2AEC29ABBD}" name="Parámetro" dataDxfId="22">
      <calculatedColumnFormula>IFERROR(RIGHT(Tabla2678[[#This Row],[Unidades indicador producción]], LEN(Tabla2678[[#This Row],[Unidades indicador producción]])-FIND("/", Tabla2678[[#This Row],[Unidades indicador producción]])), "")</calculatedColumnFormula>
    </tableColumn>
    <tableColumn id="8" xr3:uid="{F3EA4634-E965-4F28-AABF-97596204171B}" name="Indicador área" dataDxfId="21">
      <calculatedColumnFormula>IF(Tabla2678[[#This Row],[Parámetro]]="Tn",Tabla2678[[#This Row],[Indicador]]*$B$7,Tabla2678[[#This Row],[Indicador]])</calculatedColumnFormula>
    </tableColumn>
    <tableColumn id="9" xr3:uid="{23F344AD-60E0-4FF7-B4D8-A6201B634C47}" name="Unidades" dataDxfId="20">
      <calculatedColumnFormula>"MJ/Ha"</calculatedColumnFormula>
    </tableColumn>
    <tableColumn id="10" xr3:uid="{C12046F6-A46E-46B3-8A20-163BA3D092E9}" name="Consumo energía [MJ/año]" dataDxfId="19">
      <calculatedColumnFormula>(Tabla2678[[#This Row],[Indicador área]]*$B$5)</calculatedColumnFormula>
    </tableColumn>
    <tableColumn id="11" xr3:uid="{02996C71-62B3-4F32-AEF1-261B5CB18E70}" name="Participación" dataDxfId="18" dataCellStyle="Porcentaje">
      <calculatedColumnFormula>+Tabla2678[[#This Row],[Consumo energía '[MJ/año']]]/$O$10</calculatedColumnFormula>
    </tableColumn>
    <tableColumn id="12" xr3:uid="{250E56C6-5FB9-4C32-AD75-81CE9A7C4043}" name="Consumo energía corregida [MJ/año]" dataDxfId="17">
      <calculatedColumnFormula>IF(Tabla2678[[#This Row],[Energético]]="Energía Eléctrica",((Tabla2678[[#This Row],[Participación]]*$D$30)/SUMIF(Tabla2678[Energético],"Energía Eléctrica",Tabla2678[Participación]))*$B$33,Tabla2678[[#This Row],[Consumo energía '[MJ/año']]])</calculatedColumnFormula>
    </tableColumn>
  </tableColumns>
  <tableStyleInfo name="TableStyleLight14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0D7A7D1-0116-4067-BC41-F14F4003D9E3}" name="Tabla26789" displayName="Tabla26789" ref="F11:Q24" totalsRowShown="0" headerRowDxfId="16" dataDxfId="14" headerRowBorderDxfId="15" tableBorderDxfId="13" totalsRowBorderDxfId="12">
  <autoFilter ref="F11:Q24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E7035517-D661-4A74-8896-9C10164CB05F}" name="Grupo Homogéneo" dataDxfId="11"/>
    <tableColumn id="2" xr3:uid="{8762C1C6-E191-46A4-BA94-6BD62DA73952}" name="Proceso" dataDxfId="10"/>
    <tableColumn id="3" xr3:uid="{4B23021A-60DD-49DB-ADDD-A08D4A56BD1D}" name="Energético" dataDxfId="9"/>
    <tableColumn id="4" xr3:uid="{7D5D4D18-7A0B-49EC-9FB2-509A9D7C4CBC}" name="Producto final" dataDxfId="8"/>
    <tableColumn id="5" xr3:uid="{9B37743A-27AD-4664-A076-BE8D3E79BA6D}" name="Unidades indicador producción" dataDxfId="7"/>
    <tableColumn id="6" xr3:uid="{9B34A103-0F82-4C23-B9B2-DEEA8CFC9309}" name="Indicador" dataDxfId="6"/>
    <tableColumn id="7" xr3:uid="{F70D8BB4-7223-4536-8336-F904CCEDDDE6}" name="Parámetro" dataDxfId="5">
      <calculatedColumnFormula>IFERROR(RIGHT(Tabla26789[[#This Row],[Unidades indicador producción]], LEN(Tabla26789[[#This Row],[Unidades indicador producción]])-FIND("/", Tabla26789[[#This Row],[Unidades indicador producción]])), "")</calculatedColumnFormula>
    </tableColumn>
    <tableColumn id="8" xr3:uid="{1BF84883-9C7D-4A43-8B6E-C2198F860487}" name="Indicador área" dataDxfId="4">
      <calculatedColumnFormula>IF(Tabla26789[[#This Row],[Parámetro]]="Tn",Tabla26789[[#This Row],[Indicador]]*$B$7,Tabla26789[[#This Row],[Indicador]])</calculatedColumnFormula>
    </tableColumn>
    <tableColumn id="9" xr3:uid="{3072E1F8-A427-4E1F-9E7A-EB65C2C9D9BF}" name="Unidades" dataDxfId="3">
      <calculatedColumnFormula>"MJ/Ha"</calculatedColumnFormula>
    </tableColumn>
    <tableColumn id="10" xr3:uid="{4AC504D3-88AB-487A-8F13-4E72A6CF33E6}" name="Consumo energía [MJ/año]" dataDxfId="2">
      <calculatedColumnFormula>(Tabla26789[[#This Row],[Indicador área]]*$B$5)</calculatedColumnFormula>
    </tableColumn>
    <tableColumn id="11" xr3:uid="{81EC2892-7F50-4F0F-B12E-B36CA1433DC7}" name="Participación" dataDxfId="1" dataCellStyle="Porcentaje">
      <calculatedColumnFormula>+Tabla26789[[#This Row],[Consumo energía '[MJ/año']]]/$O$10</calculatedColumnFormula>
    </tableColumn>
    <tableColumn id="12" xr3:uid="{4A79BBBC-572E-4823-8D44-7BB5EE3E8161}" name="Consumo energía corregida [MJ/año]" dataDxfId="0">
      <calculatedColumnFormula>IF(Tabla26789[[#This Row],[Energético]]="Energía Eléctrica",((Tabla26789[[#This Row],[Participación]]*$D$30)/SUMIF(Tabla26789[Energético],"Energía Eléctrica",Tabla26789[Participación]))*$B$33,Tabla26789[[#This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P27"/>
  <sheetViews>
    <sheetView showGridLines="0" tabSelected="1" workbookViewId="0">
      <selection activeCell="G19" sqref="G19"/>
    </sheetView>
  </sheetViews>
  <sheetFormatPr baseColWidth="10" defaultRowHeight="12.75" x14ac:dyDescent="0.2"/>
  <cols>
    <col min="1" max="2" width="19.140625" customWidth="1"/>
    <col min="6" max="6" width="18.7109375" customWidth="1"/>
    <col min="7" max="7" width="17" customWidth="1"/>
    <col min="8" max="8" width="18.28515625" customWidth="1"/>
    <col min="9" max="9" width="13.42578125" customWidth="1"/>
    <col min="10" max="10" width="14.7109375" customWidth="1"/>
    <col min="12" max="12" width="17.85546875" bestFit="1" customWidth="1"/>
    <col min="13" max="13" width="25.140625" bestFit="1" customWidth="1"/>
    <col min="14" max="14" width="23.85546875" bestFit="1" customWidth="1"/>
    <col min="15" max="15" width="25.140625" bestFit="1" customWidth="1"/>
    <col min="16" max="16" width="24.85546875" bestFit="1" customWidth="1"/>
  </cols>
  <sheetData>
    <row r="1" spans="5:16" x14ac:dyDescent="0.2">
      <c r="F1" s="74"/>
      <c r="G1" s="74"/>
      <c r="H1" s="74"/>
      <c r="I1" s="74"/>
      <c r="J1" s="74"/>
      <c r="K1" s="74"/>
    </row>
    <row r="2" spans="5:16" x14ac:dyDescent="0.2">
      <c r="F2" s="74"/>
      <c r="G2" s="75"/>
      <c r="H2" s="75"/>
      <c r="I2" s="75"/>
      <c r="J2" s="74"/>
      <c r="K2" s="74"/>
    </row>
    <row r="3" spans="5:16" x14ac:dyDescent="0.2">
      <c r="F3" s="74"/>
      <c r="G3" s="74"/>
      <c r="H3" s="74"/>
      <c r="I3" s="74"/>
      <c r="J3" s="74"/>
      <c r="K3" s="74"/>
    </row>
    <row r="5" spans="5:16" x14ac:dyDescent="0.2">
      <c r="E5" s="39" t="s">
        <v>63</v>
      </c>
      <c r="F5" s="40" t="s">
        <v>64</v>
      </c>
      <c r="G5" s="40" t="s">
        <v>56</v>
      </c>
      <c r="H5" s="40" t="s">
        <v>57</v>
      </c>
      <c r="I5" s="40" t="s">
        <v>44</v>
      </c>
      <c r="J5" s="41" t="s">
        <v>5</v>
      </c>
      <c r="L5" s="58" t="s">
        <v>66</v>
      </c>
      <c r="M5" t="s">
        <v>68</v>
      </c>
      <c r="N5" t="s">
        <v>69</v>
      </c>
      <c r="O5" t="s">
        <v>70</v>
      </c>
      <c r="P5" t="s">
        <v>71</v>
      </c>
    </row>
    <row r="6" spans="5:16" x14ac:dyDescent="0.2">
      <c r="E6" s="42" t="s">
        <v>59</v>
      </c>
      <c r="F6" s="32" t="s">
        <v>46</v>
      </c>
      <c r="G6" s="47">
        <v>17191.09</v>
      </c>
      <c r="H6" s="47">
        <v>15668</v>
      </c>
      <c r="I6" s="48">
        <v>399511.26</v>
      </c>
      <c r="J6" s="34">
        <v>25.498277999999999</v>
      </c>
      <c r="L6" s="59" t="s">
        <v>59</v>
      </c>
      <c r="M6" s="28">
        <v>24.997930499999999</v>
      </c>
      <c r="N6" s="28">
        <v>35102.42</v>
      </c>
      <c r="O6" s="28">
        <v>32590</v>
      </c>
      <c r="P6" s="60">
        <v>8.9930548172165933E-2</v>
      </c>
    </row>
    <row r="7" spans="5:16" x14ac:dyDescent="0.2">
      <c r="E7" s="42" t="s">
        <v>59</v>
      </c>
      <c r="F7" s="32" t="s">
        <v>47</v>
      </c>
      <c r="G7" s="48">
        <v>17911.330000000002</v>
      </c>
      <c r="H7" s="48">
        <v>16922</v>
      </c>
      <c r="I7" s="48">
        <v>414553.9</v>
      </c>
      <c r="J7" s="34">
        <v>24.497582999999999</v>
      </c>
      <c r="L7" s="59" t="s">
        <v>39</v>
      </c>
      <c r="M7" s="28">
        <v>14.018931</v>
      </c>
      <c r="N7" s="28">
        <v>29457.96</v>
      </c>
      <c r="O7" s="28">
        <v>28701</v>
      </c>
      <c r="P7" s="60">
        <v>7.5469739432031668E-2</v>
      </c>
    </row>
    <row r="8" spans="5:16" x14ac:dyDescent="0.2">
      <c r="E8" s="42" t="s">
        <v>39</v>
      </c>
      <c r="F8" s="33" t="s">
        <v>48</v>
      </c>
      <c r="G8" s="49">
        <v>4151.9399999999996</v>
      </c>
      <c r="H8" s="49">
        <v>3444</v>
      </c>
      <c r="I8" s="49">
        <v>59291.34</v>
      </c>
      <c r="J8" s="35">
        <v>17.214746000000002</v>
      </c>
      <c r="L8" s="59" t="s">
        <v>60</v>
      </c>
      <c r="M8" s="28">
        <v>41.687969500000001</v>
      </c>
      <c r="N8" s="28">
        <v>38535.759999999995</v>
      </c>
      <c r="O8" s="28">
        <v>29101</v>
      </c>
      <c r="P8" s="60">
        <v>9.872658412243443E-2</v>
      </c>
    </row>
    <row r="9" spans="5:16" x14ac:dyDescent="0.2">
      <c r="E9" s="42" t="s">
        <v>39</v>
      </c>
      <c r="F9" s="33" t="s">
        <v>45</v>
      </c>
      <c r="G9" s="49">
        <v>23788.2</v>
      </c>
      <c r="H9" s="49">
        <v>23626</v>
      </c>
      <c r="I9" s="49">
        <v>415167.53</v>
      </c>
      <c r="J9" s="35">
        <v>17.572514999999999</v>
      </c>
      <c r="L9" s="59" t="s">
        <v>61</v>
      </c>
      <c r="M9" s="28">
        <v>27.751640500000001</v>
      </c>
      <c r="N9" s="28">
        <v>17062.96</v>
      </c>
      <c r="O9" s="28">
        <v>13441</v>
      </c>
      <c r="P9" s="60">
        <v>4.3714403344263457E-2</v>
      </c>
    </row>
    <row r="10" spans="5:16" x14ac:dyDescent="0.2">
      <c r="E10" s="42" t="s">
        <v>39</v>
      </c>
      <c r="F10" s="33" t="s">
        <v>50</v>
      </c>
      <c r="G10" s="49">
        <v>1517.82</v>
      </c>
      <c r="H10" s="49">
        <v>1631</v>
      </c>
      <c r="I10" s="49">
        <v>11854.6</v>
      </c>
      <c r="J10" s="35">
        <v>7.2695319999999999</v>
      </c>
      <c r="L10" s="59" t="s">
        <v>62</v>
      </c>
      <c r="M10" s="28">
        <v>13.751353333333332</v>
      </c>
      <c r="N10" s="28">
        <v>270169</v>
      </c>
      <c r="O10" s="28">
        <v>237720</v>
      </c>
      <c r="P10" s="60">
        <v>0.69215872492910457</v>
      </c>
    </row>
    <row r="11" spans="5:16" x14ac:dyDescent="0.2">
      <c r="E11" s="43" t="s">
        <v>60</v>
      </c>
      <c r="F11" s="30" t="s">
        <v>49</v>
      </c>
      <c r="G11" s="50">
        <v>28144.76</v>
      </c>
      <c r="H11" s="50">
        <v>20623</v>
      </c>
      <c r="I11" s="50">
        <v>365327.04</v>
      </c>
      <c r="J11" s="36">
        <v>17.714234000000001</v>
      </c>
      <c r="L11" s="59" t="s">
        <v>67</v>
      </c>
      <c r="M11" s="28">
        <v>22.682161166666663</v>
      </c>
      <c r="N11" s="28">
        <v>390328.1</v>
      </c>
      <c r="O11" s="28">
        <v>341553</v>
      </c>
      <c r="P11" s="60">
        <v>1</v>
      </c>
    </row>
    <row r="12" spans="5:16" x14ac:dyDescent="0.2">
      <c r="E12" s="43" t="s">
        <v>60</v>
      </c>
      <c r="F12" s="30" t="s">
        <v>58</v>
      </c>
      <c r="G12" s="50">
        <v>10391</v>
      </c>
      <c r="H12" s="50">
        <v>8478</v>
      </c>
      <c r="I12" s="50">
        <v>556692</v>
      </c>
      <c r="J12" s="36">
        <v>65.661704999999998</v>
      </c>
    </row>
    <row r="13" spans="5:16" x14ac:dyDescent="0.2">
      <c r="E13" s="43" t="s">
        <v>61</v>
      </c>
      <c r="F13" s="31" t="s">
        <v>51</v>
      </c>
      <c r="G13" s="51">
        <v>4418.96</v>
      </c>
      <c r="H13" s="51">
        <v>3241</v>
      </c>
      <c r="I13" s="51">
        <v>98206.89</v>
      </c>
      <c r="J13" s="37">
        <v>30.305758000000001</v>
      </c>
    </row>
    <row r="14" spans="5:16" x14ac:dyDescent="0.2">
      <c r="E14" s="43" t="s">
        <v>61</v>
      </c>
      <c r="F14" s="31" t="s">
        <v>55</v>
      </c>
      <c r="G14" s="51">
        <v>12644</v>
      </c>
      <c r="H14" s="51">
        <v>10200</v>
      </c>
      <c r="I14" s="51">
        <v>257023</v>
      </c>
      <c r="J14" s="37">
        <v>25.197523</v>
      </c>
    </row>
    <row r="15" spans="5:16" x14ac:dyDescent="0.2">
      <c r="E15" s="43" t="s">
        <v>62</v>
      </c>
      <c r="F15" s="10" t="s">
        <v>52</v>
      </c>
      <c r="G15" s="52">
        <v>141465</v>
      </c>
      <c r="H15" s="53">
        <v>133570</v>
      </c>
      <c r="I15" s="52">
        <v>3123804</v>
      </c>
      <c r="J15" s="38">
        <v>23.387008999999999</v>
      </c>
    </row>
    <row r="16" spans="5:16" x14ac:dyDescent="0.2">
      <c r="E16" s="43" t="s">
        <v>62</v>
      </c>
      <c r="F16" s="10" t="s">
        <v>53</v>
      </c>
      <c r="G16" s="52">
        <v>108851</v>
      </c>
      <c r="H16" s="53">
        <v>94247</v>
      </c>
      <c r="I16" s="52">
        <v>1026643</v>
      </c>
      <c r="J16" s="38">
        <v>10.893155</v>
      </c>
    </row>
    <row r="17" spans="1:10" x14ac:dyDescent="0.2">
      <c r="E17" s="44" t="s">
        <v>62</v>
      </c>
      <c r="F17" s="45" t="s">
        <v>54</v>
      </c>
      <c r="G17" s="54">
        <v>19853</v>
      </c>
      <c r="H17" s="55">
        <v>9903</v>
      </c>
      <c r="I17" s="54">
        <v>69062</v>
      </c>
      <c r="J17" s="46">
        <v>6.9738959999999999</v>
      </c>
    </row>
    <row r="22" spans="1:10" ht="23.25" x14ac:dyDescent="0.35">
      <c r="A22" s="76" t="s">
        <v>87</v>
      </c>
      <c r="B22" s="76"/>
      <c r="C22" s="76"/>
      <c r="D22" s="76"/>
    </row>
    <row r="23" spans="1:10" ht="25.5" x14ac:dyDescent="0.2">
      <c r="A23" s="12" t="s">
        <v>0</v>
      </c>
      <c r="B23" s="12" t="s">
        <v>35</v>
      </c>
      <c r="C23" s="12" t="s">
        <v>36</v>
      </c>
      <c r="D23" s="12" t="s">
        <v>1</v>
      </c>
    </row>
    <row r="24" spans="1:10" x14ac:dyDescent="0.2">
      <c r="A24" s="13" t="s">
        <v>2</v>
      </c>
      <c r="B24" s="14">
        <f>+Cebollas!B30+Hortalizas!B30+'Hortalizas de fruto'!B30+Raices!B30+Tuberculos!B30</f>
        <v>13404521.687314902</v>
      </c>
      <c r="C24" s="7">
        <f>B24/1000000</f>
        <v>13.404521687314901</v>
      </c>
      <c r="D24" s="15">
        <f>B24/$B$27</f>
        <v>5.9039198795977198E-3</v>
      </c>
    </row>
    <row r="25" spans="1:10" x14ac:dyDescent="0.2">
      <c r="A25" s="13" t="s">
        <v>3</v>
      </c>
      <c r="B25" s="14">
        <f>+Cebollas!B31+Hortalizas!B31+'Hortalizas de fruto'!B31+Raices!B31+Tuberculos!B31</f>
        <v>1862605222.9890323</v>
      </c>
      <c r="C25" s="7">
        <f t="shared" ref="C25:C26" si="0">B25/1000000</f>
        <v>1862.6052229890322</v>
      </c>
      <c r="D25" s="15">
        <f>B25/$B$27</f>
        <v>0.82037033923067693</v>
      </c>
    </row>
    <row r="26" spans="1:10" x14ac:dyDescent="0.2">
      <c r="A26" s="13" t="s">
        <v>4</v>
      </c>
      <c r="B26" s="14">
        <f>+Cebollas!B32+Hortalizas!B32+'Hortalizas de fruto'!B32+Raices!B32+Tuberculos!B32</f>
        <v>394434631.37915176</v>
      </c>
      <c r="C26" s="7">
        <f t="shared" si="0"/>
        <v>394.43463137915177</v>
      </c>
      <c r="D26" s="15">
        <f>B26/$B$27</f>
        <v>0.17372574088972534</v>
      </c>
    </row>
    <row r="27" spans="1:10" x14ac:dyDescent="0.2">
      <c r="A27" s="64" t="s">
        <v>87</v>
      </c>
      <c r="B27" s="65">
        <f>SUM(B24:B26)</f>
        <v>2270444376.0554991</v>
      </c>
      <c r="C27" s="65">
        <f>SUM(C24:C26)</f>
        <v>2270.4443760554987</v>
      </c>
      <c r="D27" s="66">
        <f>SUM(D24:D26)</f>
        <v>1</v>
      </c>
    </row>
  </sheetData>
  <mergeCells count="1">
    <mergeCell ref="A22:D22"/>
  </mergeCells>
  <dataValidations disablePrompts="1" count="1">
    <dataValidation type="list" allowBlank="1" showInputMessage="1" showErrorMessage="1" sqref="A24:A26" xr:uid="{572E19E7-0999-4C42-87EC-D0A062F8F947}">
      <formula1>$A$1:$A$2</formula1>
    </dataValidation>
  </dataValidation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Q44"/>
  <sheetViews>
    <sheetView showGridLines="0" topLeftCell="A5" workbookViewId="0">
      <selection activeCell="A33" sqref="A33:D33"/>
    </sheetView>
  </sheetViews>
  <sheetFormatPr baseColWidth="10" defaultRowHeight="12.75" x14ac:dyDescent="0.2"/>
  <cols>
    <col min="1" max="1" width="37.85546875" customWidth="1"/>
    <col min="2" max="2" width="21.85546875" customWidth="1"/>
    <col min="3" max="4" width="16.42578125" customWidth="1"/>
    <col min="6" max="6" width="35" bestFit="1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11.7109375" customWidth="1"/>
    <col min="13" max="13" width="15" customWidth="1"/>
    <col min="15" max="15" width="24.5703125" customWidth="1"/>
    <col min="16" max="16" width="14.85546875" customWidth="1"/>
    <col min="17" max="17" width="19.42578125" customWidth="1"/>
  </cols>
  <sheetData>
    <row r="1" spans="1:17" ht="18" x14ac:dyDescent="0.25">
      <c r="A1" s="11"/>
    </row>
    <row r="3" spans="1:17" ht="20.25" x14ac:dyDescent="0.2">
      <c r="A3" s="72" t="s">
        <v>80</v>
      </c>
      <c r="B3" s="73"/>
    </row>
    <row r="4" spans="1:17" x14ac:dyDescent="0.2">
      <c r="A4" s="3" t="s">
        <v>34</v>
      </c>
      <c r="B4" s="10" t="str">
        <f>+Participación!L6</f>
        <v>Cebollas</v>
      </c>
    </row>
    <row r="5" spans="1:17" x14ac:dyDescent="0.2">
      <c r="A5" s="3" t="s">
        <v>72</v>
      </c>
      <c r="B5" s="4">
        <f>+GETPIVOTDATA("Suma de Area sembrada",Participación!$L$5,"Detalle","Cebollas")</f>
        <v>35102.42</v>
      </c>
      <c r="C5" s="24" t="s">
        <v>84</v>
      </c>
    </row>
    <row r="6" spans="1:17" x14ac:dyDescent="0.2">
      <c r="A6" s="3" t="s">
        <v>73</v>
      </c>
      <c r="B6" s="4">
        <f>+GETPIVOTDATA("Suma de Área cosechada ",Participación!$L$5,"Detalle","Cebollas")</f>
        <v>32590</v>
      </c>
    </row>
    <row r="7" spans="1:17" x14ac:dyDescent="0.2">
      <c r="A7" s="3" t="s">
        <v>5</v>
      </c>
      <c r="B7" s="4">
        <f>+GETPIVOTDATA("Promedio de Rendimiento",Participación!$L$5,"Detalle","Cebollas")</f>
        <v>24.997930499999999</v>
      </c>
      <c r="C7" s="24" t="s">
        <v>85</v>
      </c>
    </row>
    <row r="8" spans="1:17" x14ac:dyDescent="0.2">
      <c r="A8" s="5" t="s">
        <v>6</v>
      </c>
      <c r="B8" s="4">
        <f>B12</f>
        <v>334854.43981275434</v>
      </c>
      <c r="C8" s="24" t="s">
        <v>86</v>
      </c>
    </row>
    <row r="9" spans="1:17" ht="26.25" x14ac:dyDescent="0.25">
      <c r="A9" s="5" t="s">
        <v>96</v>
      </c>
      <c r="B9" s="14">
        <f>+B8*3.6</f>
        <v>1205475.9833259156</v>
      </c>
      <c r="F9" s="70" t="s">
        <v>88</v>
      </c>
      <c r="G9" s="70"/>
      <c r="H9" s="70"/>
      <c r="I9" s="70"/>
      <c r="J9" s="70"/>
      <c r="K9" s="70"/>
      <c r="Q9" s="8" t="s">
        <v>91</v>
      </c>
    </row>
    <row r="10" spans="1:17" ht="35.25" customHeight="1" x14ac:dyDescent="0.25">
      <c r="J10" s="2" t="s">
        <v>30</v>
      </c>
      <c r="O10" s="9">
        <f>SUM(Tabla2[Consumo energía '[MJ/año']])</f>
        <v>197218191.69967031</v>
      </c>
      <c r="Q10" s="69">
        <f>+SUM(Tabla2[Consumo energía corregida '[MJ/año']])</f>
        <v>195192816.87611583</v>
      </c>
    </row>
    <row r="11" spans="1:17" s="1" customFormat="1" ht="25.5" x14ac:dyDescent="0.2">
      <c r="A11" s="26" t="s">
        <v>81</v>
      </c>
      <c r="B11" s="27">
        <f>+SUM(B16:B19)+B20*D20</f>
        <v>3723478.2464763611</v>
      </c>
      <c r="F11" s="16" t="s">
        <v>7</v>
      </c>
      <c r="G11" s="17" t="s">
        <v>8</v>
      </c>
      <c r="H11" s="17" t="s">
        <v>9</v>
      </c>
      <c r="I11" s="17" t="s">
        <v>16</v>
      </c>
      <c r="J11" s="18" t="s">
        <v>17</v>
      </c>
      <c r="K11" s="17" t="s">
        <v>18</v>
      </c>
      <c r="L11" s="17" t="s">
        <v>27</v>
      </c>
      <c r="M11" s="17" t="s">
        <v>28</v>
      </c>
      <c r="N11" s="17" t="s">
        <v>29</v>
      </c>
      <c r="O11" s="67" t="s">
        <v>89</v>
      </c>
      <c r="P11" s="67" t="s">
        <v>1</v>
      </c>
      <c r="Q11" s="67" t="s">
        <v>90</v>
      </c>
    </row>
    <row r="12" spans="1:17" ht="25.5" x14ac:dyDescent="0.2">
      <c r="A12" s="26" t="s">
        <v>92</v>
      </c>
      <c r="B12" s="27">
        <f>B11*GETPIVOTDATA("Suma de Area sembrada2",Participación!$L$5,"Detalle","Cebollas")</f>
        <v>334854.43981275434</v>
      </c>
      <c r="F12" s="19" t="s">
        <v>40</v>
      </c>
      <c r="G12" s="20" t="s">
        <v>10</v>
      </c>
      <c r="H12" s="20" t="s">
        <v>3</v>
      </c>
      <c r="I12" s="20" t="s">
        <v>65</v>
      </c>
      <c r="J12" s="20" t="s">
        <v>20</v>
      </c>
      <c r="K12" s="21">
        <v>357.00256409999997</v>
      </c>
      <c r="L12" s="22" t="str">
        <f>IFERROR(RIGHT(Tabla2[[#This Row],[Unidades indicador producción]], LEN(Tabla2[[#This Row],[Unidades indicador producción]])-FIND("/", Tabla2[[#This Row],[Unidades indicador producción]])), "")</f>
        <v>Ha</v>
      </c>
      <c r="M12" s="23">
        <f>IF(Tabla2[[#This Row],[Parámetro]]="Tn",Tabla2[[#This Row],[Indicador]]*$B$7,Tabla2[[#This Row],[Indicador]])</f>
        <v>357.00256409999997</v>
      </c>
      <c r="N12" s="22" t="str">
        <f t="shared" ref="N12:N14" si="0">"MJ/Ha"</f>
        <v>MJ/Ha</v>
      </c>
      <c r="O12" s="23">
        <f>+Tabla2[[#This Row],[Indicador área]]*B6</f>
        <v>11634713.564018998</v>
      </c>
      <c r="P12" s="68">
        <f>+Tabla2[[#This Row],[Consumo energía '[MJ/año']]]/$O$10</f>
        <v>5.8994119476243265E-2</v>
      </c>
      <c r="Q12" s="23">
        <f>IF(Tabla2[[#This Row],[Energético]]="Energía Eléctrica",((Tabla2[[#This Row],[Participación]]*$D$30)/SUMIF(Tabla2[Energético],"Energía Eléctrica",Tabla2[Participación]))*$B$33,Tabla2[[#This Row],[Consumo energía '[MJ/año']]])</f>
        <v>11634713.564018998</v>
      </c>
    </row>
    <row r="13" spans="1:17" x14ac:dyDescent="0.2">
      <c r="F13" s="19" t="s">
        <v>40</v>
      </c>
      <c r="G13" s="20" t="s">
        <v>10</v>
      </c>
      <c r="H13" s="20" t="s">
        <v>4</v>
      </c>
      <c r="I13" s="20" t="s">
        <v>65</v>
      </c>
      <c r="J13" s="20" t="s">
        <v>20</v>
      </c>
      <c r="K13" s="21">
        <v>322.93928570000003</v>
      </c>
      <c r="L13" s="22" t="str">
        <f>IFERROR(RIGHT(Tabla2[[#This Row],[Unidades indicador producción]], LEN(Tabla2[[#This Row],[Unidades indicador producción]])-FIND("/", Tabla2[[#This Row],[Unidades indicador producción]])), "")</f>
        <v>Ha</v>
      </c>
      <c r="M13" s="23">
        <f>IF(Tabla2[[#This Row],[Parámetro]]="Tn",Tabla2[[#This Row],[Indicador]]*$B$7,Tabla2[[#This Row],[Indicador]])</f>
        <v>322.93928570000003</v>
      </c>
      <c r="N13" s="22" t="str">
        <f t="shared" si="0"/>
        <v>MJ/Ha</v>
      </c>
      <c r="O13" s="23">
        <f>+Tabla2[[#This Row],[Indicador área]]*B6</f>
        <v>10524591.320963001</v>
      </c>
      <c r="P13" s="68">
        <f>+Tabla2[[#This Row],[Consumo energía '[MJ/año']]]/$O$10</f>
        <v>5.3365215603386931E-2</v>
      </c>
      <c r="Q13" s="23">
        <f>IF(Tabla2[[#This Row],[Energético]]="Energía Eléctrica",((Tabla2[[#This Row],[Participación]]*$D$30)/SUMIF(Tabla2[Energético],"Energía Eléctrica",Tabla2[Participación]))*$B$33,Tabla2[[#This Row],[Consumo energía '[MJ/año']]])</f>
        <v>10524591.320963001</v>
      </c>
    </row>
    <row r="14" spans="1:17" x14ac:dyDescent="0.2">
      <c r="F14" s="19" t="s">
        <v>40</v>
      </c>
      <c r="G14" s="20" t="s">
        <v>11</v>
      </c>
      <c r="H14" s="20" t="s">
        <v>3</v>
      </c>
      <c r="I14" s="20" t="s">
        <v>19</v>
      </c>
      <c r="J14" s="20" t="s">
        <v>20</v>
      </c>
      <c r="K14" s="21">
        <v>434.19230770000001</v>
      </c>
      <c r="L14" s="22" t="str">
        <f>IFERROR(RIGHT(Tabla2[[#This Row],[Unidades indicador producción]], LEN(Tabla2[[#This Row],[Unidades indicador producción]])-FIND("/", Tabla2[[#This Row],[Unidades indicador producción]])), "")</f>
        <v>Ha</v>
      </c>
      <c r="M14" s="23">
        <f>IF(Tabla2[[#This Row],[Parámetro]]="Tn",Tabla2[[#This Row],[Indicador]]*$B$7,Tabla2[[#This Row],[Indicador]])</f>
        <v>434.19230770000001</v>
      </c>
      <c r="N14" s="22" t="str">
        <f t="shared" si="0"/>
        <v>MJ/Ha</v>
      </c>
      <c r="O14" s="23">
        <f>(Tabla2[[#This Row],[Indicador área]]*$B$5)</f>
        <v>15241200.745654633</v>
      </c>
      <c r="P14" s="68">
        <f>+Tabla2[[#This Row],[Consumo energía '[MJ/año']]]/$O$10</f>
        <v>7.7280907072022967E-2</v>
      </c>
      <c r="Q14" s="23">
        <f>IF(Tabla2[[#This Row],[Energético]]="Energía Eléctrica",((Tabla2[[#This Row],[Participación]]*$D$30)/SUMIF(Tabla2[Energético],"Energía Eléctrica",Tabla2[Participación]))*$B$33,Tabla2[[#This Row],[Consumo energía '[MJ/año']]])</f>
        <v>15241200.745654633</v>
      </c>
    </row>
    <row r="15" spans="1:17" x14ac:dyDescent="0.2">
      <c r="A15" s="12" t="s">
        <v>80</v>
      </c>
      <c r="B15" s="12" t="s">
        <v>83</v>
      </c>
      <c r="F15" s="19" t="s">
        <v>40</v>
      </c>
      <c r="G15" s="20" t="s">
        <v>11</v>
      </c>
      <c r="H15" s="20" t="s">
        <v>4</v>
      </c>
      <c r="I15" s="20" t="s">
        <v>19</v>
      </c>
      <c r="J15" s="20" t="s">
        <v>20</v>
      </c>
      <c r="K15" s="21">
        <v>118.2757773</v>
      </c>
      <c r="L15" s="56" t="str">
        <f>IFERROR(RIGHT(Tabla2[[#This Row],[Unidades indicador producción]], LEN(Tabla2[[#This Row],[Unidades indicador producción]])-FIND("/", Tabla2[[#This Row],[Unidades indicador producción]])), "")</f>
        <v>Ha</v>
      </c>
      <c r="M15" s="57">
        <f>IF(Tabla2[[#This Row],[Parámetro]]="Tn",Tabla2[[#This Row],[Indicador]]*$B$7,Tabla2[[#This Row],[Indicador]])</f>
        <v>118.2757773</v>
      </c>
      <c r="N15" s="56" t="str">
        <f t="shared" ref="N15:N24" si="1">"MJ/Ha"</f>
        <v>MJ/Ha</v>
      </c>
      <c r="O15" s="23">
        <f>(Tabla2[[#This Row],[Indicador área]]*$B$5)</f>
        <v>4151766.0106110657</v>
      </c>
      <c r="P15" s="68">
        <f>+Tabla2[[#This Row],[Consumo energía '[MJ/año']]]/$O$10</f>
        <v>2.1051638161927261E-2</v>
      </c>
      <c r="Q15" s="23">
        <f>IF(Tabla2[[#This Row],[Energético]]="Energía Eléctrica",((Tabla2[[#This Row],[Participación]]*$D$30)/SUMIF(Tabla2[Energético],"Energía Eléctrica",Tabla2[Participación]))*$B$33,Tabla2[[#This Row],[Consumo energía '[MJ/año']]])</f>
        <v>4151766.0106110657</v>
      </c>
    </row>
    <row r="16" spans="1:17" x14ac:dyDescent="0.2">
      <c r="A16" s="13" t="s">
        <v>77</v>
      </c>
      <c r="B16" s="13">
        <v>914268.54739218636</v>
      </c>
      <c r="F16" s="19" t="s">
        <v>40</v>
      </c>
      <c r="G16" s="20" t="s">
        <v>12</v>
      </c>
      <c r="H16" s="20" t="s">
        <v>4</v>
      </c>
      <c r="I16" s="20" t="s">
        <v>21</v>
      </c>
      <c r="J16" s="20" t="s">
        <v>20</v>
      </c>
      <c r="K16" s="21">
        <v>234.1898085</v>
      </c>
      <c r="L16" s="56" t="str">
        <f>IFERROR(RIGHT(Tabla2[[#This Row],[Unidades indicador producción]], LEN(Tabla2[[#This Row],[Unidades indicador producción]])-FIND("/", Tabla2[[#This Row],[Unidades indicador producción]])), "")</f>
        <v>Ha</v>
      </c>
      <c r="M16" s="57">
        <f>IF(Tabla2[[#This Row],[Parámetro]]="Tn",Tabla2[[#This Row],[Indicador]]*$B$7,Tabla2[[#This Row],[Indicador]])</f>
        <v>234.1898085</v>
      </c>
      <c r="N16" s="56" t="str">
        <f t="shared" si="1"/>
        <v>MJ/Ha</v>
      </c>
      <c r="O16" s="23">
        <f>(Tabla2[[#This Row],[Indicador área]]*$B$5)</f>
        <v>8220629.0176865691</v>
      </c>
      <c r="P16" s="68">
        <f>+Tabla2[[#This Row],[Consumo energía '[MJ/año']]]/$O$10</f>
        <v>4.1682914475786217E-2</v>
      </c>
      <c r="Q16" s="23">
        <f>IF(Tabla2[[#This Row],[Energético]]="Energía Eléctrica",((Tabla2[[#This Row],[Participación]]*$D$30)/SUMIF(Tabla2[Energético],"Energía Eléctrica",Tabla2[Participación]))*$B$33,Tabla2[[#This Row],[Consumo energía '[MJ/año']]])</f>
        <v>8220629.0176865691</v>
      </c>
    </row>
    <row r="17" spans="1:17" x14ac:dyDescent="0.2">
      <c r="A17" s="13" t="s">
        <v>74</v>
      </c>
      <c r="B17" s="13">
        <v>669263.00575729692</v>
      </c>
      <c r="F17" s="19" t="s">
        <v>40</v>
      </c>
      <c r="G17" s="20" t="s">
        <v>41</v>
      </c>
      <c r="H17" s="20" t="s">
        <v>4</v>
      </c>
      <c r="I17" s="20" t="s">
        <v>42</v>
      </c>
      <c r="J17" s="20" t="s">
        <v>20</v>
      </c>
      <c r="K17" s="21">
        <v>341.98009070000001</v>
      </c>
      <c r="L17" s="56" t="str">
        <f>IFERROR(RIGHT(Tabla2[[#This Row],[Unidades indicador producción]], LEN(Tabla2[[#This Row],[Unidades indicador producción]])-FIND("/", Tabla2[[#This Row],[Unidades indicador producción]])), "")</f>
        <v>Ha</v>
      </c>
      <c r="M17" s="57">
        <f>IF(Tabla2[[#This Row],[Parámetro]]="Tn",Tabla2[[#This Row],[Indicador]]*$B$7,Tabla2[[#This Row],[Indicador]])</f>
        <v>341.98009070000001</v>
      </c>
      <c r="N17" s="56" t="str">
        <f t="shared" si="1"/>
        <v>MJ/Ha</v>
      </c>
      <c r="O17" s="23">
        <f>(Tabla2[[#This Row],[Indicador área]]*$B$5)</f>
        <v>12004328.775389494</v>
      </c>
      <c r="P17" s="68">
        <f>+Tabla2[[#This Row],[Consumo energía '[MJ/año']]]/$O$10</f>
        <v>6.0868263074179488E-2</v>
      </c>
      <c r="Q17" s="23">
        <f>IF(Tabla2[[#This Row],[Energético]]="Energía Eléctrica",((Tabla2[[#This Row],[Participación]]*$D$30)/SUMIF(Tabla2[Energético],"Energía Eléctrica",Tabla2[Participación]))*$B$33,Tabla2[[#This Row],[Consumo energía '[MJ/año']]])</f>
        <v>12004328.775389494</v>
      </c>
    </row>
    <row r="18" spans="1:17" x14ac:dyDescent="0.2">
      <c r="A18" s="13" t="s">
        <v>75</v>
      </c>
      <c r="B18" s="13">
        <v>538335.24278633203</v>
      </c>
      <c r="F18" s="19" t="s">
        <v>40</v>
      </c>
      <c r="G18" s="20" t="s">
        <v>13</v>
      </c>
      <c r="H18" s="20" t="s">
        <v>3</v>
      </c>
      <c r="I18" s="20" t="s">
        <v>22</v>
      </c>
      <c r="J18" s="20" t="s">
        <v>20</v>
      </c>
      <c r="K18" s="21">
        <v>1415.217551</v>
      </c>
      <c r="L18" s="56" t="str">
        <f>IFERROR(RIGHT(Tabla2[[#This Row],[Unidades indicador producción]], LEN(Tabla2[[#This Row],[Unidades indicador producción]])-FIND("/", Tabla2[[#This Row],[Unidades indicador producción]])), "")</f>
        <v>Ha</v>
      </c>
      <c r="M18" s="57">
        <f>IF(Tabla2[[#This Row],[Parámetro]]="Tn",Tabla2[[#This Row],[Indicador]]*$B$7,Tabla2[[#This Row],[Indicador]])</f>
        <v>1415.217551</v>
      </c>
      <c r="N18" s="56" t="str">
        <f t="shared" si="1"/>
        <v>MJ/Ha</v>
      </c>
      <c r="O18" s="23">
        <f>(Tabla2[[#This Row],[Indicador área]]*$B$5)</f>
        <v>49677560.866573416</v>
      </c>
      <c r="P18" s="68">
        <f>+Tabla2[[#This Row],[Consumo energía '[MJ/año']]]/$O$10</f>
        <v>0.25189137187822852</v>
      </c>
      <c r="Q18" s="23">
        <f>IF(Tabla2[[#This Row],[Energético]]="Energía Eléctrica",((Tabla2[[#This Row],[Participación]]*$D$30)/SUMIF(Tabla2[Energético],"Energía Eléctrica",Tabla2[Participación]))*$B$33,Tabla2[[#This Row],[Consumo energía '[MJ/año']]])</f>
        <v>49677560.866573416</v>
      </c>
    </row>
    <row r="19" spans="1:17" x14ac:dyDescent="0.2">
      <c r="A19" s="61" t="s">
        <v>76</v>
      </c>
      <c r="B19" s="14">
        <v>62463.539174402875</v>
      </c>
      <c r="F19" s="19" t="s">
        <v>40</v>
      </c>
      <c r="G19" s="20" t="s">
        <v>13</v>
      </c>
      <c r="H19" s="20" t="s">
        <v>3</v>
      </c>
      <c r="I19" s="20" t="s">
        <v>23</v>
      </c>
      <c r="J19" s="20" t="s">
        <v>20</v>
      </c>
      <c r="K19" s="21">
        <v>235.8783675</v>
      </c>
      <c r="L19" s="56" t="str">
        <f>IFERROR(RIGHT(Tabla2[[#This Row],[Unidades indicador producción]], LEN(Tabla2[[#This Row],[Unidades indicador producción]])-FIND("/", Tabla2[[#This Row],[Unidades indicador producción]])), "")</f>
        <v>Ha</v>
      </c>
      <c r="M19" s="57">
        <f>IF(Tabla2[[#This Row],[Parámetro]]="Tn",Tabla2[[#This Row],[Indicador]]*$B$7,Tabla2[[#This Row],[Indicador]])</f>
        <v>235.8783675</v>
      </c>
      <c r="N19" s="56" t="str">
        <f t="shared" si="1"/>
        <v>MJ/Ha</v>
      </c>
      <c r="O19" s="23">
        <f>(Tabla2[[#This Row],[Indicador área]]*$B$5)</f>
        <v>8279901.5248993495</v>
      </c>
      <c r="P19" s="68">
        <f>+Tabla2[[#This Row],[Consumo energía '[MJ/año']]]/$O$10</f>
        <v>4.1983457274104956E-2</v>
      </c>
      <c r="Q19" s="23">
        <f>IF(Tabla2[[#This Row],[Energético]]="Energía Eléctrica",((Tabla2[[#This Row],[Participación]]*$D$30)/SUMIF(Tabla2[Energético],"Energía Eléctrica",Tabla2[Participación]))*$B$33,Tabla2[[#This Row],[Consumo energía '[MJ/año']]])</f>
        <v>8279901.5248993495</v>
      </c>
    </row>
    <row r="20" spans="1:17" ht="25.5" x14ac:dyDescent="0.2">
      <c r="A20" s="13" t="s">
        <v>78</v>
      </c>
      <c r="B20" s="13">
        <v>3078295.8227322856</v>
      </c>
      <c r="C20" s="63" t="s">
        <v>79</v>
      </c>
      <c r="D20" s="62">
        <v>0.5</v>
      </c>
      <c r="F20" s="19" t="s">
        <v>40</v>
      </c>
      <c r="G20" s="20" t="s">
        <v>13</v>
      </c>
      <c r="H20" s="20" t="s">
        <v>3</v>
      </c>
      <c r="I20" s="20" t="s">
        <v>24</v>
      </c>
      <c r="J20" s="20" t="s">
        <v>20</v>
      </c>
      <c r="K20" s="21">
        <v>493.2330877</v>
      </c>
      <c r="L20" s="56" t="str">
        <f>IFERROR(RIGHT(Tabla2[[#This Row],[Unidades indicador producción]], LEN(Tabla2[[#This Row],[Unidades indicador producción]])-FIND("/", Tabla2[[#This Row],[Unidades indicador producción]])), "")</f>
        <v>Ha</v>
      </c>
      <c r="M20" s="57">
        <f>IF(Tabla2[[#This Row],[Parámetro]]="Tn",Tabla2[[#This Row],[Indicador]]*$B$7,Tabla2[[#This Row],[Indicador]])</f>
        <v>493.2330877</v>
      </c>
      <c r="N20" s="56" t="str">
        <f t="shared" si="1"/>
        <v>MJ/Ha</v>
      </c>
      <c r="O20" s="23">
        <f>(Tabla2[[#This Row],[Indicador área]]*$B$5)</f>
        <v>17313675.002342232</v>
      </c>
      <c r="P20" s="68">
        <f>+Tabla2[[#This Row],[Consumo energía '[MJ/año']]]/$O$10</f>
        <v>8.7789442003950668E-2</v>
      </c>
      <c r="Q20" s="23">
        <f>IF(Tabla2[[#This Row],[Energético]]="Energía Eléctrica",((Tabla2[[#This Row],[Participación]]*$D$30)/SUMIF(Tabla2[Energético],"Energía Eléctrica",Tabla2[Participación]))*$B$33,Tabla2[[#This Row],[Consumo energía '[MJ/año']]])</f>
        <v>17313675.002342232</v>
      </c>
    </row>
    <row r="21" spans="1:17" x14ac:dyDescent="0.2">
      <c r="F21" s="19" t="s">
        <v>40</v>
      </c>
      <c r="G21" s="20" t="s">
        <v>13</v>
      </c>
      <c r="H21" s="20" t="s">
        <v>4</v>
      </c>
      <c r="I21" s="20" t="s">
        <v>42</v>
      </c>
      <c r="J21" s="20" t="s">
        <v>20</v>
      </c>
      <c r="K21" s="21">
        <v>33.49</v>
      </c>
      <c r="L21" s="56" t="str">
        <f>IFERROR(RIGHT(Tabla2[[#This Row],[Unidades indicador producción]], LEN(Tabla2[[#This Row],[Unidades indicador producción]])-FIND("/", Tabla2[[#This Row],[Unidades indicador producción]])), "")</f>
        <v>Ha</v>
      </c>
      <c r="M21" s="57">
        <f>IF(Tabla2[[#This Row],[Parámetro]]="Tn",Tabla2[[#This Row],[Indicador]]*$B$7,Tabla2[[#This Row],[Indicador]])</f>
        <v>33.49</v>
      </c>
      <c r="N21" s="56" t="str">
        <f t="shared" si="1"/>
        <v>MJ/Ha</v>
      </c>
      <c r="O21" s="23">
        <f>(Tabla2[[#This Row],[Indicador área]]*$B$5)</f>
        <v>1175580.0458</v>
      </c>
      <c r="P21" s="68">
        <f>+Tabla2[[#This Row],[Consumo energía '[MJ/año']]]/$O$10</f>
        <v>5.9608093739659069E-3</v>
      </c>
      <c r="Q21" s="23">
        <f>IF(Tabla2[[#This Row],[Energético]]="Energía Eléctrica",((Tabla2[[#This Row],[Participación]]*$D$30)/SUMIF(Tabla2[Energético],"Energía Eléctrica",Tabla2[Participación]))*$B$33,Tabla2[[#This Row],[Consumo energía '[MJ/año']]])</f>
        <v>1175580.0458</v>
      </c>
    </row>
    <row r="22" spans="1:17" x14ac:dyDescent="0.2">
      <c r="F22" s="19" t="s">
        <v>40</v>
      </c>
      <c r="G22" s="20" t="s">
        <v>14</v>
      </c>
      <c r="H22" s="20" t="s">
        <v>3</v>
      </c>
      <c r="I22" s="20" t="s">
        <v>25</v>
      </c>
      <c r="J22" s="20" t="s">
        <v>20</v>
      </c>
      <c r="K22" s="21">
        <v>289.46153850000002</v>
      </c>
      <c r="L22" s="56" t="str">
        <f>IFERROR(RIGHT(Tabla2[[#This Row],[Unidades indicador producción]], LEN(Tabla2[[#This Row],[Unidades indicador producción]])-FIND("/", Tabla2[[#This Row],[Unidades indicador producción]])), "")</f>
        <v>Ha</v>
      </c>
      <c r="M22" s="57">
        <f>IF(Tabla2[[#This Row],[Parámetro]]="Tn",Tabla2[[#This Row],[Indicador]]*$B$7,Tabla2[[#This Row],[Indicador]])</f>
        <v>289.46153850000002</v>
      </c>
      <c r="N22" s="56" t="str">
        <f t="shared" si="1"/>
        <v>MJ/Ha</v>
      </c>
      <c r="O22" s="23">
        <f>(Tabla2[[#This Row],[Indicador área]]*$B$5)</f>
        <v>10160800.49827317</v>
      </c>
      <c r="P22" s="68">
        <f>+Tabla2[[#This Row],[Consumo energía '[MJ/año']]]/$O$10</f>
        <v>5.1520604720614906E-2</v>
      </c>
      <c r="Q22" s="23">
        <f>IF(Tabla2[[#This Row],[Energético]]="Energía Eléctrica",((Tabla2[[#This Row],[Participación]]*$D$30)/SUMIF(Tabla2[Energético],"Energía Eléctrica",Tabla2[Participación]))*$B$33,Tabla2[[#This Row],[Consumo energía '[MJ/año']]])</f>
        <v>10160800.49827317</v>
      </c>
    </row>
    <row r="23" spans="1:17" x14ac:dyDescent="0.2">
      <c r="F23" s="19" t="s">
        <v>40</v>
      </c>
      <c r="G23" s="20" t="s">
        <v>15</v>
      </c>
      <c r="H23" s="20" t="s">
        <v>3</v>
      </c>
      <c r="I23" s="20" t="s">
        <v>26</v>
      </c>
      <c r="J23" s="20" t="s">
        <v>20</v>
      </c>
      <c r="K23" s="21">
        <v>1299.129619</v>
      </c>
      <c r="L23" s="56" t="str">
        <f>IFERROR(RIGHT(Tabla2[[#This Row],[Unidades indicador producción]], LEN(Tabla2[[#This Row],[Unidades indicador producción]])-FIND("/", Tabla2[[#This Row],[Unidades indicador producción]])), "")</f>
        <v>Ha</v>
      </c>
      <c r="M23" s="57">
        <f>IF(Tabla2[[#This Row],[Parámetro]]="Tn",Tabla2[[#This Row],[Indicador]]*$B$7,Tabla2[[#This Row],[Indicador]])</f>
        <v>1299.129619</v>
      </c>
      <c r="N23" s="56" t="str">
        <f t="shared" si="1"/>
        <v>MJ/Ha</v>
      </c>
      <c r="O23" s="23">
        <f>(Tabla2[[#This Row],[Indicador área]]*$B$5)</f>
        <v>45602593.520577982</v>
      </c>
      <c r="P23" s="68">
        <f>+Tabla2[[#This Row],[Consumo energía '[MJ/año']]]/$O$10</f>
        <v>0.23122914335419401</v>
      </c>
      <c r="Q23" s="23">
        <f>IF(Tabla2[[#This Row],[Energético]]="Energía Eléctrica",((Tabla2[[#This Row],[Participación]]*$D$30)/SUMIF(Tabla2[Energético],"Energía Eléctrica",Tabla2[Participación]))*$B$33,Tabla2[[#This Row],[Consumo energía '[MJ/año']]])</f>
        <v>45602593.520577982</v>
      </c>
    </row>
    <row r="24" spans="1:17" x14ac:dyDescent="0.2">
      <c r="F24" s="19" t="s">
        <v>40</v>
      </c>
      <c r="G24" s="20" t="s">
        <v>15</v>
      </c>
      <c r="H24" s="20" t="s">
        <v>2</v>
      </c>
      <c r="I24" s="20" t="s">
        <v>26</v>
      </c>
      <c r="J24" s="20" t="s">
        <v>20</v>
      </c>
      <c r="K24" s="21">
        <v>92.040685710000005</v>
      </c>
      <c r="L24" s="56" t="str">
        <f>IFERROR(RIGHT(Tabla2[[#This Row],[Unidades indicador producción]], LEN(Tabla2[[#This Row],[Unidades indicador producción]])-FIND("/", Tabla2[[#This Row],[Unidades indicador producción]])), "")</f>
        <v>Ha</v>
      </c>
      <c r="M24" s="57">
        <f>IF(Tabla2[[#This Row],[Parámetro]]="Tn",Tabla2[[#This Row],[Indicador]]*$B$7,Tabla2[[#This Row],[Indicador]])</f>
        <v>92.040685710000005</v>
      </c>
      <c r="N24" s="56" t="str">
        <f t="shared" si="1"/>
        <v>MJ/Ha</v>
      </c>
      <c r="O24" s="23">
        <f>(Tabla2[[#This Row],[Indicador área]]*$B$5)</f>
        <v>3230850.8068804182</v>
      </c>
      <c r="P24" s="68">
        <f>+Tabla2[[#This Row],[Consumo energía '[MJ/año']]]/$O$10</f>
        <v>1.638211353139498E-2</v>
      </c>
      <c r="Q24" s="23">
        <f>IF(Tabla2[[#This Row],[Energético]]="Energía Eléctrica",((Tabla2[[#This Row],[Participación]]*$D$30)/SUMIF(Tabla2[Energético],"Energía Eléctrica",Tabla2[Participación]))*$B$33,Tabla2[[#This Row],[Consumo energía '[MJ/año']]])</f>
        <v>1205475.9833259156</v>
      </c>
    </row>
    <row r="27" spans="1:17" ht="15.75" x14ac:dyDescent="0.25">
      <c r="A27" s="70" t="s">
        <v>31</v>
      </c>
      <c r="B27" s="70"/>
      <c r="C27" s="70"/>
      <c r="D27" s="70"/>
    </row>
    <row r="29" spans="1:17" x14ac:dyDescent="0.2">
      <c r="A29" s="12" t="s">
        <v>0</v>
      </c>
      <c r="B29" s="12" t="s">
        <v>35</v>
      </c>
      <c r="C29" s="12" t="s">
        <v>36</v>
      </c>
      <c r="D29" s="12" t="s">
        <v>1</v>
      </c>
    </row>
    <row r="30" spans="1:17" x14ac:dyDescent="0.2">
      <c r="A30" s="13" t="s">
        <v>2</v>
      </c>
      <c r="B30" s="14">
        <f>B9</f>
        <v>1205475.9833259156</v>
      </c>
      <c r="C30" s="7">
        <f>Cebollas!$B30/1000000</f>
        <v>1.2054759833259157</v>
      </c>
      <c r="D30" s="15">
        <f>B30/$B$33</f>
        <v>6.1758214396332133E-3</v>
      </c>
    </row>
    <row r="31" spans="1:17" x14ac:dyDescent="0.2">
      <c r="A31" s="13" t="s">
        <v>3</v>
      </c>
      <c r="B31" s="4">
        <f>SUMIF(Tabla2[Energético],A31,Tabla2[Consumo energía '[MJ/año']])</f>
        <v>157910445.72233975</v>
      </c>
      <c r="C31" s="7">
        <f>Cebollas!$B31/1000000</f>
        <v>157.91044572233974</v>
      </c>
      <c r="D31" s="15">
        <f>B31/$B$33</f>
        <v>0.80899721746708397</v>
      </c>
    </row>
    <row r="32" spans="1:17" x14ac:dyDescent="0.2">
      <c r="A32" s="13" t="s">
        <v>4</v>
      </c>
      <c r="B32" s="4">
        <f>SUMIF(Tabla2[Energético],A32,Tabla2[Consumo energía '[MJ/año']])</f>
        <v>36076895.170450129</v>
      </c>
      <c r="C32" s="7">
        <f>Cebollas!$B32/1000000</f>
        <v>36.076895170450129</v>
      </c>
      <c r="D32" s="15">
        <f>B32/$B$33</f>
        <v>0.18482696109328281</v>
      </c>
    </row>
    <row r="33" spans="1:4" x14ac:dyDescent="0.2">
      <c r="A33" s="64" t="s">
        <v>87</v>
      </c>
      <c r="B33" s="65">
        <f>SUM(B30:B32)</f>
        <v>195192816.8761158</v>
      </c>
      <c r="C33" s="65">
        <f>SUM(C30:C32)</f>
        <v>195.19281687611578</v>
      </c>
      <c r="D33" s="66">
        <f>SUM(D30:D32)</f>
        <v>1</v>
      </c>
    </row>
    <row r="34" spans="1:4" x14ac:dyDescent="0.2">
      <c r="C34" s="28"/>
      <c r="D34" s="28"/>
    </row>
    <row r="37" spans="1:4" ht="18" x14ac:dyDescent="0.25">
      <c r="A37" s="71" t="s">
        <v>37</v>
      </c>
      <c r="B37" s="71"/>
      <c r="C37" s="71"/>
    </row>
    <row r="38" spans="1:4" x14ac:dyDescent="0.2">
      <c r="A38" s="6" t="str">
        <f>+A4</f>
        <v>Grupo Homogeneo</v>
      </c>
      <c r="B38" s="6" t="s">
        <v>32</v>
      </c>
      <c r="C38" s="6" t="s">
        <v>33</v>
      </c>
    </row>
    <row r="39" spans="1:4" x14ac:dyDescent="0.2">
      <c r="A39" s="29" t="str">
        <f>+$B$4</f>
        <v>Cebollas</v>
      </c>
      <c r="B39" s="25">
        <f>+B33/B5</f>
        <v>5560.6655289326436</v>
      </c>
      <c r="C39" s="25">
        <f>B39/B7</f>
        <v>222.44503515731608</v>
      </c>
    </row>
    <row r="44" spans="1:4" x14ac:dyDescent="0.2">
      <c r="C44" s="28"/>
    </row>
  </sheetData>
  <mergeCells count="4">
    <mergeCell ref="A27:D27"/>
    <mergeCell ref="F9:K9"/>
    <mergeCell ref="A37:C37"/>
    <mergeCell ref="A3:B3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6025C92-C95A-4C51-AC01-1A2B533DB7BD}">
          <x14:formula1>
            <xm:f>Participación!$A$1:$A$2</xm:f>
          </x14:formula1>
          <xm:sqref>A30:A32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F4780-7F24-44F2-8DA6-313B2915739D}">
  <dimension ref="A1:Q44"/>
  <sheetViews>
    <sheetView showGridLines="0" workbookViewId="0">
      <selection activeCell="A10" sqref="A10"/>
    </sheetView>
  </sheetViews>
  <sheetFormatPr baseColWidth="10" defaultRowHeight="12.75" x14ac:dyDescent="0.2"/>
  <cols>
    <col min="1" max="1" width="37.85546875" customWidth="1"/>
    <col min="2" max="4" width="16.42578125" customWidth="1"/>
    <col min="6" max="6" width="35" bestFit="1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11.7109375" customWidth="1"/>
    <col min="13" max="13" width="15" customWidth="1"/>
    <col min="15" max="15" width="24.5703125" customWidth="1"/>
    <col min="17" max="17" width="19.7109375" customWidth="1"/>
  </cols>
  <sheetData>
    <row r="1" spans="1:17" ht="18" x14ac:dyDescent="0.25">
      <c r="A1" s="11"/>
    </row>
    <row r="3" spans="1:17" ht="20.25" x14ac:dyDescent="0.2">
      <c r="A3" s="72" t="s">
        <v>80</v>
      </c>
      <c r="B3" s="73"/>
    </row>
    <row r="4" spans="1:17" x14ac:dyDescent="0.2">
      <c r="A4" s="3" t="s">
        <v>34</v>
      </c>
      <c r="B4" s="10" t="str">
        <f>+Participación!L7</f>
        <v>Hortalizas</v>
      </c>
    </row>
    <row r="5" spans="1:17" x14ac:dyDescent="0.2">
      <c r="A5" s="3" t="s">
        <v>72</v>
      </c>
      <c r="B5" s="4">
        <f>+GETPIVOTDATA("Suma de Area sembrada",Participación!$L$5,"Detalle","Hortalizas")</f>
        <v>29457.96</v>
      </c>
      <c r="C5" s="24" t="s">
        <v>84</v>
      </c>
    </row>
    <row r="6" spans="1:17" x14ac:dyDescent="0.2">
      <c r="A6" s="3" t="s">
        <v>73</v>
      </c>
      <c r="B6" s="4">
        <f>+GETPIVOTDATA("Suma de Área cosechada ",Participación!$L$5,"Detalle","Hortalizas")</f>
        <v>28701</v>
      </c>
    </row>
    <row r="7" spans="1:17" x14ac:dyDescent="0.2">
      <c r="A7" s="3" t="s">
        <v>5</v>
      </c>
      <c r="B7" s="4">
        <f>+GETPIVOTDATA("Promedio de Rendimiento",Participación!$L$5,"Detalle","Hortalizas")</f>
        <v>14.018931</v>
      </c>
      <c r="C7" s="24" t="s">
        <v>85</v>
      </c>
    </row>
    <row r="8" spans="1:17" x14ac:dyDescent="0.2">
      <c r="A8" s="5" t="s">
        <v>6</v>
      </c>
      <c r="B8" s="4">
        <f>B12</f>
        <v>281009.93304240913</v>
      </c>
      <c r="C8" s="24" t="s">
        <v>86</v>
      </c>
    </row>
    <row r="9" spans="1:17" ht="26.25" x14ac:dyDescent="0.25">
      <c r="A9" s="5" t="s">
        <v>96</v>
      </c>
      <c r="B9" s="14">
        <f>+B8*3.6</f>
        <v>1011635.7589526729</v>
      </c>
      <c r="F9" s="70" t="s">
        <v>88</v>
      </c>
      <c r="G9" s="70"/>
      <c r="H9" s="70"/>
      <c r="I9" s="70"/>
      <c r="J9" s="70"/>
      <c r="K9" s="70"/>
      <c r="Q9" s="8" t="s">
        <v>91</v>
      </c>
    </row>
    <row r="10" spans="1:17" ht="35.25" customHeight="1" x14ac:dyDescent="0.25">
      <c r="J10" s="2" t="s">
        <v>30</v>
      </c>
      <c r="O10" s="9">
        <f>SUM(Tabla26[Consumo energía '[MJ/año']])</f>
        <v>215870255.43666369</v>
      </c>
      <c r="Q10" s="69">
        <f>SUM(Tabla26[Consumo energía corregida '[MJ/año']])</f>
        <v>214170560.3575986</v>
      </c>
    </row>
    <row r="11" spans="1:17" s="1" customFormat="1" ht="25.5" x14ac:dyDescent="0.2">
      <c r="A11" s="26" t="s">
        <v>81</v>
      </c>
      <c r="B11" s="27">
        <f>+Cebollas!B11</f>
        <v>3723478.2464763611</v>
      </c>
      <c r="F11" s="16" t="s">
        <v>7</v>
      </c>
      <c r="G11" s="17" t="s">
        <v>8</v>
      </c>
      <c r="H11" s="17" t="s">
        <v>9</v>
      </c>
      <c r="I11" s="17" t="s">
        <v>16</v>
      </c>
      <c r="J11" s="18" t="s">
        <v>17</v>
      </c>
      <c r="K11" s="17" t="s">
        <v>18</v>
      </c>
      <c r="L11" s="17" t="s">
        <v>27</v>
      </c>
      <c r="M11" s="17" t="s">
        <v>28</v>
      </c>
      <c r="N11" s="17" t="s">
        <v>29</v>
      </c>
      <c r="O11" s="67" t="s">
        <v>89</v>
      </c>
      <c r="P11" s="67" t="s">
        <v>1</v>
      </c>
      <c r="Q11" s="67" t="s">
        <v>90</v>
      </c>
    </row>
    <row r="12" spans="1:17" ht="25.5" x14ac:dyDescent="0.2">
      <c r="A12" s="26" t="s">
        <v>82</v>
      </c>
      <c r="B12" s="27">
        <f>B11*GETPIVOTDATA("Suma de Area sembrada2",Participación!$L$5,"Detalle","Hortalizas")</f>
        <v>281009.93304240913</v>
      </c>
      <c r="F12" s="19" t="s">
        <v>40</v>
      </c>
      <c r="G12" s="20" t="s">
        <v>10</v>
      </c>
      <c r="H12" s="20" t="s">
        <v>3</v>
      </c>
      <c r="I12" s="20" t="s">
        <v>65</v>
      </c>
      <c r="J12" s="20" t="s">
        <v>20</v>
      </c>
      <c r="K12" s="21">
        <v>357.00256409999997</v>
      </c>
      <c r="L12" s="22" t="str">
        <f>IFERROR(RIGHT(Tabla26[[#This Row],[Unidades indicador producción]], LEN(Tabla26[[#This Row],[Unidades indicador producción]])-FIND("/", Tabla26[[#This Row],[Unidades indicador producción]])), "")</f>
        <v>Ha</v>
      </c>
      <c r="M12" s="23">
        <f>IF(Tabla26[[#This Row],[Parámetro]]="Tn",Tabla26[[#This Row],[Indicador]]*$B$7,Tabla26[[#This Row],[Indicador]])</f>
        <v>357.00256409999997</v>
      </c>
      <c r="N12" s="22" t="str">
        <f t="shared" ref="N12:N25" si="0">"MJ/Ha"</f>
        <v>MJ/Ha</v>
      </c>
      <c r="O12" s="23">
        <f>+Tabla26[[#This Row],[Indicador área]]*B6</f>
        <v>10246330.592234099</v>
      </c>
      <c r="P12" s="68">
        <f>+Tabla26[[#This Row],[Consumo energía '[MJ/año']]]/$O$10</f>
        <v>4.7465226608027856E-2</v>
      </c>
      <c r="Q12" s="23">
        <f>IF(Tabla26[[#This Row],[Energético]]="Energía Eléctrica",((Tabla26[[#This Row],[Participación]]*$D$30)/SUMIF(Tabla26[Energético],"Energía Eléctrica",Tabla26[Participación]))*$B$33,Tabla26[[#This Row],[Consumo energía '[MJ/año']]])</f>
        <v>10246330.592234099</v>
      </c>
    </row>
    <row r="13" spans="1:17" x14ac:dyDescent="0.2">
      <c r="F13" s="19" t="s">
        <v>40</v>
      </c>
      <c r="G13" s="20" t="s">
        <v>10</v>
      </c>
      <c r="H13" s="20" t="s">
        <v>4</v>
      </c>
      <c r="I13" s="20" t="s">
        <v>65</v>
      </c>
      <c r="J13" s="20" t="s">
        <v>20</v>
      </c>
      <c r="K13" s="21">
        <v>322.93928570000003</v>
      </c>
      <c r="L13" s="22" t="str">
        <f>IFERROR(RIGHT(Tabla26[[#This Row],[Unidades indicador producción]], LEN(Tabla26[[#This Row],[Unidades indicador producción]])-FIND("/", Tabla26[[#This Row],[Unidades indicador producción]])), "")</f>
        <v>Ha</v>
      </c>
      <c r="M13" s="23">
        <f>IF(Tabla26[[#This Row],[Parámetro]]="Tn",Tabla26[[#This Row],[Indicador]]*$B$7,Tabla26[[#This Row],[Indicador]])</f>
        <v>322.93928570000003</v>
      </c>
      <c r="N13" s="22" t="str">
        <f t="shared" si="0"/>
        <v>MJ/Ha</v>
      </c>
      <c r="O13" s="23">
        <f>+Tabla26[[#This Row],[Indicador área]]*B6</f>
        <v>9268680.4388757013</v>
      </c>
      <c r="P13" s="68">
        <f>+Tabla26[[#This Row],[Consumo energía '[MJ/año']]]/$O$10</f>
        <v>4.2936348132478729E-2</v>
      </c>
      <c r="Q13" s="23">
        <f>IF(Tabla26[[#This Row],[Energético]]="Energía Eléctrica",((Tabla26[[#This Row],[Participación]]*$D$30)/SUMIF(Tabla26[Energético],"Energía Eléctrica",Tabla26[Participación]))*$B$33,Tabla26[[#This Row],[Consumo energía '[MJ/año']]])</f>
        <v>9268680.4388757013</v>
      </c>
    </row>
    <row r="14" spans="1:17" x14ac:dyDescent="0.2">
      <c r="F14" s="19" t="s">
        <v>40</v>
      </c>
      <c r="G14" s="20" t="s">
        <v>11</v>
      </c>
      <c r="H14" s="20" t="s">
        <v>3</v>
      </c>
      <c r="I14" s="20" t="s">
        <v>19</v>
      </c>
      <c r="J14" s="20" t="s">
        <v>20</v>
      </c>
      <c r="K14" s="21">
        <v>434.19230770000001</v>
      </c>
      <c r="L14" s="22" t="str">
        <f>IFERROR(RIGHT(Tabla26[[#This Row],[Unidades indicador producción]], LEN(Tabla26[[#This Row],[Unidades indicador producción]])-FIND("/", Tabla26[[#This Row],[Unidades indicador producción]])), "")</f>
        <v>Ha</v>
      </c>
      <c r="M14" s="23">
        <f>IF(Tabla26[[#This Row],[Parámetro]]="Tn",Tabla26[[#This Row],[Indicador]]*$B$7,Tabla26[[#This Row],[Indicador]])</f>
        <v>434.19230770000001</v>
      </c>
      <c r="N14" s="22" t="str">
        <f t="shared" si="0"/>
        <v>MJ/Ha</v>
      </c>
      <c r="O14" s="23">
        <f>(Tabla26[[#This Row],[Indicador área]]*$B$5)</f>
        <v>12790419.632534292</v>
      </c>
      <c r="P14" s="68">
        <f>+Tabla26[[#This Row],[Consumo energía '[MJ/año']]]/$O$10</f>
        <v>5.9250495658430345E-2</v>
      </c>
      <c r="Q14" s="23">
        <f>IF(Tabla26[[#This Row],[Energético]]="Energía Eléctrica",((Tabla26[[#This Row],[Participación]]*$D$30)/SUMIF(Tabla26[Energético],"Energía Eléctrica",Tabla26[Participación]))*$B$33,Tabla26[[#This Row],[Consumo energía '[MJ/año']]])</f>
        <v>12790419.632534292</v>
      </c>
    </row>
    <row r="15" spans="1:17" x14ac:dyDescent="0.2">
      <c r="F15" s="19" t="s">
        <v>40</v>
      </c>
      <c r="G15" s="20" t="s">
        <v>11</v>
      </c>
      <c r="H15" s="20" t="s">
        <v>4</v>
      </c>
      <c r="I15" s="20" t="s">
        <v>19</v>
      </c>
      <c r="J15" s="20" t="s">
        <v>20</v>
      </c>
      <c r="K15" s="21">
        <v>118.2757773</v>
      </c>
      <c r="L15" s="56" t="str">
        <f>IFERROR(RIGHT(Tabla26[[#This Row],[Unidades indicador producción]], LEN(Tabla26[[#This Row],[Unidades indicador producción]])-FIND("/", Tabla26[[#This Row],[Unidades indicador producción]])), "")</f>
        <v>Ha</v>
      </c>
      <c r="M15" s="57">
        <f>IF(Tabla26[[#This Row],[Parámetro]]="Tn",Tabla26[[#This Row],[Indicador]]*$B$7,Tabla26[[#This Row],[Indicador]])</f>
        <v>118.2757773</v>
      </c>
      <c r="N15" s="56" t="str">
        <f t="shared" si="0"/>
        <v>MJ/Ha</v>
      </c>
      <c r="O15" s="23">
        <f>(Tabla26[[#This Row],[Indicador área]]*$B$5)</f>
        <v>3484163.1166723077</v>
      </c>
      <c r="P15" s="68">
        <f>+Tabla26[[#This Row],[Consumo energía '[MJ/año']]]/$O$10</f>
        <v>1.6140079649345489E-2</v>
      </c>
      <c r="Q15" s="23">
        <f>IF(Tabla26[[#This Row],[Energético]]="Energía Eléctrica",((Tabla26[[#This Row],[Participación]]*$D$30)/SUMIF(Tabla26[Energético],"Energía Eléctrica",Tabla26[Participación]))*$B$33,Tabla26[[#This Row],[Consumo energía '[MJ/año']]])</f>
        <v>3484163.1166723077</v>
      </c>
    </row>
    <row r="16" spans="1:17" x14ac:dyDescent="0.2">
      <c r="F16" s="19" t="s">
        <v>40</v>
      </c>
      <c r="G16" s="20" t="s">
        <v>12</v>
      </c>
      <c r="H16" s="20" t="s">
        <v>4</v>
      </c>
      <c r="I16" s="20" t="s">
        <v>21</v>
      </c>
      <c r="J16" s="20" t="s">
        <v>20</v>
      </c>
      <c r="K16" s="21">
        <v>234.1898085</v>
      </c>
      <c r="L16" s="56" t="str">
        <f>IFERROR(RIGHT(Tabla26[[#This Row],[Unidades indicador producción]], LEN(Tabla26[[#This Row],[Unidades indicador producción]])-FIND("/", Tabla26[[#This Row],[Unidades indicador producción]])), "")</f>
        <v>Ha</v>
      </c>
      <c r="M16" s="57">
        <f>IF(Tabla26[[#This Row],[Parámetro]]="Tn",Tabla26[[#This Row],[Indicador]]*$B$7,Tabla26[[#This Row],[Indicador]])</f>
        <v>234.1898085</v>
      </c>
      <c r="N16" s="56" t="str">
        <f t="shared" si="0"/>
        <v>MJ/Ha</v>
      </c>
      <c r="O16" s="23">
        <f>(Tabla26[[#This Row],[Indicador área]]*$B$5)</f>
        <v>6898754.0112006599</v>
      </c>
      <c r="P16" s="68">
        <f>+Tabla26[[#This Row],[Consumo energía '[MJ/año']]]/$O$10</f>
        <v>3.1957872089630031E-2</v>
      </c>
      <c r="Q16" s="23">
        <f>IF(Tabla26[[#This Row],[Energético]]="Energía Eléctrica",((Tabla26[[#This Row],[Participación]]*$D$30)/SUMIF(Tabla26[Energético],"Energía Eléctrica",Tabla26[Participación]))*$B$33,Tabla26[[#This Row],[Consumo energía '[MJ/año']]])</f>
        <v>6898754.0112006599</v>
      </c>
    </row>
    <row r="17" spans="1:17" x14ac:dyDescent="0.2">
      <c r="F17" s="19" t="s">
        <v>40</v>
      </c>
      <c r="G17" s="20" t="s">
        <v>41</v>
      </c>
      <c r="H17" s="20" t="s">
        <v>4</v>
      </c>
      <c r="I17" s="20" t="s">
        <v>42</v>
      </c>
      <c r="J17" s="20" t="s">
        <v>20</v>
      </c>
      <c r="K17" s="21">
        <v>341.98009070000001</v>
      </c>
      <c r="L17" s="56" t="str">
        <f>IFERROR(RIGHT(Tabla26[[#This Row],[Unidades indicador producción]], LEN(Tabla26[[#This Row],[Unidades indicador producción]])-FIND("/", Tabla26[[#This Row],[Unidades indicador producción]])), "")</f>
        <v>Ha</v>
      </c>
      <c r="M17" s="57">
        <f>IF(Tabla26[[#This Row],[Parámetro]]="Tn",Tabla26[[#This Row],[Indicador]]*$B$7,Tabla26[[#This Row],[Indicador]])</f>
        <v>341.98009070000001</v>
      </c>
      <c r="N17" s="56" t="str">
        <f t="shared" si="0"/>
        <v>MJ/Ha</v>
      </c>
      <c r="O17" s="23">
        <f>(Tabla26[[#This Row],[Indicador área]]*$B$5)</f>
        <v>10074035.832636971</v>
      </c>
      <c r="P17" s="68">
        <f>+Tabla26[[#This Row],[Consumo energía '[MJ/año']]]/$O$10</f>
        <v>4.6667086265586473E-2</v>
      </c>
      <c r="Q17" s="23">
        <f>IF(Tabla26[[#This Row],[Energético]]="Energía Eléctrica",((Tabla26[[#This Row],[Participación]]*$D$30)/SUMIF(Tabla26[Energético],"Energía Eléctrica",Tabla26[Participación]))*$B$33,Tabla26[[#This Row],[Consumo energía '[MJ/año']]])</f>
        <v>10074035.832636971</v>
      </c>
    </row>
    <row r="18" spans="1:17" x14ac:dyDescent="0.2">
      <c r="F18" s="19" t="s">
        <v>40</v>
      </c>
      <c r="G18" s="20" t="s">
        <v>13</v>
      </c>
      <c r="H18" s="20" t="s">
        <v>3</v>
      </c>
      <c r="I18" s="20" t="s">
        <v>22</v>
      </c>
      <c r="J18" s="20" t="s">
        <v>20</v>
      </c>
      <c r="K18" s="21">
        <v>1415.217551</v>
      </c>
      <c r="L18" s="56" t="str">
        <f>IFERROR(RIGHT(Tabla26[[#This Row],[Unidades indicador producción]], LEN(Tabla26[[#This Row],[Unidades indicador producción]])-FIND("/", Tabla26[[#This Row],[Unidades indicador producción]])), "")</f>
        <v>Ha</v>
      </c>
      <c r="M18" s="57">
        <f>IF(Tabla26[[#This Row],[Parámetro]]="Tn",Tabla26[[#This Row],[Indicador]]*$B$7,Tabla26[[#This Row],[Indicador]])</f>
        <v>1415.217551</v>
      </c>
      <c r="N18" s="56" t="str">
        <f t="shared" si="0"/>
        <v>MJ/Ha</v>
      </c>
      <c r="O18" s="23">
        <f>(Tabla26[[#This Row],[Indicador área]]*$B$5)</f>
        <v>41689422.008655958</v>
      </c>
      <c r="P18" s="68">
        <f>+Tabla26[[#This Row],[Consumo energía '[MJ/año']]]/$O$10</f>
        <v>0.19312258617717543</v>
      </c>
      <c r="Q18" s="23">
        <f>IF(Tabla26[[#This Row],[Energético]]="Energía Eléctrica",((Tabla26[[#This Row],[Participación]]*$D$30)/SUMIF(Tabla26[Energético],"Energía Eléctrica",Tabla26[Participación]))*$B$33,Tabla26[[#This Row],[Consumo energía '[MJ/año']]])</f>
        <v>41689422.008655958</v>
      </c>
    </row>
    <row r="19" spans="1:17" x14ac:dyDescent="0.2">
      <c r="F19" s="19" t="s">
        <v>40</v>
      </c>
      <c r="G19" s="20" t="s">
        <v>13</v>
      </c>
      <c r="H19" s="20" t="s">
        <v>3</v>
      </c>
      <c r="I19" s="20" t="s">
        <v>23</v>
      </c>
      <c r="J19" s="20" t="s">
        <v>20</v>
      </c>
      <c r="K19" s="21">
        <v>235.8783675</v>
      </c>
      <c r="L19" s="56" t="str">
        <f>IFERROR(RIGHT(Tabla26[[#This Row],[Unidades indicador producción]], LEN(Tabla26[[#This Row],[Unidades indicador producción]])-FIND("/", Tabla26[[#This Row],[Unidades indicador producción]])), "")</f>
        <v>Ha</v>
      </c>
      <c r="M19" s="57">
        <f>IF(Tabla26[[#This Row],[Parámetro]]="Tn",Tabla26[[#This Row],[Indicador]]*$B$7,Tabla26[[#This Row],[Indicador]])</f>
        <v>235.8783675</v>
      </c>
      <c r="N19" s="56" t="str">
        <f t="shared" si="0"/>
        <v>MJ/Ha</v>
      </c>
      <c r="O19" s="23">
        <f>(Tabla26[[#This Row],[Indicador área]]*$B$5)</f>
        <v>6948495.5146802999</v>
      </c>
      <c r="P19" s="68">
        <f>+Tabla26[[#This Row],[Consumo energía '[MJ/año']]]/$O$10</f>
        <v>3.2188295236065943E-2</v>
      </c>
      <c r="Q19" s="23">
        <f>IF(Tabla26[[#This Row],[Energético]]="Energía Eléctrica",((Tabla26[[#This Row],[Participación]]*$D$30)/SUMIF(Tabla26[Energético],"Energía Eléctrica",Tabla26[Participación]))*$B$33,Tabla26[[#This Row],[Consumo energía '[MJ/año']]])</f>
        <v>6948495.5146802999</v>
      </c>
    </row>
    <row r="20" spans="1:17" x14ac:dyDescent="0.2">
      <c r="F20" s="19" t="s">
        <v>40</v>
      </c>
      <c r="G20" s="20" t="s">
        <v>13</v>
      </c>
      <c r="H20" s="20" t="s">
        <v>3</v>
      </c>
      <c r="I20" s="20" t="s">
        <v>43</v>
      </c>
      <c r="J20" s="20" t="s">
        <v>20</v>
      </c>
      <c r="K20" s="21">
        <v>1678.5202039999999</v>
      </c>
      <c r="L20" s="56" t="str">
        <f>IFERROR(RIGHT(Tabla26[[#This Row],[Unidades indicador producción]], LEN(Tabla26[[#This Row],[Unidades indicador producción]])-FIND("/", Tabla26[[#This Row],[Unidades indicador producción]])), "")</f>
        <v>Ha</v>
      </c>
      <c r="M20" s="57">
        <f>IF(Tabla26[[#This Row],[Parámetro]]="Tn",Tabla26[[#This Row],[Indicador]]*$B$7,Tabla26[[#This Row],[Indicador]])</f>
        <v>1678.5202039999999</v>
      </c>
      <c r="N20" s="56" t="str">
        <f t="shared" si="0"/>
        <v>MJ/Ha</v>
      </c>
      <c r="O20" s="23">
        <f>(Tabla26[[#This Row],[Indicador área]]*$B$5)</f>
        <v>49445781.028623834</v>
      </c>
      <c r="P20" s="68">
        <f>+Tabla26[[#This Row],[Consumo energía '[MJ/año']]]/$O$10</f>
        <v>0.2290532381527256</v>
      </c>
      <c r="Q20" s="23">
        <f>IF(Tabla26[[#This Row],[Energético]]="Energía Eléctrica",((Tabla26[[#This Row],[Participación]]*$D$30)/SUMIF(Tabla26[Energético],"Energía Eléctrica",Tabla26[Participación]))*$B$33,Tabla26[[#This Row],[Consumo energía '[MJ/año']]])</f>
        <v>49445781.028623834</v>
      </c>
    </row>
    <row r="21" spans="1:17" x14ac:dyDescent="0.2">
      <c r="F21" s="19" t="s">
        <v>40</v>
      </c>
      <c r="G21" s="20" t="s">
        <v>13</v>
      </c>
      <c r="H21" s="20" t="s">
        <v>3</v>
      </c>
      <c r="I21" s="20" t="s">
        <v>24</v>
      </c>
      <c r="J21" s="20" t="s">
        <v>20</v>
      </c>
      <c r="K21" s="21">
        <v>493.2330877</v>
      </c>
      <c r="L21" s="56" t="str">
        <f>IFERROR(RIGHT(Tabla26[[#This Row],[Unidades indicador producción]], LEN(Tabla26[[#This Row],[Unidades indicador producción]])-FIND("/", Tabla26[[#This Row],[Unidades indicador producción]])), "")</f>
        <v>Ha</v>
      </c>
      <c r="M21" s="57">
        <f>IF(Tabla26[[#This Row],[Parámetro]]="Tn",Tabla26[[#This Row],[Indicador]]*$B$7,Tabla26[[#This Row],[Indicador]])</f>
        <v>493.2330877</v>
      </c>
      <c r="N21" s="56" t="str">
        <f t="shared" si="0"/>
        <v>MJ/Ha</v>
      </c>
      <c r="O21" s="23">
        <f>(Tabla26[[#This Row],[Indicador área]]*$B$5)</f>
        <v>14529640.568143092</v>
      </c>
      <c r="P21" s="68">
        <f>+Tabla26[[#This Row],[Consumo energía '[MJ/año']]]/$O$10</f>
        <v>6.7307283899546252E-2</v>
      </c>
      <c r="Q21" s="23">
        <f>IF(Tabla26[[#This Row],[Energético]]="Energía Eléctrica",((Tabla26[[#This Row],[Participación]]*$D$30)/SUMIF(Tabla26[Energético],"Energía Eléctrica",Tabla26[Participación]))*$B$33,Tabla26[[#This Row],[Consumo energía '[MJ/año']]])</f>
        <v>14529640.568143092</v>
      </c>
    </row>
    <row r="22" spans="1:17" x14ac:dyDescent="0.2">
      <c r="F22" s="19" t="s">
        <v>40</v>
      </c>
      <c r="G22" s="20" t="s">
        <v>13</v>
      </c>
      <c r="H22" s="20" t="s">
        <v>4</v>
      </c>
      <c r="I22" s="20" t="s">
        <v>42</v>
      </c>
      <c r="J22" s="20" t="s">
        <v>20</v>
      </c>
      <c r="K22" s="21">
        <v>33.49</v>
      </c>
      <c r="L22" s="56" t="str">
        <f>IFERROR(RIGHT(Tabla26[[#This Row],[Unidades indicador producción]], LEN(Tabla26[[#This Row],[Unidades indicador producción]])-FIND("/", Tabla26[[#This Row],[Unidades indicador producción]])), "")</f>
        <v>Ha</v>
      </c>
      <c r="M22" s="57">
        <f>IF(Tabla26[[#This Row],[Parámetro]]="Tn",Tabla26[[#This Row],[Indicador]]*$B$7,Tabla26[[#This Row],[Indicador]])</f>
        <v>33.49</v>
      </c>
      <c r="N22" s="56" t="str">
        <f t="shared" si="0"/>
        <v>MJ/Ha</v>
      </c>
      <c r="O22" s="23">
        <f>(Tabla26[[#This Row],[Indicador área]]*$B$5)</f>
        <v>986547.08039999998</v>
      </c>
      <c r="P22" s="68">
        <f>+Tabla26[[#This Row],[Consumo energía '[MJ/año']]]/$O$10</f>
        <v>4.5700927087171245E-3</v>
      </c>
      <c r="Q22" s="23">
        <f>IF(Tabla26[[#This Row],[Energético]]="Energía Eléctrica",((Tabla26[[#This Row],[Participación]]*$D$30)/SUMIF(Tabla26[Energético],"Energía Eléctrica",Tabla26[Participación]))*$B$33,Tabla26[[#This Row],[Consumo energía '[MJ/año']]])</f>
        <v>986547.08039999998</v>
      </c>
    </row>
    <row r="23" spans="1:17" x14ac:dyDescent="0.2">
      <c r="F23" s="19" t="s">
        <v>40</v>
      </c>
      <c r="G23" s="20" t="s">
        <v>14</v>
      </c>
      <c r="H23" s="20" t="s">
        <v>3</v>
      </c>
      <c r="I23" s="20" t="s">
        <v>25</v>
      </c>
      <c r="J23" s="20" t="s">
        <v>20</v>
      </c>
      <c r="K23" s="21">
        <v>289.46153850000002</v>
      </c>
      <c r="L23" s="56" t="str">
        <f>IFERROR(RIGHT(Tabla26[[#This Row],[Unidades indicador producción]], LEN(Tabla26[[#This Row],[Unidades indicador producción]])-FIND("/", Tabla26[[#This Row],[Unidades indicador producción]])), "")</f>
        <v>Ha</v>
      </c>
      <c r="M23" s="57">
        <f>IF(Tabla26[[#This Row],[Parámetro]]="Tn",Tabla26[[#This Row],[Indicador]]*$B$7,Tabla26[[#This Row],[Indicador]])</f>
        <v>289.46153850000002</v>
      </c>
      <c r="N23" s="56" t="str">
        <f t="shared" si="0"/>
        <v>MJ/Ha</v>
      </c>
      <c r="O23" s="23">
        <f>(Tabla26[[#This Row],[Indicador área]]*$B$5)</f>
        <v>8526946.4226714596</v>
      </c>
      <c r="P23" s="68">
        <f>+Tabla26[[#This Row],[Consumo energía '[MJ/año']]]/$O$10</f>
        <v>3.9500330443502277E-2</v>
      </c>
      <c r="Q23" s="23">
        <f>IF(Tabla26[[#This Row],[Energético]]="Energía Eléctrica",((Tabla26[[#This Row],[Participación]]*$D$30)/SUMIF(Tabla26[Energético],"Energía Eléctrica",Tabla26[Participación]))*$B$33,Tabla26[[#This Row],[Consumo energía '[MJ/año']]])</f>
        <v>8526946.4226714596</v>
      </c>
    </row>
    <row r="24" spans="1:17" x14ac:dyDescent="0.2">
      <c r="F24" s="19" t="s">
        <v>40</v>
      </c>
      <c r="G24" s="20" t="s">
        <v>15</v>
      </c>
      <c r="H24" s="20" t="s">
        <v>3</v>
      </c>
      <c r="I24" s="20" t="s">
        <v>26</v>
      </c>
      <c r="J24" s="20" t="s">
        <v>20</v>
      </c>
      <c r="K24" s="21">
        <v>1299.129619</v>
      </c>
      <c r="L24" s="56" t="str">
        <f>IFERROR(RIGHT(Tabla26[[#This Row],[Unidades indicador producción]], LEN(Tabla26[[#This Row],[Unidades indicador producción]])-FIND("/", Tabla26[[#This Row],[Unidades indicador producción]])), "")</f>
        <v>Ha</v>
      </c>
      <c r="M24" s="57">
        <f>IF(Tabla26[[#This Row],[Parámetro]]="Tn",Tabla26[[#This Row],[Indicador]]*$B$7,Tabla26[[#This Row],[Indicador]])</f>
        <v>1299.129619</v>
      </c>
      <c r="N24" s="56" t="str">
        <f t="shared" si="0"/>
        <v>MJ/Ha</v>
      </c>
      <c r="O24" s="23">
        <f>(Tabla26[[#This Row],[Indicador área]]*$B$5)</f>
        <v>38269708.351317242</v>
      </c>
      <c r="P24" s="68">
        <f>+Tabla26[[#This Row],[Consumo energía '[MJ/año']]]/$O$10</f>
        <v>0.17728106298806678</v>
      </c>
      <c r="Q24" s="23">
        <f>IF(Tabla26[[#This Row],[Energético]]="Energía Eléctrica",((Tabla26[[#This Row],[Participación]]*$D$30)/SUMIF(Tabla26[Energético],"Energía Eléctrica",Tabla26[Participación]))*$B$33,Tabla26[[#This Row],[Consumo energía '[MJ/año']]])</f>
        <v>38269708.351317242</v>
      </c>
    </row>
    <row r="25" spans="1:17" x14ac:dyDescent="0.2">
      <c r="F25" s="19" t="s">
        <v>40</v>
      </c>
      <c r="G25" s="20" t="s">
        <v>15</v>
      </c>
      <c r="H25" s="20" t="s">
        <v>2</v>
      </c>
      <c r="I25" s="20" t="s">
        <v>26</v>
      </c>
      <c r="J25" s="20" t="s">
        <v>20</v>
      </c>
      <c r="K25" s="21">
        <v>92.040685710000005</v>
      </c>
      <c r="L25" s="56" t="str">
        <f>IFERROR(RIGHT(Tabla26[[#This Row],[Unidades indicador producción]], LEN(Tabla26[[#This Row],[Unidades indicador producción]])-FIND("/", Tabla26[[#This Row],[Unidades indicador producción]])), "")</f>
        <v>Ha</v>
      </c>
      <c r="M25" s="57">
        <f>IF(Tabla26[[#This Row],[Parámetro]]="Tn",Tabla26[[#This Row],[Indicador]]*$B$7,Tabla26[[#This Row],[Indicador]])</f>
        <v>92.040685710000005</v>
      </c>
      <c r="N25" s="56" t="str">
        <f t="shared" si="0"/>
        <v>MJ/Ha</v>
      </c>
      <c r="O25" s="23">
        <f>(Tabla26[[#This Row],[Indicador área]]*$B$5)</f>
        <v>2711330.8380177515</v>
      </c>
      <c r="P25" s="68">
        <f>+Tabla26[[#This Row],[Consumo energía '[MJ/año']]]/$O$10</f>
        <v>1.2560001990701565E-2</v>
      </c>
      <c r="Q25" s="23">
        <f>IF(Tabla26[[#This Row],[Energético]]="Energía Eléctrica",((Tabla26[[#This Row],[Participación]]*$D$30)/SUMIF(Tabla26[Energético],"Energía Eléctrica",Tabla26[Participación]))*$B$33,Tabla26[[#This Row],[Consumo energía '[MJ/año']]])</f>
        <v>1011635.7589526728</v>
      </c>
    </row>
    <row r="27" spans="1:17" ht="15.75" x14ac:dyDescent="0.25">
      <c r="A27" s="70" t="s">
        <v>31</v>
      </c>
      <c r="B27" s="70"/>
      <c r="C27" s="70"/>
      <c r="D27" s="70"/>
    </row>
    <row r="29" spans="1:17" x14ac:dyDescent="0.2">
      <c r="A29" s="12" t="s">
        <v>0</v>
      </c>
      <c r="B29" s="12" t="s">
        <v>35</v>
      </c>
      <c r="C29" s="12" t="s">
        <v>36</v>
      </c>
      <c r="D29" s="12" t="s">
        <v>1</v>
      </c>
    </row>
    <row r="30" spans="1:17" x14ac:dyDescent="0.2">
      <c r="A30" s="13" t="s">
        <v>2</v>
      </c>
      <c r="B30" s="14">
        <f>B9</f>
        <v>1011635.7589526729</v>
      </c>
      <c r="C30" s="7">
        <f>Hortalizas!$B30/1000000</f>
        <v>1.011635758952673</v>
      </c>
      <c r="D30" s="15">
        <f>B30/$B$33</f>
        <v>4.7235052159529016E-3</v>
      </c>
    </row>
    <row r="31" spans="1:17" x14ac:dyDescent="0.2">
      <c r="A31" s="13" t="s">
        <v>3</v>
      </c>
      <c r="B31" s="4">
        <f>SUMIF(Tabla26[Energético],A31,Tabla26[Consumo energía '[MJ/año']])</f>
        <v>182446744.1188603</v>
      </c>
      <c r="C31" s="7">
        <f>Hortalizas!$B31/1000000</f>
        <v>182.44674411886029</v>
      </c>
      <c r="D31" s="15">
        <f>B31/$B$33</f>
        <v>0.85187592456325767</v>
      </c>
    </row>
    <row r="32" spans="1:17" x14ac:dyDescent="0.2">
      <c r="A32" s="13" t="s">
        <v>4</v>
      </c>
      <c r="B32" s="4">
        <f>SUMIF(Tabla26[Energético],A32,Tabla26[Consumo energía '[MJ/año']])</f>
        <v>30712180.47978564</v>
      </c>
      <c r="C32" s="7">
        <f>Hortalizas!$B32/1000000</f>
        <v>30.712180479785641</v>
      </c>
      <c r="D32" s="15">
        <f>B32/$B$33</f>
        <v>0.14340057022078942</v>
      </c>
    </row>
    <row r="33" spans="1:4" x14ac:dyDescent="0.2">
      <c r="A33" s="64" t="s">
        <v>87</v>
      </c>
      <c r="B33" s="65">
        <f>SUM(B30:B32)</f>
        <v>214170560.35759863</v>
      </c>
      <c r="C33" s="65">
        <f>SUM(C30:C32)</f>
        <v>214.17056035759862</v>
      </c>
      <c r="D33" s="66">
        <f>SUM(D30:D32)</f>
        <v>1</v>
      </c>
    </row>
    <row r="34" spans="1:4" x14ac:dyDescent="0.2">
      <c r="C34" s="28"/>
      <c r="D34" s="28"/>
    </row>
    <row r="37" spans="1:4" ht="18" x14ac:dyDescent="0.25">
      <c r="A37" s="71" t="s">
        <v>37</v>
      </c>
      <c r="B37" s="71"/>
      <c r="C37" s="71"/>
    </row>
    <row r="38" spans="1:4" x14ac:dyDescent="0.2">
      <c r="A38" s="6" t="str">
        <f>+A4</f>
        <v>Grupo Homogeneo</v>
      </c>
      <c r="B38" s="6" t="s">
        <v>32</v>
      </c>
      <c r="C38" s="6" t="s">
        <v>33</v>
      </c>
    </row>
    <row r="39" spans="1:4" x14ac:dyDescent="0.2">
      <c r="A39" s="29" t="str">
        <f>+$B$4</f>
        <v>Hortalizas</v>
      </c>
      <c r="B39" s="25">
        <f>+B33/B5</f>
        <v>7270.3799026680272</v>
      </c>
      <c r="C39" s="25">
        <f>B39/B7</f>
        <v>518.61157620848746</v>
      </c>
    </row>
    <row r="44" spans="1:4" x14ac:dyDescent="0.2">
      <c r="C44" s="28"/>
    </row>
  </sheetData>
  <mergeCells count="4">
    <mergeCell ref="A3:B3"/>
    <mergeCell ref="F9:K9"/>
    <mergeCell ref="A27:D27"/>
    <mergeCell ref="A37:C37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B259D1A-157A-4AD2-B599-1ADE32B10DFC}">
          <x14:formula1>
            <xm:f>Participación!$A$1:$A$2</xm:f>
          </x14:formula1>
          <xm:sqref>A30:A32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2DA44-956A-44AD-88CD-BB24C51675B4}">
  <dimension ref="A1:Q44"/>
  <sheetViews>
    <sheetView showGridLines="0" topLeftCell="I1" workbookViewId="0">
      <selection activeCell="Q10" sqref="Q10"/>
    </sheetView>
  </sheetViews>
  <sheetFormatPr baseColWidth="10" defaultRowHeight="12.75" x14ac:dyDescent="0.2"/>
  <cols>
    <col min="1" max="1" width="37.85546875" customWidth="1"/>
    <col min="2" max="4" width="16.42578125" customWidth="1"/>
    <col min="6" max="6" width="35" bestFit="1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11.7109375" customWidth="1"/>
    <col min="13" max="13" width="15" customWidth="1"/>
    <col min="15" max="15" width="24.5703125" customWidth="1"/>
    <col min="17" max="17" width="18.28515625" customWidth="1"/>
  </cols>
  <sheetData>
    <row r="1" spans="1:17" ht="18" x14ac:dyDescent="0.25">
      <c r="A1" s="11"/>
    </row>
    <row r="3" spans="1:17" ht="20.25" x14ac:dyDescent="0.2">
      <c r="A3" s="72" t="s">
        <v>80</v>
      </c>
      <c r="B3" s="73"/>
    </row>
    <row r="4" spans="1:17" x14ac:dyDescent="0.2">
      <c r="A4" s="3" t="s">
        <v>34</v>
      </c>
      <c r="B4" s="10" t="str">
        <f>+Participación!L8</f>
        <v>Hortalizas de fruto</v>
      </c>
    </row>
    <row r="5" spans="1:17" x14ac:dyDescent="0.2">
      <c r="A5" s="3" t="s">
        <v>72</v>
      </c>
      <c r="B5" s="4">
        <f>+GETPIVOTDATA("Suma de Area sembrada",Participación!$L$5,"Detalle","Hortalizas de fruto")</f>
        <v>38535.759999999995</v>
      </c>
      <c r="C5" s="24" t="s">
        <v>84</v>
      </c>
    </row>
    <row r="6" spans="1:17" x14ac:dyDescent="0.2">
      <c r="A6" s="3" t="s">
        <v>73</v>
      </c>
      <c r="B6" s="4">
        <f>+GETPIVOTDATA("Suma de Área cosechada ",Participación!$L$5,"Detalle","Hortalizas de fruto")</f>
        <v>29101</v>
      </c>
    </row>
    <row r="7" spans="1:17" x14ac:dyDescent="0.2">
      <c r="A7" s="3" t="s">
        <v>5</v>
      </c>
      <c r="B7" s="4">
        <f>+GETPIVOTDATA("Promedio de Rendimiento",Participación!$L$5,"Detalle","Hortalizas de fruto")</f>
        <v>41.687969500000001</v>
      </c>
      <c r="C7" s="24" t="s">
        <v>85</v>
      </c>
    </row>
    <row r="8" spans="1:17" x14ac:dyDescent="0.2">
      <c r="A8" s="5" t="s">
        <v>6</v>
      </c>
      <c r="B8" s="4">
        <f>B12</f>
        <v>367606.28832880309</v>
      </c>
      <c r="C8" s="24" t="s">
        <v>86</v>
      </c>
    </row>
    <row r="9" spans="1:17" ht="26.25" x14ac:dyDescent="0.25">
      <c r="A9" s="5" t="s">
        <v>96</v>
      </c>
      <c r="B9" s="14">
        <f>+B8*3.6</f>
        <v>1323382.6379836912</v>
      </c>
      <c r="F9" s="70" t="s">
        <v>88</v>
      </c>
      <c r="G9" s="70"/>
      <c r="H9" s="70"/>
      <c r="I9" s="70"/>
      <c r="J9" s="70"/>
      <c r="K9" s="70"/>
      <c r="Q9" s="8" t="s">
        <v>91</v>
      </c>
    </row>
    <row r="10" spans="1:17" ht="35.25" customHeight="1" x14ac:dyDescent="0.25">
      <c r="J10" s="2" t="s">
        <v>30</v>
      </c>
      <c r="O10" s="9">
        <f>SUM(Tabla267[Consumo energía '[MJ/año']])</f>
        <v>276651297.89819974</v>
      </c>
      <c r="Q10" s="69">
        <f>SUM(Tabla267[Consumo energía corregida '[MJ/año']])</f>
        <v>274427822.7614274</v>
      </c>
    </row>
    <row r="11" spans="1:17" s="1" customFormat="1" ht="25.5" x14ac:dyDescent="0.2">
      <c r="A11" s="26" t="s">
        <v>81</v>
      </c>
      <c r="B11" s="27">
        <f>+Cebollas!B11</f>
        <v>3723478.2464763611</v>
      </c>
      <c r="F11" s="16" t="s">
        <v>7</v>
      </c>
      <c r="G11" s="17" t="s">
        <v>8</v>
      </c>
      <c r="H11" s="17" t="s">
        <v>9</v>
      </c>
      <c r="I11" s="17" t="s">
        <v>16</v>
      </c>
      <c r="J11" s="18" t="s">
        <v>17</v>
      </c>
      <c r="K11" s="17" t="s">
        <v>18</v>
      </c>
      <c r="L11" s="17" t="s">
        <v>27</v>
      </c>
      <c r="M11" s="17" t="s">
        <v>28</v>
      </c>
      <c r="N11" s="17" t="s">
        <v>29</v>
      </c>
      <c r="O11" s="67" t="s">
        <v>89</v>
      </c>
      <c r="P11" s="67" t="s">
        <v>1</v>
      </c>
      <c r="Q11" s="67" t="s">
        <v>90</v>
      </c>
    </row>
    <row r="12" spans="1:17" ht="25.5" x14ac:dyDescent="0.2">
      <c r="A12" s="26" t="s">
        <v>93</v>
      </c>
      <c r="B12" s="27">
        <f>B11*GETPIVOTDATA("Suma de Area sembrada2",Participación!$L$5,"Detalle","Hortalizas de fruto")</f>
        <v>367606.28832880309</v>
      </c>
      <c r="F12" s="19" t="s">
        <v>40</v>
      </c>
      <c r="G12" s="20" t="s">
        <v>10</v>
      </c>
      <c r="H12" s="20" t="s">
        <v>3</v>
      </c>
      <c r="I12" s="20" t="s">
        <v>65</v>
      </c>
      <c r="J12" s="20" t="s">
        <v>20</v>
      </c>
      <c r="K12" s="21">
        <v>357.00256409999997</v>
      </c>
      <c r="L12" s="22" t="str">
        <f>IFERROR(RIGHT(Tabla267[[#This Row],[Unidades indicador producción]], LEN(Tabla267[[#This Row],[Unidades indicador producción]])-FIND("/", Tabla267[[#This Row],[Unidades indicador producción]])), "")</f>
        <v>Ha</v>
      </c>
      <c r="M12" s="23">
        <f>IF(Tabla267[[#This Row],[Parámetro]]="Tn",Tabla267[[#This Row],[Indicador]]*$B$7,Tabla267[[#This Row],[Indicador]])</f>
        <v>357.00256409999997</v>
      </c>
      <c r="N12" s="22" t="str">
        <f t="shared" ref="N12:N25" si="0">"MJ/Ha"</f>
        <v>MJ/Ha</v>
      </c>
      <c r="O12" s="23">
        <f>+Tabla267[[#This Row],[Indicador área]]*B6</f>
        <v>10389131.617874099</v>
      </c>
      <c r="P12" s="68">
        <f>+Tabla267[[#This Row],[Consumo energía '[MJ/año']]]/$O$10</f>
        <v>3.75531642063614E-2</v>
      </c>
      <c r="Q12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10389131.617874099</v>
      </c>
    </row>
    <row r="13" spans="1:17" x14ac:dyDescent="0.2">
      <c r="F13" s="19" t="s">
        <v>40</v>
      </c>
      <c r="G13" s="20" t="s">
        <v>10</v>
      </c>
      <c r="H13" s="20" t="s">
        <v>4</v>
      </c>
      <c r="I13" s="20" t="s">
        <v>65</v>
      </c>
      <c r="J13" s="20" t="s">
        <v>20</v>
      </c>
      <c r="K13" s="21">
        <v>322.93928570000003</v>
      </c>
      <c r="L13" s="22" t="str">
        <f>IFERROR(RIGHT(Tabla267[[#This Row],[Unidades indicador producción]], LEN(Tabla267[[#This Row],[Unidades indicador producción]])-FIND("/", Tabla267[[#This Row],[Unidades indicador producción]])), "")</f>
        <v>Ha</v>
      </c>
      <c r="M13" s="23">
        <f>IF(Tabla267[[#This Row],[Parámetro]]="Tn",Tabla267[[#This Row],[Indicador]]*$B$7,Tabla267[[#This Row],[Indicador]])</f>
        <v>322.93928570000003</v>
      </c>
      <c r="N13" s="22" t="str">
        <f t="shared" si="0"/>
        <v>MJ/Ha</v>
      </c>
      <c r="O13" s="23">
        <f>+Tabla267[[#This Row],[Indicador área]]*B6</f>
        <v>9397856.1531557012</v>
      </c>
      <c r="P13" s="68">
        <f>+Tabla267[[#This Row],[Consumo energía '[MJ/año']]]/$O$10</f>
        <v>3.3970041798299676E-2</v>
      </c>
      <c r="Q13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9397856.1531557012</v>
      </c>
    </row>
    <row r="14" spans="1:17" x14ac:dyDescent="0.2">
      <c r="F14" s="19" t="s">
        <v>40</v>
      </c>
      <c r="G14" s="20" t="s">
        <v>11</v>
      </c>
      <c r="H14" s="20" t="s">
        <v>3</v>
      </c>
      <c r="I14" s="20" t="s">
        <v>19</v>
      </c>
      <c r="J14" s="20" t="s">
        <v>20</v>
      </c>
      <c r="K14" s="21">
        <v>434.19230770000001</v>
      </c>
      <c r="L14" s="22" t="str">
        <f>IFERROR(RIGHT(Tabla267[[#This Row],[Unidades indicador producción]], LEN(Tabla267[[#This Row],[Unidades indicador producción]])-FIND("/", Tabla267[[#This Row],[Unidades indicador producción]])), "")</f>
        <v>Ha</v>
      </c>
      <c r="M14" s="23">
        <f>IF(Tabla267[[#This Row],[Parámetro]]="Tn",Tabla267[[#This Row],[Indicador]]*$B$7,Tabla267[[#This Row],[Indicador]])</f>
        <v>434.19230770000001</v>
      </c>
      <c r="N14" s="22" t="str">
        <f t="shared" si="0"/>
        <v>MJ/Ha</v>
      </c>
      <c r="O14" s="23">
        <f>(Tabla267[[#This Row],[Indicador área]]*$B$5)</f>
        <v>16731930.56337335</v>
      </c>
      <c r="P14" s="68">
        <f>+Tabla267[[#This Row],[Consumo energía '[MJ/año']]]/$O$10</f>
        <v>6.0480217119856967E-2</v>
      </c>
      <c r="Q14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16731930.56337335</v>
      </c>
    </row>
    <row r="15" spans="1:17" x14ac:dyDescent="0.2">
      <c r="F15" s="19" t="s">
        <v>40</v>
      </c>
      <c r="G15" s="20" t="s">
        <v>11</v>
      </c>
      <c r="H15" s="20" t="s">
        <v>4</v>
      </c>
      <c r="I15" s="20" t="s">
        <v>19</v>
      </c>
      <c r="J15" s="20" t="s">
        <v>20</v>
      </c>
      <c r="K15" s="21">
        <v>118.2757773</v>
      </c>
      <c r="L15" s="56" t="str">
        <f>IFERROR(RIGHT(Tabla267[[#This Row],[Unidades indicador producción]], LEN(Tabla267[[#This Row],[Unidades indicador producción]])-FIND("/", Tabla267[[#This Row],[Unidades indicador producción]])), "")</f>
        <v>Ha</v>
      </c>
      <c r="M15" s="57">
        <f>IF(Tabla267[[#This Row],[Parámetro]]="Tn",Tabla267[[#This Row],[Indicador]]*$B$7,Tabla267[[#This Row],[Indicador]])</f>
        <v>118.2757773</v>
      </c>
      <c r="N15" s="56" t="str">
        <f t="shared" si="0"/>
        <v>MJ/Ha</v>
      </c>
      <c r="O15" s="23">
        <f>(Tabla267[[#This Row],[Indicador área]]*$B$5)</f>
        <v>4557846.9678462474</v>
      </c>
      <c r="P15" s="68">
        <f>+Tabla267[[#This Row],[Consumo energía '[MJ/año']]]/$O$10</f>
        <v>1.6475060852681821E-2</v>
      </c>
      <c r="Q15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4557846.9678462474</v>
      </c>
    </row>
    <row r="16" spans="1:17" x14ac:dyDescent="0.2">
      <c r="F16" s="19" t="s">
        <v>40</v>
      </c>
      <c r="G16" s="20" t="s">
        <v>12</v>
      </c>
      <c r="H16" s="20" t="s">
        <v>4</v>
      </c>
      <c r="I16" s="20" t="s">
        <v>21</v>
      </c>
      <c r="J16" s="20" t="s">
        <v>20</v>
      </c>
      <c r="K16" s="21">
        <v>234.1898085</v>
      </c>
      <c r="L16" s="56" t="str">
        <f>IFERROR(RIGHT(Tabla267[[#This Row],[Unidades indicador producción]], LEN(Tabla267[[#This Row],[Unidades indicador producción]])-FIND("/", Tabla267[[#This Row],[Unidades indicador producción]])), "")</f>
        <v>Ha</v>
      </c>
      <c r="M16" s="57">
        <f>IF(Tabla267[[#This Row],[Parámetro]]="Tn",Tabla267[[#This Row],[Indicador]]*$B$7,Tabla267[[#This Row],[Indicador]])</f>
        <v>234.1898085</v>
      </c>
      <c r="N16" s="56" t="str">
        <f t="shared" si="0"/>
        <v>MJ/Ha</v>
      </c>
      <c r="O16" s="23">
        <f>(Tabla267[[#This Row],[Indicador área]]*$B$5)</f>
        <v>9024682.2548019588</v>
      </c>
      <c r="P16" s="68">
        <f>+Tabla267[[#This Row],[Consumo energía '[MJ/año']]]/$O$10</f>
        <v>3.2621145548078358E-2</v>
      </c>
      <c r="Q16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9024682.2548019588</v>
      </c>
    </row>
    <row r="17" spans="1:17" x14ac:dyDescent="0.2">
      <c r="F17" s="19" t="s">
        <v>40</v>
      </c>
      <c r="G17" s="20" t="s">
        <v>41</v>
      </c>
      <c r="H17" s="20" t="s">
        <v>4</v>
      </c>
      <c r="I17" s="20" t="s">
        <v>42</v>
      </c>
      <c r="J17" s="20" t="s">
        <v>20</v>
      </c>
      <c r="K17" s="21">
        <v>341.98009070000001</v>
      </c>
      <c r="L17" s="56" t="str">
        <f>IFERROR(RIGHT(Tabla267[[#This Row],[Unidades indicador producción]], LEN(Tabla267[[#This Row],[Unidades indicador producción]])-FIND("/", Tabla267[[#This Row],[Unidades indicador producción]])), "")</f>
        <v>Ha</v>
      </c>
      <c r="M17" s="57">
        <f>IF(Tabla267[[#This Row],[Parámetro]]="Tn",Tabla267[[#This Row],[Indicador]]*$B$7,Tabla267[[#This Row],[Indicador]])</f>
        <v>341.98009070000001</v>
      </c>
      <c r="N17" s="56" t="str">
        <f t="shared" si="0"/>
        <v>MJ/Ha</v>
      </c>
      <c r="O17" s="23">
        <f>(Tabla267[[#This Row],[Indicador área]]*$B$5)</f>
        <v>13178462.69999343</v>
      </c>
      <c r="P17" s="68">
        <f>+Tabla267[[#This Row],[Consumo energía '[MJ/año']]]/$O$10</f>
        <v>4.7635643859667523E-2</v>
      </c>
      <c r="Q17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13178462.69999343</v>
      </c>
    </row>
    <row r="18" spans="1:17" x14ac:dyDescent="0.2">
      <c r="F18" s="19" t="s">
        <v>40</v>
      </c>
      <c r="G18" s="20" t="s">
        <v>13</v>
      </c>
      <c r="H18" s="20" t="s">
        <v>3</v>
      </c>
      <c r="I18" s="20" t="s">
        <v>22</v>
      </c>
      <c r="J18" s="20" t="s">
        <v>20</v>
      </c>
      <c r="K18" s="21">
        <v>1415.217551</v>
      </c>
      <c r="L18" s="56" t="str">
        <f>IFERROR(RIGHT(Tabla267[[#This Row],[Unidades indicador producción]], LEN(Tabla267[[#This Row],[Unidades indicador producción]])-FIND("/", Tabla267[[#This Row],[Unidades indicador producción]])), "")</f>
        <v>Ha</v>
      </c>
      <c r="M18" s="57">
        <f>IF(Tabla267[[#This Row],[Parámetro]]="Tn",Tabla267[[#This Row],[Indicador]]*$B$7,Tabla267[[#This Row],[Indicador]])</f>
        <v>1415.217551</v>
      </c>
      <c r="N18" s="56" t="str">
        <f t="shared" si="0"/>
        <v>MJ/Ha</v>
      </c>
      <c r="O18" s="23">
        <f>(Tabla267[[#This Row],[Indicador área]]*$B$5)</f>
        <v>54536483.893123753</v>
      </c>
      <c r="P18" s="68">
        <f>+Tabla267[[#This Row],[Consumo energía '[MJ/año']]]/$O$10</f>
        <v>0.19713077186860595</v>
      </c>
      <c r="Q18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54536483.893123753</v>
      </c>
    </row>
    <row r="19" spans="1:17" x14ac:dyDescent="0.2">
      <c r="F19" s="19" t="s">
        <v>40</v>
      </c>
      <c r="G19" s="20" t="s">
        <v>13</v>
      </c>
      <c r="H19" s="20" t="s">
        <v>3</v>
      </c>
      <c r="I19" s="20" t="s">
        <v>23</v>
      </c>
      <c r="J19" s="20" t="s">
        <v>20</v>
      </c>
      <c r="K19" s="21">
        <v>235.8783675</v>
      </c>
      <c r="L19" s="56" t="str">
        <f>IFERROR(RIGHT(Tabla267[[#This Row],[Unidades indicador producción]], LEN(Tabla267[[#This Row],[Unidades indicador producción]])-FIND("/", Tabla267[[#This Row],[Unidades indicador producción]])), "")</f>
        <v>Ha</v>
      </c>
      <c r="M19" s="57">
        <f>IF(Tabla267[[#This Row],[Parámetro]]="Tn",Tabla267[[#This Row],[Indicador]]*$B$7,Tabla267[[#This Row],[Indicador]])</f>
        <v>235.8783675</v>
      </c>
      <c r="N19" s="56" t="str">
        <f t="shared" si="0"/>
        <v>MJ/Ha</v>
      </c>
      <c r="O19" s="23">
        <f>(Tabla267[[#This Row],[Indicador área]]*$B$5)</f>
        <v>9089752.1591717992</v>
      </c>
      <c r="P19" s="68">
        <f>+Tabla267[[#This Row],[Consumo energía '[MJ/año']]]/$O$10</f>
        <v>3.2856351039121399E-2</v>
      </c>
      <c r="Q19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9089752.1591717992</v>
      </c>
    </row>
    <row r="20" spans="1:17" x14ac:dyDescent="0.2">
      <c r="F20" s="19" t="s">
        <v>40</v>
      </c>
      <c r="G20" s="20" t="s">
        <v>13</v>
      </c>
      <c r="H20" s="20" t="s">
        <v>3</v>
      </c>
      <c r="I20" s="20" t="s">
        <v>43</v>
      </c>
      <c r="J20" s="20" t="s">
        <v>20</v>
      </c>
      <c r="K20" s="21">
        <v>1678.5202039999999</v>
      </c>
      <c r="L20" s="56" t="str">
        <f>IFERROR(RIGHT(Tabla267[[#This Row],[Unidades indicador producción]], LEN(Tabla267[[#This Row],[Unidades indicador producción]])-FIND("/", Tabla267[[#This Row],[Unidades indicador producción]])), "")</f>
        <v>Ha</v>
      </c>
      <c r="M20" s="57">
        <f>IF(Tabla267[[#This Row],[Parámetro]]="Tn",Tabla267[[#This Row],[Indicador]]*$B$7,Tabla267[[#This Row],[Indicador]])</f>
        <v>1678.5202039999999</v>
      </c>
      <c r="N20" s="56" t="str">
        <f t="shared" si="0"/>
        <v>MJ/Ha</v>
      </c>
      <c r="O20" s="23">
        <f>(Tabla267[[#This Row],[Indicador área]]*$B$5)</f>
        <v>64683051.736495025</v>
      </c>
      <c r="P20" s="68">
        <f>+Tabla267[[#This Row],[Consumo energía '[MJ/año']]]/$O$10</f>
        <v>0.23380715083540529</v>
      </c>
      <c r="Q20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64683051.736495025</v>
      </c>
    </row>
    <row r="21" spans="1:17" x14ac:dyDescent="0.2">
      <c r="F21" s="19" t="s">
        <v>40</v>
      </c>
      <c r="G21" s="20" t="s">
        <v>13</v>
      </c>
      <c r="H21" s="20" t="s">
        <v>3</v>
      </c>
      <c r="I21" s="20" t="s">
        <v>24</v>
      </c>
      <c r="J21" s="20" t="s">
        <v>20</v>
      </c>
      <c r="K21" s="21">
        <v>493.2330877</v>
      </c>
      <c r="L21" s="56" t="str">
        <f>IFERROR(RIGHT(Tabla267[[#This Row],[Unidades indicador producción]], LEN(Tabla267[[#This Row],[Unidades indicador producción]])-FIND("/", Tabla267[[#This Row],[Unidades indicador producción]])), "")</f>
        <v>Ha</v>
      </c>
      <c r="M21" s="57">
        <f>IF(Tabla267[[#This Row],[Parámetro]]="Tn",Tabla267[[#This Row],[Indicador]]*$B$7,Tabla267[[#This Row],[Indicador]])</f>
        <v>493.2330877</v>
      </c>
      <c r="N21" s="56" t="str">
        <f t="shared" si="0"/>
        <v>MJ/Ha</v>
      </c>
      <c r="O21" s="23">
        <f>(Tabla267[[#This Row],[Indicador área]]*$B$5)</f>
        <v>19007111.891666148</v>
      </c>
      <c r="P21" s="68">
        <f>+Tabla267[[#This Row],[Consumo energía '[MJ/año']]]/$O$10</f>
        <v>6.8704220931073506E-2</v>
      </c>
      <c r="Q21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19007111.891666148</v>
      </c>
    </row>
    <row r="22" spans="1:17" x14ac:dyDescent="0.2">
      <c r="F22" s="19" t="s">
        <v>40</v>
      </c>
      <c r="G22" s="20" t="s">
        <v>13</v>
      </c>
      <c r="H22" s="20" t="s">
        <v>4</v>
      </c>
      <c r="I22" s="20" t="s">
        <v>42</v>
      </c>
      <c r="J22" s="20" t="s">
        <v>20</v>
      </c>
      <c r="K22" s="21">
        <v>33.49</v>
      </c>
      <c r="L22" s="56" t="str">
        <f>IFERROR(RIGHT(Tabla267[[#This Row],[Unidades indicador producción]], LEN(Tabla267[[#This Row],[Unidades indicador producción]])-FIND("/", Tabla267[[#This Row],[Unidades indicador producción]])), "")</f>
        <v>Ha</v>
      </c>
      <c r="M22" s="57">
        <f>IF(Tabla267[[#This Row],[Parámetro]]="Tn",Tabla267[[#This Row],[Indicador]]*$B$7,Tabla267[[#This Row],[Indicador]])</f>
        <v>33.49</v>
      </c>
      <c r="N22" s="56" t="str">
        <f t="shared" si="0"/>
        <v>MJ/Ha</v>
      </c>
      <c r="O22" s="23">
        <f>(Tabla267[[#This Row],[Indicador área]]*$B$5)</f>
        <v>1290562.6024</v>
      </c>
      <c r="P22" s="68">
        <f>+Tabla267[[#This Row],[Consumo energía '[MJ/año']]]/$O$10</f>
        <v>4.664943241563582E-3</v>
      </c>
      <c r="Q22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1290562.6024</v>
      </c>
    </row>
    <row r="23" spans="1:17" x14ac:dyDescent="0.2">
      <c r="F23" s="19" t="s">
        <v>40</v>
      </c>
      <c r="G23" s="20" t="s">
        <v>14</v>
      </c>
      <c r="H23" s="20" t="s">
        <v>3</v>
      </c>
      <c r="I23" s="20" t="s">
        <v>25</v>
      </c>
      <c r="J23" s="20" t="s">
        <v>20</v>
      </c>
      <c r="K23" s="21">
        <v>289.46153850000002</v>
      </c>
      <c r="L23" s="56" t="str">
        <f>IFERROR(RIGHT(Tabla267[[#This Row],[Unidades indicador producción]], LEN(Tabla267[[#This Row],[Unidades indicador producción]])-FIND("/", Tabla267[[#This Row],[Unidades indicador producción]])), "")</f>
        <v>Ha</v>
      </c>
      <c r="M23" s="57">
        <f>IF(Tabla267[[#This Row],[Parámetro]]="Tn",Tabla267[[#This Row],[Indicador]]*$B$7,Tabla267[[#This Row],[Indicador]])</f>
        <v>289.46153850000002</v>
      </c>
      <c r="N23" s="56" t="str">
        <f t="shared" si="0"/>
        <v>MJ/Ha</v>
      </c>
      <c r="O23" s="23">
        <f>(Tabla267[[#This Row],[Indicador área]]*$B$5)</f>
        <v>11154620.37686676</v>
      </c>
      <c r="P23" s="68">
        <f>+Tabla267[[#This Row],[Consumo energía '[MJ/año']]]/$O$10</f>
        <v>4.032014475121444E-2</v>
      </c>
      <c r="Q23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11154620.37686676</v>
      </c>
    </row>
    <row r="24" spans="1:17" x14ac:dyDescent="0.2">
      <c r="F24" s="19" t="s">
        <v>40</v>
      </c>
      <c r="G24" s="20" t="s">
        <v>15</v>
      </c>
      <c r="H24" s="20" t="s">
        <v>3</v>
      </c>
      <c r="I24" s="20" t="s">
        <v>26</v>
      </c>
      <c r="J24" s="20" t="s">
        <v>20</v>
      </c>
      <c r="K24" s="21">
        <v>1299.129619</v>
      </c>
      <c r="L24" s="56" t="str">
        <f>IFERROR(RIGHT(Tabla267[[#This Row],[Unidades indicador producción]], LEN(Tabla267[[#This Row],[Unidades indicador producción]])-FIND("/", Tabla267[[#This Row],[Unidades indicador producción]])), "")</f>
        <v>Ha</v>
      </c>
      <c r="M24" s="57">
        <f>IF(Tabla267[[#This Row],[Parámetro]]="Tn",Tabla267[[#This Row],[Indicador]]*$B$7,Tabla267[[#This Row],[Indicador]])</f>
        <v>1299.129619</v>
      </c>
      <c r="N24" s="56" t="str">
        <f t="shared" si="0"/>
        <v>MJ/Ha</v>
      </c>
      <c r="O24" s="23">
        <f>(Tabla267[[#This Row],[Indicador área]]*$B$5)</f>
        <v>50062947.206675433</v>
      </c>
      <c r="P24" s="68">
        <f>+Tabla267[[#This Row],[Consumo energía '[MJ/año']]]/$O$10</f>
        <v>0.18096046390173545</v>
      </c>
      <c r="Q24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50062947.206675433</v>
      </c>
    </row>
    <row r="25" spans="1:17" x14ac:dyDescent="0.2">
      <c r="F25" s="19" t="s">
        <v>40</v>
      </c>
      <c r="G25" s="20" t="s">
        <v>15</v>
      </c>
      <c r="H25" s="20" t="s">
        <v>2</v>
      </c>
      <c r="I25" s="20" t="s">
        <v>26</v>
      </c>
      <c r="J25" s="20" t="s">
        <v>20</v>
      </c>
      <c r="K25" s="21">
        <v>92.040685710000005</v>
      </c>
      <c r="L25" s="56" t="str">
        <f>IFERROR(RIGHT(Tabla267[[#This Row],[Unidades indicador producción]], LEN(Tabla267[[#This Row],[Unidades indicador producción]])-FIND("/", Tabla267[[#This Row],[Unidades indicador producción]])), "")</f>
        <v>Ha</v>
      </c>
      <c r="M25" s="57">
        <f>IF(Tabla267[[#This Row],[Parámetro]]="Tn",Tabla267[[#This Row],[Indicador]]*$B$7,Tabla267[[#This Row],[Indicador]])</f>
        <v>92.040685710000005</v>
      </c>
      <c r="N25" s="56" t="str">
        <f t="shared" si="0"/>
        <v>MJ/Ha</v>
      </c>
      <c r="O25" s="23">
        <f>(Tabla267[[#This Row],[Indicador área]]*$B$5)</f>
        <v>3546857.7747559892</v>
      </c>
      <c r="P25" s="68">
        <f>+Tabla267[[#This Row],[Consumo energía '[MJ/año']]]/$O$10</f>
        <v>1.2820680046334493E-2</v>
      </c>
      <c r="Q25" s="23">
        <f>IF(Tabla267[[#This Row],[Energético]]="Energía Eléctrica",((Tabla267[[#This Row],[Participación]]*$D$30)/SUMIF(Tabla267[Energético],"Energía Eléctrica",Tabla267[Participación]))*$B$33,Tabla267[[#This Row],[Consumo energía '[MJ/año']]])</f>
        <v>1323382.6379836912</v>
      </c>
    </row>
    <row r="27" spans="1:17" ht="15.75" x14ac:dyDescent="0.25">
      <c r="A27" s="70" t="s">
        <v>31</v>
      </c>
      <c r="B27" s="70"/>
      <c r="C27" s="70"/>
      <c r="D27" s="70"/>
    </row>
    <row r="29" spans="1:17" x14ac:dyDescent="0.2">
      <c r="A29" s="12" t="s">
        <v>0</v>
      </c>
      <c r="B29" s="12" t="s">
        <v>35</v>
      </c>
      <c r="C29" s="12" t="s">
        <v>36</v>
      </c>
      <c r="D29" s="12" t="s">
        <v>1</v>
      </c>
    </row>
    <row r="30" spans="1:17" x14ac:dyDescent="0.2">
      <c r="A30" s="13" t="s">
        <v>2</v>
      </c>
      <c r="B30" s="14">
        <f>B9</f>
        <v>1323382.6379836912</v>
      </c>
      <c r="C30" s="7">
        <f>'Hortalizas de fruto'!$B30/1000000</f>
        <v>1.3233826379836913</v>
      </c>
      <c r="D30" s="15">
        <f>B30/$B$33</f>
        <v>4.8223340646264138E-3</v>
      </c>
    </row>
    <row r="31" spans="1:17" x14ac:dyDescent="0.2">
      <c r="A31" s="13" t="s">
        <v>3</v>
      </c>
      <c r="B31" s="4">
        <f>SUMIF(Tabla267[Energético],A31,Tabla267[Consumo energía '[MJ/año']])</f>
        <v>235655029.44524637</v>
      </c>
      <c r="C31" s="7">
        <f>'Hortalizas de fruto'!$B31/1000000</f>
        <v>235.65502944524636</v>
      </c>
      <c r="D31" s="15">
        <f>B31/$B$33</f>
        <v>0.85871405848710902</v>
      </c>
    </row>
    <row r="32" spans="1:17" x14ac:dyDescent="0.2">
      <c r="A32" s="13" t="s">
        <v>4</v>
      </c>
      <c r="B32" s="4">
        <f>SUMIF(Tabla267[Energético],A32,Tabla267[Consumo energía '[MJ/año']])</f>
        <v>37449410.678197332</v>
      </c>
      <c r="C32" s="7">
        <f>'Hortalizas de fruto'!$B32/1000000</f>
        <v>37.449410678197331</v>
      </c>
      <c r="D32" s="15">
        <f>B32/$B$33</f>
        <v>0.1364636074482645</v>
      </c>
    </row>
    <row r="33" spans="1:4" x14ac:dyDescent="0.2">
      <c r="A33" s="64" t="s">
        <v>87</v>
      </c>
      <c r="B33" s="65">
        <f>SUM(B30:B32)</f>
        <v>274427822.7614274</v>
      </c>
      <c r="C33" s="65">
        <f>SUM(C30:C32)</f>
        <v>274.42782276142736</v>
      </c>
      <c r="D33" s="66">
        <f>SUM(D30:D32)</f>
        <v>0.99999999999999989</v>
      </c>
    </row>
    <row r="34" spans="1:4" x14ac:dyDescent="0.2">
      <c r="C34" s="28"/>
      <c r="D34" s="28"/>
    </row>
    <row r="37" spans="1:4" ht="18" x14ac:dyDescent="0.25">
      <c r="A37" s="71" t="s">
        <v>37</v>
      </c>
      <c r="B37" s="71"/>
      <c r="C37" s="71"/>
    </row>
    <row r="38" spans="1:4" x14ac:dyDescent="0.2">
      <c r="A38" s="6" t="str">
        <f>+A4</f>
        <v>Grupo Homogeneo</v>
      </c>
      <c r="B38" s="6" t="s">
        <v>32</v>
      </c>
      <c r="C38" s="6" t="s">
        <v>33</v>
      </c>
    </row>
    <row r="39" spans="1:4" x14ac:dyDescent="0.2">
      <c r="A39" s="29" t="str">
        <f>+$B$4</f>
        <v>Hortalizas de fruto</v>
      </c>
      <c r="B39" s="25">
        <f>+B33/B5</f>
        <v>7121.3808359151981</v>
      </c>
      <c r="C39" s="25">
        <f>B39/B7</f>
        <v>170.82580229567665</v>
      </c>
    </row>
    <row r="44" spans="1:4" x14ac:dyDescent="0.2">
      <c r="C44" s="28"/>
    </row>
  </sheetData>
  <mergeCells count="4">
    <mergeCell ref="A3:B3"/>
    <mergeCell ref="F9:K9"/>
    <mergeCell ref="A27:D27"/>
    <mergeCell ref="A37:C37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AD2A6B-158B-49DF-BCC3-6C05F1BC1538}">
          <x14:formula1>
            <xm:f>Participación!$A$1:$A$2</xm:f>
          </x14:formula1>
          <xm:sqref>A30:A32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033A7-9DDA-478C-AB87-DB0E4323CF8F}">
  <dimension ref="A1:Q44"/>
  <sheetViews>
    <sheetView showGridLines="0" topLeftCell="B1" workbookViewId="0">
      <selection activeCell="F11" sqref="F11"/>
    </sheetView>
  </sheetViews>
  <sheetFormatPr baseColWidth="10" defaultRowHeight="12.75" x14ac:dyDescent="0.2"/>
  <cols>
    <col min="1" max="1" width="37.85546875" customWidth="1"/>
    <col min="2" max="4" width="16.42578125" customWidth="1"/>
    <col min="6" max="6" width="35" bestFit="1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11.7109375" customWidth="1"/>
    <col min="13" max="13" width="15" customWidth="1"/>
    <col min="15" max="15" width="24.5703125" customWidth="1"/>
    <col min="17" max="17" width="20.7109375" customWidth="1"/>
  </cols>
  <sheetData>
    <row r="1" spans="1:17" ht="18" x14ac:dyDescent="0.25">
      <c r="A1" s="11"/>
    </row>
    <row r="3" spans="1:17" ht="20.25" x14ac:dyDescent="0.2">
      <c r="A3" s="72" t="s">
        <v>80</v>
      </c>
      <c r="B3" s="73"/>
    </row>
    <row r="4" spans="1:17" x14ac:dyDescent="0.2">
      <c r="A4" s="3" t="s">
        <v>34</v>
      </c>
      <c r="B4" s="10" t="str">
        <f>+Participación!L9</f>
        <v>Raices</v>
      </c>
    </row>
    <row r="5" spans="1:17" x14ac:dyDescent="0.2">
      <c r="A5" s="3" t="s">
        <v>72</v>
      </c>
      <c r="B5" s="4">
        <f>+GETPIVOTDATA("Suma de Area sembrada",Participación!$L$5,"Detalle","Raices")</f>
        <v>17062.96</v>
      </c>
      <c r="C5" s="24" t="s">
        <v>84</v>
      </c>
    </row>
    <row r="6" spans="1:17" x14ac:dyDescent="0.2">
      <c r="A6" s="3" t="s">
        <v>73</v>
      </c>
      <c r="B6" s="4">
        <f>+GETPIVOTDATA("Suma de Área cosechada ",Participación!$L$5,"Detalle","Raices")</f>
        <v>13441</v>
      </c>
    </row>
    <row r="7" spans="1:17" x14ac:dyDescent="0.2">
      <c r="A7" s="3" t="s">
        <v>5</v>
      </c>
      <c r="B7" s="4">
        <f>+GETPIVOTDATA("Promedio de Rendimiento",Participación!$L$5,"Detalle","Raices")</f>
        <v>27.751640500000001</v>
      </c>
      <c r="C7" s="24" t="s">
        <v>85</v>
      </c>
    </row>
    <row r="8" spans="1:17" x14ac:dyDescent="0.2">
      <c r="A8" s="5" t="s">
        <v>6</v>
      </c>
      <c r="B8" s="4">
        <f>B12</f>
        <v>162769.62991005846</v>
      </c>
      <c r="C8" s="24" t="s">
        <v>86</v>
      </c>
    </row>
    <row r="9" spans="1:17" ht="26.25" x14ac:dyDescent="0.25">
      <c r="A9" s="5" t="s">
        <v>96</v>
      </c>
      <c r="B9" s="14">
        <f>+B8*3.6</f>
        <v>585970.66767621052</v>
      </c>
      <c r="F9" s="70" t="s">
        <v>38</v>
      </c>
      <c r="G9" s="70"/>
      <c r="H9" s="70"/>
      <c r="I9" s="70"/>
      <c r="J9" s="70"/>
      <c r="K9" s="70"/>
      <c r="Q9" s="8" t="s">
        <v>91</v>
      </c>
    </row>
    <row r="10" spans="1:17" ht="35.25" customHeight="1" x14ac:dyDescent="0.25">
      <c r="J10" s="2" t="s">
        <v>30</v>
      </c>
      <c r="O10" s="9">
        <f>SUM(Tabla2678[Consumo energía '[MJ/año']])</f>
        <v>94233595.687495887</v>
      </c>
      <c r="Q10" s="69">
        <f>SUM(Tabla2678[Consumo energía corregida '[MJ/año']])</f>
        <v>93249079.816529796</v>
      </c>
    </row>
    <row r="11" spans="1:17" s="1" customFormat="1" ht="25.5" x14ac:dyDescent="0.2">
      <c r="A11" s="26" t="s">
        <v>81</v>
      </c>
      <c r="B11" s="27">
        <f>+Cebollas!B11</f>
        <v>3723478.2464763611</v>
      </c>
      <c r="F11" s="16" t="s">
        <v>7</v>
      </c>
      <c r="G11" s="17" t="s">
        <v>8</v>
      </c>
      <c r="H11" s="17" t="s">
        <v>9</v>
      </c>
      <c r="I11" s="17" t="s">
        <v>16</v>
      </c>
      <c r="J11" s="18" t="s">
        <v>17</v>
      </c>
      <c r="K11" s="17" t="s">
        <v>18</v>
      </c>
      <c r="L11" s="17" t="s">
        <v>27</v>
      </c>
      <c r="M11" s="17" t="s">
        <v>28</v>
      </c>
      <c r="N11" s="17" t="s">
        <v>29</v>
      </c>
      <c r="O11" s="67" t="s">
        <v>89</v>
      </c>
      <c r="P11" s="67" t="s">
        <v>1</v>
      </c>
      <c r="Q11" s="67" t="s">
        <v>90</v>
      </c>
    </row>
    <row r="12" spans="1:17" x14ac:dyDescent="0.2">
      <c r="A12" s="26" t="s">
        <v>94</v>
      </c>
      <c r="B12" s="27">
        <f>B11*GETPIVOTDATA("Suma de Area sembrada2",Participación!$L$5,"Detalle","Raices")</f>
        <v>162769.62991005846</v>
      </c>
      <c r="F12" s="19" t="s">
        <v>40</v>
      </c>
      <c r="G12" s="20" t="s">
        <v>10</v>
      </c>
      <c r="H12" s="20" t="s">
        <v>3</v>
      </c>
      <c r="I12" s="20" t="s">
        <v>65</v>
      </c>
      <c r="J12" s="20" t="s">
        <v>20</v>
      </c>
      <c r="K12" s="21">
        <v>357.00256409999997</v>
      </c>
      <c r="L12" s="22" t="str">
        <f>IFERROR(RIGHT(Tabla2678[[#This Row],[Unidades indicador producción]], LEN(Tabla2678[[#This Row],[Unidades indicador producción]])-FIND("/", Tabla2678[[#This Row],[Unidades indicador producción]])), "")</f>
        <v>Ha</v>
      </c>
      <c r="M12" s="23">
        <f>IF(Tabla2678[[#This Row],[Parámetro]]="Tn",Tabla2678[[#This Row],[Indicador]]*$B$7,Tabla2678[[#This Row],[Indicador]])</f>
        <v>357.00256409999997</v>
      </c>
      <c r="N12" s="22" t="str">
        <f t="shared" ref="N12:N24" si="0">"MJ/Ha"</f>
        <v>MJ/Ha</v>
      </c>
      <c r="O12" s="23">
        <f>+Tabla2678[[#This Row],[Indicador área]]*B6</f>
        <v>4798471.4640680999</v>
      </c>
      <c r="P12" s="68">
        <f>+Tabla2678[[#This Row],[Consumo energía '[MJ/año']]]/$O$10</f>
        <v>5.0921026933760757E-2</v>
      </c>
      <c r="Q12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4798471.4640680999</v>
      </c>
    </row>
    <row r="13" spans="1:17" x14ac:dyDescent="0.2">
      <c r="F13" s="19" t="s">
        <v>40</v>
      </c>
      <c r="G13" s="20" t="s">
        <v>10</v>
      </c>
      <c r="H13" s="20" t="s">
        <v>4</v>
      </c>
      <c r="I13" s="20" t="s">
        <v>65</v>
      </c>
      <c r="J13" s="20" t="s">
        <v>20</v>
      </c>
      <c r="K13" s="21">
        <v>322.93928570000003</v>
      </c>
      <c r="L13" s="22" t="str">
        <f>IFERROR(RIGHT(Tabla2678[[#This Row],[Unidades indicador producción]], LEN(Tabla2678[[#This Row],[Unidades indicador producción]])-FIND("/", Tabla2678[[#This Row],[Unidades indicador producción]])), "")</f>
        <v>Ha</v>
      </c>
      <c r="M13" s="23">
        <f>IF(Tabla2678[[#This Row],[Parámetro]]="Tn",Tabla2678[[#This Row],[Indicador]]*$B$7,Tabla2678[[#This Row],[Indicador]])</f>
        <v>322.93928570000003</v>
      </c>
      <c r="N13" s="22" t="str">
        <f t="shared" si="0"/>
        <v>MJ/Ha</v>
      </c>
      <c r="O13" s="23">
        <f>+Tabla2678[[#This Row],[Indicador área]]*B6</f>
        <v>4340626.9390937006</v>
      </c>
      <c r="P13" s="68">
        <f>+Tabla2678[[#This Row],[Consumo energía '[MJ/año']]]/$O$10</f>
        <v>4.6062414443871956E-2</v>
      </c>
      <c r="Q13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4340626.9390937006</v>
      </c>
    </row>
    <row r="14" spans="1:17" x14ac:dyDescent="0.2">
      <c r="F14" s="19" t="s">
        <v>40</v>
      </c>
      <c r="G14" s="20" t="s">
        <v>11</v>
      </c>
      <c r="H14" s="20" t="s">
        <v>3</v>
      </c>
      <c r="I14" s="20" t="s">
        <v>19</v>
      </c>
      <c r="J14" s="20" t="s">
        <v>20</v>
      </c>
      <c r="K14" s="21">
        <v>434.19230770000001</v>
      </c>
      <c r="L14" s="22" t="str">
        <f>IFERROR(RIGHT(Tabla2678[[#This Row],[Unidades indicador producción]], LEN(Tabla2678[[#This Row],[Unidades indicador producción]])-FIND("/", Tabla2678[[#This Row],[Unidades indicador producción]])), "")</f>
        <v>Ha</v>
      </c>
      <c r="M14" s="23">
        <f>IF(Tabla2678[[#This Row],[Parámetro]]="Tn",Tabla2678[[#This Row],[Indicador]]*$B$7,Tabla2678[[#This Row],[Indicador]])</f>
        <v>434.19230770000001</v>
      </c>
      <c r="N14" s="22" t="str">
        <f t="shared" si="0"/>
        <v>MJ/Ha</v>
      </c>
      <c r="O14" s="23">
        <f>(Tabla2678[[#This Row],[Indicador área]]*$B$5)</f>
        <v>7408605.9785927916</v>
      </c>
      <c r="P14" s="68">
        <f>+Tabla2678[[#This Row],[Consumo energía '[MJ/año']]]/$O$10</f>
        <v>7.8619582798917426E-2</v>
      </c>
      <c r="Q14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7408605.9785927916</v>
      </c>
    </row>
    <row r="15" spans="1:17" x14ac:dyDescent="0.2">
      <c r="F15" s="19" t="s">
        <v>40</v>
      </c>
      <c r="G15" s="20" t="s">
        <v>11</v>
      </c>
      <c r="H15" s="20" t="s">
        <v>4</v>
      </c>
      <c r="I15" s="20" t="s">
        <v>19</v>
      </c>
      <c r="J15" s="20" t="s">
        <v>20</v>
      </c>
      <c r="K15" s="21">
        <v>118.2757773</v>
      </c>
      <c r="L15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15" s="57">
        <f>IF(Tabla2678[[#This Row],[Parámetro]]="Tn",Tabla2678[[#This Row],[Indicador]]*$B$7,Tabla2678[[#This Row],[Indicador]])</f>
        <v>118.2757773</v>
      </c>
      <c r="N15" s="56" t="str">
        <f t="shared" si="0"/>
        <v>MJ/Ha</v>
      </c>
      <c r="O15" s="23">
        <f>(Tabla2678[[#This Row],[Indicador área]]*$B$5)</f>
        <v>2018134.8570388078</v>
      </c>
      <c r="P15" s="68">
        <f>+Tabla2678[[#This Row],[Consumo energía '[MJ/año']]]/$O$10</f>
        <v>2.1416298957024724E-2</v>
      </c>
      <c r="Q15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2018134.8570388078</v>
      </c>
    </row>
    <row r="16" spans="1:17" x14ac:dyDescent="0.2">
      <c r="F16" s="19" t="s">
        <v>40</v>
      </c>
      <c r="G16" s="20" t="s">
        <v>12</v>
      </c>
      <c r="H16" s="20" t="s">
        <v>4</v>
      </c>
      <c r="I16" s="20" t="s">
        <v>21</v>
      </c>
      <c r="J16" s="20" t="s">
        <v>20</v>
      </c>
      <c r="K16" s="21">
        <v>234.1898085</v>
      </c>
      <c r="L16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16" s="57">
        <f>IF(Tabla2678[[#This Row],[Parámetro]]="Tn",Tabla2678[[#This Row],[Indicador]]*$B$7,Tabla2678[[#This Row],[Indicador]])</f>
        <v>234.1898085</v>
      </c>
      <c r="N16" s="56" t="str">
        <f t="shared" si="0"/>
        <v>MJ/Ha</v>
      </c>
      <c r="O16" s="23">
        <f>(Tabla2678[[#This Row],[Indicador área]]*$B$5)</f>
        <v>3995971.3348431597</v>
      </c>
      <c r="P16" s="68">
        <f>+Tabla2678[[#This Row],[Consumo energía '[MJ/año']]]/$O$10</f>
        <v>4.240495447180942E-2</v>
      </c>
      <c r="Q16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3995971.3348431597</v>
      </c>
    </row>
    <row r="17" spans="1:17" x14ac:dyDescent="0.2">
      <c r="F17" s="19" t="s">
        <v>40</v>
      </c>
      <c r="G17" s="20" t="s">
        <v>41</v>
      </c>
      <c r="H17" s="20" t="s">
        <v>4</v>
      </c>
      <c r="I17" s="20" t="s">
        <v>42</v>
      </c>
      <c r="J17" s="20" t="s">
        <v>20</v>
      </c>
      <c r="K17" s="21">
        <v>341.98009070000001</v>
      </c>
      <c r="L17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17" s="57">
        <f>IF(Tabla2678[[#This Row],[Parámetro]]="Tn",Tabla2678[[#This Row],[Indicador]]*$B$7,Tabla2678[[#This Row],[Indicador]])</f>
        <v>341.98009070000001</v>
      </c>
      <c r="N17" s="56" t="str">
        <f t="shared" si="0"/>
        <v>MJ/Ha</v>
      </c>
      <c r="O17" s="23">
        <f>(Tabla2678[[#This Row],[Indicador área]]*$B$5)</f>
        <v>5835192.6084104721</v>
      </c>
      <c r="P17" s="68">
        <f>+Tabla2678[[#This Row],[Consumo energía '[MJ/año']]]/$O$10</f>
        <v>6.1922635614601297E-2</v>
      </c>
      <c r="Q17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5835192.6084104721</v>
      </c>
    </row>
    <row r="18" spans="1:17" x14ac:dyDescent="0.2">
      <c r="F18" s="19" t="s">
        <v>40</v>
      </c>
      <c r="G18" s="20" t="s">
        <v>13</v>
      </c>
      <c r="H18" s="20" t="s">
        <v>3</v>
      </c>
      <c r="I18" s="20" t="s">
        <v>22</v>
      </c>
      <c r="J18" s="20" t="s">
        <v>20</v>
      </c>
      <c r="K18" s="21">
        <v>1415.217551</v>
      </c>
      <c r="L18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18" s="57">
        <f>IF(Tabla2678[[#This Row],[Parámetro]]="Tn",Tabla2678[[#This Row],[Indicador]]*$B$7,Tabla2678[[#This Row],[Indicador]])</f>
        <v>1415.217551</v>
      </c>
      <c r="N18" s="56" t="str">
        <f t="shared" si="0"/>
        <v>MJ/Ha</v>
      </c>
      <c r="O18" s="23">
        <f>(Tabla2678[[#This Row],[Indicador área]]*$B$5)</f>
        <v>24147800.464010958</v>
      </c>
      <c r="P18" s="68">
        <f>+Tabla2678[[#This Row],[Consumo energía '[MJ/año']]]/$O$10</f>
        <v>0.25625468589877015</v>
      </c>
      <c r="Q18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24147800.464010958</v>
      </c>
    </row>
    <row r="19" spans="1:17" x14ac:dyDescent="0.2">
      <c r="F19" s="19" t="s">
        <v>40</v>
      </c>
      <c r="G19" s="20" t="s">
        <v>13</v>
      </c>
      <c r="H19" s="20" t="s">
        <v>3</v>
      </c>
      <c r="I19" s="20" t="s">
        <v>23</v>
      </c>
      <c r="J19" s="20" t="s">
        <v>20</v>
      </c>
      <c r="K19" s="21">
        <v>235.8783675</v>
      </c>
      <c r="L19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19" s="57">
        <f>IF(Tabla2678[[#This Row],[Parámetro]]="Tn",Tabla2678[[#This Row],[Indicador]]*$B$7,Tabla2678[[#This Row],[Indicador]])</f>
        <v>235.8783675</v>
      </c>
      <c r="N19" s="56" t="str">
        <f t="shared" si="0"/>
        <v>MJ/Ha</v>
      </c>
      <c r="O19" s="23">
        <f>(Tabla2678[[#This Row],[Indicador área]]*$B$5)</f>
        <v>4024783.1495177997</v>
      </c>
      <c r="P19" s="68">
        <f>+Tabla2678[[#This Row],[Consumo energía '[MJ/año']]]/$O$10</f>
        <v>4.2710703334138601E-2</v>
      </c>
      <c r="Q19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4024783.1495177997</v>
      </c>
    </row>
    <row r="20" spans="1:17" x14ac:dyDescent="0.2">
      <c r="F20" s="19" t="s">
        <v>40</v>
      </c>
      <c r="G20" s="20" t="s">
        <v>13</v>
      </c>
      <c r="H20" s="20" t="s">
        <v>3</v>
      </c>
      <c r="I20" s="20" t="s">
        <v>24</v>
      </c>
      <c r="J20" s="20" t="s">
        <v>20</v>
      </c>
      <c r="K20" s="21">
        <v>493.2330877</v>
      </c>
      <c r="L20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20" s="57">
        <f>IF(Tabla2678[[#This Row],[Parámetro]]="Tn",Tabla2678[[#This Row],[Indicador]]*$B$7,Tabla2678[[#This Row],[Indicador]])</f>
        <v>493.2330877</v>
      </c>
      <c r="N20" s="56" t="str">
        <f t="shared" si="0"/>
        <v>MJ/Ha</v>
      </c>
      <c r="O20" s="23">
        <f>(Tabla2678[[#This Row],[Indicador área]]*$B$5)</f>
        <v>8416016.446101591</v>
      </c>
      <c r="P20" s="68">
        <f>+Tabla2678[[#This Row],[Consumo energía '[MJ/año']]]/$O$10</f>
        <v>8.9310148728818331E-2</v>
      </c>
      <c r="Q20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8416016.446101591</v>
      </c>
    </row>
    <row r="21" spans="1:17" x14ac:dyDescent="0.2">
      <c r="F21" s="19" t="s">
        <v>40</v>
      </c>
      <c r="G21" s="20" t="s">
        <v>13</v>
      </c>
      <c r="H21" s="20" t="s">
        <v>4</v>
      </c>
      <c r="I21" s="20" t="s">
        <v>42</v>
      </c>
      <c r="J21" s="20" t="s">
        <v>20</v>
      </c>
      <c r="K21" s="21">
        <v>33.49</v>
      </c>
      <c r="L21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21" s="57">
        <f>IF(Tabla2678[[#This Row],[Parámetro]]="Tn",Tabla2678[[#This Row],[Indicador]]*$B$7,Tabla2678[[#This Row],[Indicador]])</f>
        <v>33.49</v>
      </c>
      <c r="N21" s="56" t="str">
        <f t="shared" si="0"/>
        <v>MJ/Ha</v>
      </c>
      <c r="O21" s="23">
        <f>(Tabla2678[[#This Row],[Indicador área]]*$B$5)</f>
        <v>571438.53040000005</v>
      </c>
      <c r="P21" s="68">
        <f>+Tabla2678[[#This Row],[Consumo energía '[MJ/año']]]/$O$10</f>
        <v>6.0640637368337821E-3</v>
      </c>
      <c r="Q21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571438.53040000005</v>
      </c>
    </row>
    <row r="22" spans="1:17" x14ac:dyDescent="0.2">
      <c r="F22" s="19" t="s">
        <v>40</v>
      </c>
      <c r="G22" s="20" t="s">
        <v>14</v>
      </c>
      <c r="H22" s="20" t="s">
        <v>3</v>
      </c>
      <c r="I22" s="20" t="s">
        <v>25</v>
      </c>
      <c r="J22" s="20" t="s">
        <v>20</v>
      </c>
      <c r="K22" s="21">
        <v>289.46153850000002</v>
      </c>
      <c r="L22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22" s="57">
        <f>IF(Tabla2678[[#This Row],[Parámetro]]="Tn",Tabla2678[[#This Row],[Indicador]]*$B$7,Tabla2678[[#This Row],[Indicador]])</f>
        <v>289.46153850000002</v>
      </c>
      <c r="N22" s="56" t="str">
        <f t="shared" si="0"/>
        <v>MJ/Ha</v>
      </c>
      <c r="O22" s="23">
        <f>(Tabla2678[[#This Row],[Indicador área]]*$B$5)</f>
        <v>4939070.6529639596</v>
      </c>
      <c r="P22" s="68">
        <f>+Tabla2678[[#This Row],[Consumo energía '[MJ/año']]]/$O$10</f>
        <v>5.2413055205313981E-2</v>
      </c>
      <c r="Q22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4939070.6529639596</v>
      </c>
    </row>
    <row r="23" spans="1:17" x14ac:dyDescent="0.2">
      <c r="F23" s="19" t="s">
        <v>40</v>
      </c>
      <c r="G23" s="20" t="s">
        <v>15</v>
      </c>
      <c r="H23" s="20" t="s">
        <v>3</v>
      </c>
      <c r="I23" s="20" t="s">
        <v>26</v>
      </c>
      <c r="J23" s="20" t="s">
        <v>20</v>
      </c>
      <c r="K23" s="21">
        <v>1299.129619</v>
      </c>
      <c r="L23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23" s="57">
        <f>IF(Tabla2678[[#This Row],[Parámetro]]="Tn",Tabla2678[[#This Row],[Indicador]]*$B$7,Tabla2678[[#This Row],[Indicador]])</f>
        <v>1299.129619</v>
      </c>
      <c r="N23" s="56" t="str">
        <f t="shared" si="0"/>
        <v>MJ/Ha</v>
      </c>
      <c r="O23" s="23">
        <f>(Tabla2678[[#This Row],[Indicador área]]*$B$5)</f>
        <v>22166996.723812241</v>
      </c>
      <c r="P23" s="68">
        <f>+Tabla2678[[#This Row],[Consumo energía '[MJ/año']]]/$O$10</f>
        <v>0.23523454201327521</v>
      </c>
      <c r="Q23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22166996.723812241</v>
      </c>
    </row>
    <row r="24" spans="1:17" x14ac:dyDescent="0.2">
      <c r="F24" s="19" t="s">
        <v>40</v>
      </c>
      <c r="G24" s="20" t="s">
        <v>15</v>
      </c>
      <c r="H24" s="20" t="s">
        <v>2</v>
      </c>
      <c r="I24" s="20" t="s">
        <v>26</v>
      </c>
      <c r="J24" s="20" t="s">
        <v>20</v>
      </c>
      <c r="K24" s="21">
        <v>92.040685710000005</v>
      </c>
      <c r="L24" s="56" t="str">
        <f>IFERROR(RIGHT(Tabla2678[[#This Row],[Unidades indicador producción]], LEN(Tabla2678[[#This Row],[Unidades indicador producción]])-FIND("/", Tabla2678[[#This Row],[Unidades indicador producción]])), "")</f>
        <v>Ha</v>
      </c>
      <c r="M24" s="57">
        <f>IF(Tabla2678[[#This Row],[Parámetro]]="Tn",Tabla2678[[#This Row],[Indicador]]*$B$7,Tabla2678[[#This Row],[Indicador]])</f>
        <v>92.040685710000005</v>
      </c>
      <c r="N24" s="56" t="str">
        <f t="shared" si="0"/>
        <v>MJ/Ha</v>
      </c>
      <c r="O24" s="23">
        <f>(Tabla2678[[#This Row],[Indicador área]]*$B$5)</f>
        <v>1570486.5386423017</v>
      </c>
      <c r="P24" s="68">
        <f>+Tabla2678[[#This Row],[Consumo energía '[MJ/año']]]/$O$10</f>
        <v>1.6665887862864326E-2</v>
      </c>
      <c r="Q24" s="23">
        <f>IF(Tabla2678[[#This Row],[Energético]]="Energía Eléctrica",((Tabla2678[[#This Row],[Participación]]*$D$30)/SUMIF(Tabla2678[Energético],"Energía Eléctrica",Tabla2678[Participación]))*$B$33,Tabla2678[[#This Row],[Consumo energía '[MJ/año']]])</f>
        <v>585970.66767621052</v>
      </c>
    </row>
    <row r="27" spans="1:17" ht="15.75" x14ac:dyDescent="0.25">
      <c r="A27" s="70" t="s">
        <v>31</v>
      </c>
      <c r="B27" s="70"/>
      <c r="C27" s="70"/>
      <c r="D27" s="70"/>
    </row>
    <row r="29" spans="1:17" x14ac:dyDescent="0.2">
      <c r="A29" s="12" t="s">
        <v>0</v>
      </c>
      <c r="B29" s="12" t="s">
        <v>35</v>
      </c>
      <c r="C29" s="12" t="s">
        <v>36</v>
      </c>
      <c r="D29" s="12" t="s">
        <v>1</v>
      </c>
    </row>
    <row r="30" spans="1:17" x14ac:dyDescent="0.2">
      <c r="A30" s="13" t="s">
        <v>2</v>
      </c>
      <c r="B30" s="14">
        <f>B9</f>
        <v>585970.66767621052</v>
      </c>
      <c r="C30" s="7">
        <f>Raices!$B30/1000000</f>
        <v>0.58597066767621053</v>
      </c>
      <c r="D30" s="15">
        <f>B30/$B$33</f>
        <v>6.2839297591903804E-3</v>
      </c>
    </row>
    <row r="31" spans="1:17" x14ac:dyDescent="0.2">
      <c r="A31" s="13" t="s">
        <v>3</v>
      </c>
      <c r="B31" s="4">
        <f>SUMIF(Tabla2678[Energético],A31,Tabla2678[Consumo energía '[MJ/año']])</f>
        <v>75901744.879067436</v>
      </c>
      <c r="C31" s="7">
        <f>Raices!$B31/1000000</f>
        <v>75.901744879067437</v>
      </c>
      <c r="D31" s="15">
        <f>B31/$B$33</f>
        <v>0.81396776277477778</v>
      </c>
    </row>
    <row r="32" spans="1:17" x14ac:dyDescent="0.2">
      <c r="A32" s="13" t="s">
        <v>4</v>
      </c>
      <c r="B32" s="4">
        <f>SUMIF(Tabla2678[Energético],A32,Tabla2678[Consumo energía '[MJ/año']])</f>
        <v>16761364.26978614</v>
      </c>
      <c r="C32" s="7">
        <f>Raices!$B32/1000000</f>
        <v>16.761364269786139</v>
      </c>
      <c r="D32" s="15">
        <f>B32/$B$33</f>
        <v>0.17974830746603185</v>
      </c>
    </row>
    <row r="33" spans="1:4" x14ac:dyDescent="0.2">
      <c r="A33" s="64" t="s">
        <v>87</v>
      </c>
      <c r="B33" s="65">
        <f>SUM(B30:B32)</f>
        <v>93249079.816529781</v>
      </c>
      <c r="C33" s="65">
        <f>SUM(C30:C32)</f>
        <v>93.249079816529786</v>
      </c>
      <c r="D33" s="66">
        <f>SUM(D30:D32)</f>
        <v>1</v>
      </c>
    </row>
    <row r="34" spans="1:4" x14ac:dyDescent="0.2">
      <c r="C34" s="28"/>
      <c r="D34" s="28"/>
    </row>
    <row r="37" spans="1:4" ht="18" x14ac:dyDescent="0.25">
      <c r="A37" s="71" t="s">
        <v>37</v>
      </c>
      <c r="B37" s="71"/>
      <c r="C37" s="71"/>
    </row>
    <row r="38" spans="1:4" x14ac:dyDescent="0.2">
      <c r="A38" s="6" t="str">
        <f>+A4</f>
        <v>Grupo Homogeneo</v>
      </c>
      <c r="B38" s="6" t="s">
        <v>32</v>
      </c>
      <c r="C38" s="6" t="s">
        <v>33</v>
      </c>
    </row>
    <row r="39" spans="1:4" x14ac:dyDescent="0.2">
      <c r="A39" s="29" t="str">
        <f>+$B$4</f>
        <v>Raices</v>
      </c>
      <c r="B39" s="25">
        <f>+B33/B5</f>
        <v>5465.0002002307801</v>
      </c>
      <c r="C39" s="25">
        <f>B39/B7</f>
        <v>196.92530249628953</v>
      </c>
    </row>
    <row r="44" spans="1:4" x14ac:dyDescent="0.2">
      <c r="C44" s="28"/>
    </row>
  </sheetData>
  <mergeCells count="4">
    <mergeCell ref="A3:B3"/>
    <mergeCell ref="F9:K9"/>
    <mergeCell ref="A27:D27"/>
    <mergeCell ref="A37:C37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066C06-4A48-422E-B5EB-6A8B7C6D8FB2}">
          <x14:formula1>
            <xm:f>Participación!$A$1:$A$2</xm:f>
          </x14:formula1>
          <xm:sqref>A30:A32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820B8-04BF-4014-B8BA-C1B91F4D5B6A}">
  <dimension ref="A1:Q44"/>
  <sheetViews>
    <sheetView showGridLines="0" workbookViewId="0">
      <selection activeCell="F21" sqref="F21"/>
    </sheetView>
  </sheetViews>
  <sheetFormatPr baseColWidth="10" defaultRowHeight="12.75" x14ac:dyDescent="0.2"/>
  <cols>
    <col min="1" max="1" width="37.85546875" customWidth="1"/>
    <col min="2" max="4" width="16.42578125" customWidth="1"/>
    <col min="6" max="6" width="35" bestFit="1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11.7109375" customWidth="1"/>
    <col min="13" max="13" width="15" customWidth="1"/>
    <col min="15" max="15" width="24.5703125" customWidth="1"/>
    <col min="17" max="17" width="23.28515625" customWidth="1"/>
  </cols>
  <sheetData>
    <row r="1" spans="1:17" ht="18" x14ac:dyDescent="0.25">
      <c r="A1" s="11"/>
    </row>
    <row r="3" spans="1:17" ht="20.25" x14ac:dyDescent="0.2">
      <c r="A3" s="72" t="s">
        <v>80</v>
      </c>
      <c r="B3" s="73"/>
    </row>
    <row r="4" spans="1:17" x14ac:dyDescent="0.2">
      <c r="A4" s="3" t="s">
        <v>34</v>
      </c>
      <c r="B4" s="10" t="str">
        <f>+Participación!L10</f>
        <v>Tuberculos</v>
      </c>
    </row>
    <row r="5" spans="1:17" x14ac:dyDescent="0.2">
      <c r="A5" s="3" t="s">
        <v>72</v>
      </c>
      <c r="B5" s="4">
        <f>+GETPIVOTDATA("Suma de Area sembrada",Participación!$L$5,"Detalle","Tuberculos")</f>
        <v>270169</v>
      </c>
      <c r="C5" s="24" t="s">
        <v>84</v>
      </c>
    </row>
    <row r="6" spans="1:17" x14ac:dyDescent="0.2">
      <c r="A6" s="3" t="s">
        <v>73</v>
      </c>
      <c r="B6" s="4">
        <f>+GETPIVOTDATA("Suma de Área cosechada ",Participación!$L$5,"Detalle","Tuberculos")</f>
        <v>237720</v>
      </c>
    </row>
    <row r="7" spans="1:17" x14ac:dyDescent="0.2">
      <c r="A7" s="3" t="s">
        <v>5</v>
      </c>
      <c r="B7" s="4">
        <f>+GETPIVOTDATA("Promedio de Rendimiento",Participación!$L$5,"Detalle","Tuberculos")</f>
        <v>13.751353333333332</v>
      </c>
      <c r="C7" s="24" t="s">
        <v>85</v>
      </c>
    </row>
    <row r="8" spans="1:17" x14ac:dyDescent="0.2">
      <c r="A8" s="5" t="s">
        <v>6</v>
      </c>
      <c r="B8" s="4">
        <f>B12</f>
        <v>2577237.9553823364</v>
      </c>
      <c r="C8" s="24" t="s">
        <v>86</v>
      </c>
    </row>
    <row r="9" spans="1:17" ht="26.25" x14ac:dyDescent="0.25">
      <c r="A9" s="5" t="s">
        <v>96</v>
      </c>
      <c r="B9" s="14">
        <f>+B8*3.6</f>
        <v>9278056.6393764112</v>
      </c>
      <c r="F9" s="70" t="s">
        <v>88</v>
      </c>
      <c r="G9" s="70"/>
      <c r="H9" s="70"/>
      <c r="I9" s="70"/>
      <c r="J9" s="70"/>
      <c r="K9" s="70"/>
      <c r="Q9" s="8" t="s">
        <v>91</v>
      </c>
    </row>
    <row r="10" spans="1:17" ht="35.25" customHeight="1" x14ac:dyDescent="0.25">
      <c r="J10" s="2" t="s">
        <v>30</v>
      </c>
      <c r="O10" s="9">
        <f>SUM(Tabla26789[Consumo energía '[MJ/año']])</f>
        <v>1508992579.6220362</v>
      </c>
      <c r="Q10" s="69">
        <f>SUM(Tabla26789[Consumo energía corregida '[MJ/año']])</f>
        <v>1493404096.2438276</v>
      </c>
    </row>
    <row r="11" spans="1:17" s="1" customFormat="1" ht="25.5" x14ac:dyDescent="0.2">
      <c r="A11" s="26" t="s">
        <v>81</v>
      </c>
      <c r="B11" s="27">
        <f>+Cebollas!B11</f>
        <v>3723478.2464763611</v>
      </c>
      <c r="F11" s="16" t="s">
        <v>7</v>
      </c>
      <c r="G11" s="17" t="s">
        <v>8</v>
      </c>
      <c r="H11" s="17" t="s">
        <v>9</v>
      </c>
      <c r="I11" s="17" t="s">
        <v>16</v>
      </c>
      <c r="J11" s="18" t="s">
        <v>17</v>
      </c>
      <c r="K11" s="17" t="s">
        <v>18</v>
      </c>
      <c r="L11" s="17" t="s">
        <v>27</v>
      </c>
      <c r="M11" s="17" t="s">
        <v>28</v>
      </c>
      <c r="N11" s="17" t="s">
        <v>29</v>
      </c>
      <c r="O11" s="67" t="s">
        <v>89</v>
      </c>
      <c r="P11" s="67" t="s">
        <v>1</v>
      </c>
      <c r="Q11" s="67" t="s">
        <v>90</v>
      </c>
    </row>
    <row r="12" spans="1:17" ht="25.5" x14ac:dyDescent="0.2">
      <c r="A12" s="26" t="s">
        <v>95</v>
      </c>
      <c r="B12" s="27">
        <f>B11*GETPIVOTDATA("Suma de Area sembrada2",Participación!$L$5,"Detalle","Tuberculos")</f>
        <v>2577237.9553823364</v>
      </c>
      <c r="F12" s="19" t="s">
        <v>40</v>
      </c>
      <c r="G12" s="20" t="s">
        <v>10</v>
      </c>
      <c r="H12" s="20" t="s">
        <v>3</v>
      </c>
      <c r="I12" s="20" t="s">
        <v>65</v>
      </c>
      <c r="J12" s="20" t="s">
        <v>20</v>
      </c>
      <c r="K12" s="21">
        <v>357.00256409999997</v>
      </c>
      <c r="L12" s="22" t="str">
        <f>IFERROR(RIGHT(Tabla26789[[#This Row],[Unidades indicador producción]], LEN(Tabla26789[[#This Row],[Unidades indicador producción]])-FIND("/", Tabla26789[[#This Row],[Unidades indicador producción]])), "")</f>
        <v>Ha</v>
      </c>
      <c r="M12" s="23">
        <f>IF(Tabla26789[[#This Row],[Parámetro]]="Tn",Tabla26789[[#This Row],[Indicador]]*$B$7,Tabla26789[[#This Row],[Indicador]])</f>
        <v>357.00256409999997</v>
      </c>
      <c r="N12" s="22" t="str">
        <f t="shared" ref="N12:N24" si="0">"MJ/Ha"</f>
        <v>MJ/Ha</v>
      </c>
      <c r="O12" s="23">
        <f>+Tabla26789[[#This Row],[Indicador área]]*B6</f>
        <v>84866649.537851989</v>
      </c>
      <c r="P12" s="68">
        <f>+Tabla26789[[#This Row],[Consumo energía '[MJ/año']]]/$O$10</f>
        <v>5.6240600970422862E-2</v>
      </c>
      <c r="Q12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84866649.537851989</v>
      </c>
    </row>
    <row r="13" spans="1:17" x14ac:dyDescent="0.2">
      <c r="F13" s="19" t="s">
        <v>40</v>
      </c>
      <c r="G13" s="20" t="s">
        <v>10</v>
      </c>
      <c r="H13" s="20" t="s">
        <v>4</v>
      </c>
      <c r="I13" s="20" t="s">
        <v>65</v>
      </c>
      <c r="J13" s="20" t="s">
        <v>20</v>
      </c>
      <c r="K13" s="21">
        <v>322.93928570000003</v>
      </c>
      <c r="L13" s="22" t="str">
        <f>IFERROR(RIGHT(Tabla26789[[#This Row],[Unidades indicador producción]], LEN(Tabla26789[[#This Row],[Unidades indicador producción]])-FIND("/", Tabla26789[[#This Row],[Unidades indicador producción]])), "")</f>
        <v>Ha</v>
      </c>
      <c r="M13" s="23">
        <f>IF(Tabla26789[[#This Row],[Parámetro]]="Tn",Tabla26789[[#This Row],[Indicador]]*$B$7,Tabla26789[[#This Row],[Indicador]])</f>
        <v>322.93928570000003</v>
      </c>
      <c r="N13" s="22" t="str">
        <f t="shared" si="0"/>
        <v>MJ/Ha</v>
      </c>
      <c r="O13" s="23">
        <f>+Tabla26789[[#This Row],[Indicador área]]*B6</f>
        <v>76769126.99660401</v>
      </c>
      <c r="P13" s="68">
        <f>+Tabla26789[[#This Row],[Consumo energía '[MJ/año']]]/$O$10</f>
        <v>5.0874423130584712E-2</v>
      </c>
      <c r="Q13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76769126.99660401</v>
      </c>
    </row>
    <row r="14" spans="1:17" x14ac:dyDescent="0.2">
      <c r="F14" s="19" t="s">
        <v>40</v>
      </c>
      <c r="G14" s="20" t="s">
        <v>11</v>
      </c>
      <c r="H14" s="20" t="s">
        <v>3</v>
      </c>
      <c r="I14" s="20" t="s">
        <v>19</v>
      </c>
      <c r="J14" s="20" t="s">
        <v>20</v>
      </c>
      <c r="K14" s="21">
        <v>434.19230770000001</v>
      </c>
      <c r="L14" s="22" t="str">
        <f>IFERROR(RIGHT(Tabla26789[[#This Row],[Unidades indicador producción]], LEN(Tabla26789[[#This Row],[Unidades indicador producción]])-FIND("/", Tabla26789[[#This Row],[Unidades indicador producción]])), "")</f>
        <v>Ha</v>
      </c>
      <c r="M14" s="23">
        <f>IF(Tabla26789[[#This Row],[Parámetro]]="Tn",Tabla26789[[#This Row],[Indicador]]*$B$7,Tabla26789[[#This Row],[Indicador]])</f>
        <v>434.19230770000001</v>
      </c>
      <c r="N14" s="22" t="str">
        <f t="shared" si="0"/>
        <v>MJ/Ha</v>
      </c>
      <c r="O14" s="23">
        <f>(Tabla26789[[#This Row],[Indicador área]]*$B$5)</f>
        <v>117305301.57900131</v>
      </c>
      <c r="P14" s="68">
        <f>+Tabla26789[[#This Row],[Consumo energía '[MJ/año']]]/$O$10</f>
        <v>7.7737493983160114E-2</v>
      </c>
      <c r="Q14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117305301.57900131</v>
      </c>
    </row>
    <row r="15" spans="1:17" x14ac:dyDescent="0.2">
      <c r="F15" s="19" t="s">
        <v>40</v>
      </c>
      <c r="G15" s="20" t="s">
        <v>11</v>
      </c>
      <c r="H15" s="20" t="s">
        <v>4</v>
      </c>
      <c r="I15" s="20" t="s">
        <v>19</v>
      </c>
      <c r="J15" s="20" t="s">
        <v>20</v>
      </c>
      <c r="K15" s="21">
        <v>118.2757773</v>
      </c>
      <c r="L15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15" s="57">
        <f>IF(Tabla26789[[#This Row],[Parámetro]]="Tn",Tabla26789[[#This Row],[Indicador]]*$B$7,Tabla26789[[#This Row],[Indicador]])</f>
        <v>118.2757773</v>
      </c>
      <c r="N15" s="56" t="str">
        <f t="shared" si="0"/>
        <v>MJ/Ha</v>
      </c>
      <c r="O15" s="23">
        <f>(Tabla26789[[#This Row],[Indicador área]]*$B$5)</f>
        <v>31954448.477363702</v>
      </c>
      <c r="P15" s="68">
        <f>+Tabla26789[[#This Row],[Consumo energía '[MJ/año']]]/$O$10</f>
        <v>2.1176014321665829E-2</v>
      </c>
      <c r="Q15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31954448.477363702</v>
      </c>
    </row>
    <row r="16" spans="1:17" x14ac:dyDescent="0.2">
      <c r="F16" s="19" t="s">
        <v>40</v>
      </c>
      <c r="G16" s="20" t="s">
        <v>12</v>
      </c>
      <c r="H16" s="20" t="s">
        <v>4</v>
      </c>
      <c r="I16" s="20" t="s">
        <v>21</v>
      </c>
      <c r="J16" s="20" t="s">
        <v>20</v>
      </c>
      <c r="K16" s="21">
        <v>234.1898085</v>
      </c>
      <c r="L16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16" s="57">
        <f>IF(Tabla26789[[#This Row],[Parámetro]]="Tn",Tabla26789[[#This Row],[Indicador]]*$B$7,Tabla26789[[#This Row],[Indicador]])</f>
        <v>234.1898085</v>
      </c>
      <c r="N16" s="56" t="str">
        <f t="shared" si="0"/>
        <v>MJ/Ha</v>
      </c>
      <c r="O16" s="23">
        <f>(Tabla26789[[#This Row],[Indicador área]]*$B$5)</f>
        <v>63270826.372636497</v>
      </c>
      <c r="P16" s="68">
        <f>+Tabla26789[[#This Row],[Consumo energía '[MJ/año']]]/$O$10</f>
        <v>4.1929183235933615E-2</v>
      </c>
      <c r="Q16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63270826.372636497</v>
      </c>
    </row>
    <row r="17" spans="1:17" x14ac:dyDescent="0.2">
      <c r="F17" s="19" t="s">
        <v>40</v>
      </c>
      <c r="G17" s="20" t="s">
        <v>41</v>
      </c>
      <c r="H17" s="20" t="s">
        <v>4</v>
      </c>
      <c r="I17" s="20" t="s">
        <v>42</v>
      </c>
      <c r="J17" s="20" t="s">
        <v>20</v>
      </c>
      <c r="K17" s="21">
        <v>341.98009070000001</v>
      </c>
      <c r="L17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17" s="57">
        <f>IF(Tabla26789[[#This Row],[Parámetro]]="Tn",Tabla26789[[#This Row],[Indicador]]*$B$7,Tabla26789[[#This Row],[Indicador]])</f>
        <v>341.98009070000001</v>
      </c>
      <c r="N17" s="56" t="str">
        <f t="shared" si="0"/>
        <v>MJ/Ha</v>
      </c>
      <c r="O17" s="23">
        <f>(Tabla26789[[#This Row],[Indicador área]]*$B$5)</f>
        <v>92392419.1243283</v>
      </c>
      <c r="P17" s="68">
        <f>+Tabla26789[[#This Row],[Consumo energía '[MJ/año']]]/$O$10</f>
        <v>6.1227881682142014E-2</v>
      </c>
      <c r="Q17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92392419.1243283</v>
      </c>
    </row>
    <row r="18" spans="1:17" x14ac:dyDescent="0.2">
      <c r="F18" s="19" t="s">
        <v>40</v>
      </c>
      <c r="G18" s="20" t="s">
        <v>13</v>
      </c>
      <c r="H18" s="20" t="s">
        <v>3</v>
      </c>
      <c r="I18" s="20" t="s">
        <v>22</v>
      </c>
      <c r="J18" s="20" t="s">
        <v>20</v>
      </c>
      <c r="K18" s="21">
        <v>1415.217551</v>
      </c>
      <c r="L18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18" s="57">
        <f>IF(Tabla26789[[#This Row],[Parámetro]]="Tn",Tabla26789[[#This Row],[Indicador]]*$B$7,Tabla26789[[#This Row],[Indicador]])</f>
        <v>1415.217551</v>
      </c>
      <c r="N18" s="56" t="str">
        <f t="shared" si="0"/>
        <v>MJ/Ha</v>
      </c>
      <c r="O18" s="23">
        <f>(Tabla26789[[#This Row],[Indicador área]]*$B$5)</f>
        <v>382347910.53611898</v>
      </c>
      <c r="P18" s="68">
        <f>+Tabla26789[[#This Row],[Consumo energía '[MJ/año']]]/$O$10</f>
        <v>0.25337958297441548</v>
      </c>
      <c r="Q18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382347910.53611898</v>
      </c>
    </row>
    <row r="19" spans="1:17" x14ac:dyDescent="0.2">
      <c r="F19" s="19" t="s">
        <v>40</v>
      </c>
      <c r="G19" s="20" t="s">
        <v>13</v>
      </c>
      <c r="H19" s="20" t="s">
        <v>3</v>
      </c>
      <c r="I19" s="20" t="s">
        <v>23</v>
      </c>
      <c r="J19" s="20" t="s">
        <v>20</v>
      </c>
      <c r="K19" s="21">
        <v>235.8783675</v>
      </c>
      <c r="L19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19" s="57">
        <f>IF(Tabla26789[[#This Row],[Parámetro]]="Tn",Tabla26789[[#This Row],[Indicador]]*$B$7,Tabla26789[[#This Row],[Indicador]])</f>
        <v>235.8783675</v>
      </c>
      <c r="N19" s="56" t="str">
        <f t="shared" si="0"/>
        <v>MJ/Ha</v>
      </c>
      <c r="O19" s="23">
        <f>(Tabla26789[[#This Row],[Indicador área]]*$B$5)</f>
        <v>63727022.669107497</v>
      </c>
      <c r="P19" s="68">
        <f>+Tabla26789[[#This Row],[Consumo energía '[MJ/año']]]/$O$10</f>
        <v>4.22315016850974E-2</v>
      </c>
      <c r="Q19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63727022.669107497</v>
      </c>
    </row>
    <row r="20" spans="1:17" x14ac:dyDescent="0.2">
      <c r="F20" s="19" t="s">
        <v>40</v>
      </c>
      <c r="G20" s="20" t="s">
        <v>13</v>
      </c>
      <c r="H20" s="20" t="s">
        <v>3</v>
      </c>
      <c r="I20" s="20" t="s">
        <v>24</v>
      </c>
      <c r="J20" s="20" t="s">
        <v>20</v>
      </c>
      <c r="K20" s="21">
        <v>493.2330877</v>
      </c>
      <c r="L20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20" s="57">
        <f>IF(Tabla26789[[#This Row],[Parámetro]]="Tn",Tabla26789[[#This Row],[Indicador]]*$B$7,Tabla26789[[#This Row],[Indicador]])</f>
        <v>493.2330877</v>
      </c>
      <c r="N20" s="56" t="str">
        <f t="shared" si="0"/>
        <v>MJ/Ha</v>
      </c>
      <c r="O20" s="23">
        <f>(Tabla26789[[#This Row],[Indicador área]]*$B$5)</f>
        <v>133256290.0708213</v>
      </c>
      <c r="P20" s="68">
        <f>+Tabla26789[[#This Row],[Consumo energía '[MJ/año']]]/$O$10</f>
        <v>8.8308114877674593E-2</v>
      </c>
      <c r="Q20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133256290.0708213</v>
      </c>
    </row>
    <row r="21" spans="1:17" x14ac:dyDescent="0.2">
      <c r="F21" s="19" t="s">
        <v>40</v>
      </c>
      <c r="G21" s="20" t="s">
        <v>13</v>
      </c>
      <c r="H21" s="20" t="s">
        <v>4</v>
      </c>
      <c r="I21" s="20" t="s">
        <v>42</v>
      </c>
      <c r="J21" s="20" t="s">
        <v>20</v>
      </c>
      <c r="K21" s="21">
        <v>33.49</v>
      </c>
      <c r="L21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21" s="57">
        <f>IF(Tabla26789[[#This Row],[Parámetro]]="Tn",Tabla26789[[#This Row],[Indicador]]*$B$7,Tabla26789[[#This Row],[Indicador]])</f>
        <v>33.49</v>
      </c>
      <c r="N21" s="56" t="str">
        <f t="shared" si="0"/>
        <v>MJ/Ha</v>
      </c>
      <c r="O21" s="23">
        <f>(Tabla26789[[#This Row],[Indicador área]]*$B$5)</f>
        <v>9047959.8100000005</v>
      </c>
      <c r="P21" s="68">
        <f>+Tabla26789[[#This Row],[Consumo energía '[MJ/año']]]/$O$10</f>
        <v>5.9960267082733313E-3</v>
      </c>
      <c r="Q21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9047959.8100000005</v>
      </c>
    </row>
    <row r="22" spans="1:17" x14ac:dyDescent="0.2">
      <c r="F22" s="19" t="s">
        <v>40</v>
      </c>
      <c r="G22" s="20" t="s">
        <v>14</v>
      </c>
      <c r="H22" s="20" t="s">
        <v>3</v>
      </c>
      <c r="I22" s="20" t="s">
        <v>25</v>
      </c>
      <c r="J22" s="20" t="s">
        <v>20</v>
      </c>
      <c r="K22" s="21">
        <v>289.46153850000002</v>
      </c>
      <c r="L22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22" s="57">
        <f>IF(Tabla26789[[#This Row],[Parámetro]]="Tn",Tabla26789[[#This Row],[Indicador]]*$B$7,Tabla26789[[#This Row],[Indicador]])</f>
        <v>289.46153850000002</v>
      </c>
      <c r="N22" s="56" t="str">
        <f t="shared" si="0"/>
        <v>MJ/Ha</v>
      </c>
      <c r="O22" s="23">
        <f>(Tabla26789[[#This Row],[Indicador área]]*$B$5)</f>
        <v>78203534.395006508</v>
      </c>
      <c r="P22" s="68">
        <f>+Tabla26789[[#This Row],[Consumo energía '[MJ/año']]]/$O$10</f>
        <v>5.1824995994741392E-2</v>
      </c>
      <c r="Q22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78203534.395006508</v>
      </c>
    </row>
    <row r="23" spans="1:17" x14ac:dyDescent="0.2">
      <c r="F23" s="19" t="s">
        <v>40</v>
      </c>
      <c r="G23" s="20" t="s">
        <v>15</v>
      </c>
      <c r="H23" s="20" t="s">
        <v>3</v>
      </c>
      <c r="I23" s="20" t="s">
        <v>26</v>
      </c>
      <c r="J23" s="20" t="s">
        <v>20</v>
      </c>
      <c r="K23" s="21">
        <v>1299.129619</v>
      </c>
      <c r="L23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23" s="57">
        <f>IF(Tabla26789[[#This Row],[Parámetro]]="Tn",Tabla26789[[#This Row],[Indicador]]*$B$7,Tabla26789[[#This Row],[Indicador]])</f>
        <v>1299.129619</v>
      </c>
      <c r="N23" s="56" t="str">
        <f t="shared" si="0"/>
        <v>MJ/Ha</v>
      </c>
      <c r="O23" s="23">
        <f>(Tabla26789[[#This Row],[Indicador área]]*$B$5)</f>
        <v>350984550.03561103</v>
      </c>
      <c r="P23" s="68">
        <f>+Tabla26789[[#This Row],[Consumo energía '[MJ/año']]]/$O$10</f>
        <v>0.23259527897978374</v>
      </c>
      <c r="Q23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350984550.03561103</v>
      </c>
    </row>
    <row r="24" spans="1:17" x14ac:dyDescent="0.2">
      <c r="F24" s="19" t="s">
        <v>40</v>
      </c>
      <c r="G24" s="20" t="s">
        <v>15</v>
      </c>
      <c r="H24" s="20" t="s">
        <v>2</v>
      </c>
      <c r="I24" s="20" t="s">
        <v>26</v>
      </c>
      <c r="J24" s="20" t="s">
        <v>20</v>
      </c>
      <c r="K24" s="21">
        <v>92.040685710000005</v>
      </c>
      <c r="L24" s="56" t="str">
        <f>IFERROR(RIGHT(Tabla26789[[#This Row],[Unidades indicador producción]], LEN(Tabla26789[[#This Row],[Unidades indicador producción]])-FIND("/", Tabla26789[[#This Row],[Unidades indicador producción]])), "")</f>
        <v>Ha</v>
      </c>
      <c r="M24" s="57">
        <f>IF(Tabla26789[[#This Row],[Parámetro]]="Tn",Tabla26789[[#This Row],[Indicador]]*$B$7,Tabla26789[[#This Row],[Indicador]])</f>
        <v>92.040685710000005</v>
      </c>
      <c r="N24" s="56" t="str">
        <f t="shared" si="0"/>
        <v>MJ/Ha</v>
      </c>
      <c r="O24" s="23">
        <f>(Tabla26789[[#This Row],[Indicador área]]*$B$5)</f>
        <v>24866540.017584991</v>
      </c>
      <c r="P24" s="68">
        <f>+Tabla26789[[#This Row],[Consumo energía '[MJ/año']]]/$O$10</f>
        <v>1.6478901456104852E-2</v>
      </c>
      <c r="Q24" s="23">
        <f>IF(Tabla26789[[#This Row],[Energético]]="Energía Eléctrica",((Tabla26789[[#This Row],[Participación]]*$D$30)/SUMIF(Tabla26789[Energético],"Energía Eléctrica",Tabla26789[Participación]))*$B$33,Tabla26789[[#This Row],[Consumo energía '[MJ/año']]])</f>
        <v>9278056.6393764112</v>
      </c>
    </row>
    <row r="27" spans="1:17" ht="15.75" x14ac:dyDescent="0.25">
      <c r="A27" s="70" t="s">
        <v>31</v>
      </c>
      <c r="B27" s="70"/>
      <c r="C27" s="70"/>
      <c r="D27" s="70"/>
    </row>
    <row r="29" spans="1:17" x14ac:dyDescent="0.2">
      <c r="A29" s="12" t="s">
        <v>0</v>
      </c>
      <c r="B29" s="12" t="s">
        <v>35</v>
      </c>
      <c r="C29" s="12" t="s">
        <v>36</v>
      </c>
      <c r="D29" s="12" t="s">
        <v>1</v>
      </c>
    </row>
    <row r="30" spans="1:17" x14ac:dyDescent="0.2">
      <c r="A30" s="13" t="s">
        <v>2</v>
      </c>
      <c r="B30" s="14">
        <f>B9</f>
        <v>9278056.6393764112</v>
      </c>
      <c r="C30" s="7">
        <f>Tuberculos!$B30/1000000</f>
        <v>9.2780566393764108</v>
      </c>
      <c r="D30" s="15">
        <f>B30/$B$33</f>
        <v>6.2126899629593542E-3</v>
      </c>
    </row>
    <row r="31" spans="1:17" x14ac:dyDescent="0.2">
      <c r="A31" s="13" t="s">
        <v>3</v>
      </c>
      <c r="B31" s="4">
        <f>SUMIF(Tabla26789[Energético],A31,Tabla26789[Consumo energía '[MJ/año']])</f>
        <v>1210691258.8235185</v>
      </c>
      <c r="C31" s="7">
        <f>Tuberculos!$B31/1000000</f>
        <v>1210.6912588235184</v>
      </c>
      <c r="D31" s="15">
        <f>B31/$B$33</f>
        <v>0.81069233830857901</v>
      </c>
    </row>
    <row r="32" spans="1:17" x14ac:dyDescent="0.2">
      <c r="A32" s="13" t="s">
        <v>4</v>
      </c>
      <c r="B32" s="4">
        <f>SUMIF(Tabla26789[Energético],A32,Tabla26789[Consumo energía '[MJ/año']])</f>
        <v>273434780.78093255</v>
      </c>
      <c r="C32" s="7">
        <f>Tuberculos!$B32/1000000</f>
        <v>273.43478078093256</v>
      </c>
      <c r="D32" s="15">
        <f>B32/$B$33</f>
        <v>0.18309497172846176</v>
      </c>
    </row>
    <row r="33" spans="1:4" x14ac:dyDescent="0.2">
      <c r="A33" s="64" t="s">
        <v>87</v>
      </c>
      <c r="B33" s="65">
        <f>SUM(B30:B32)</f>
        <v>1493404096.2438273</v>
      </c>
      <c r="C33" s="65">
        <f>SUM(C30:C32)</f>
        <v>1493.4040962438276</v>
      </c>
      <c r="D33" s="66">
        <f>SUM(D30:D32)</f>
        <v>1</v>
      </c>
    </row>
    <row r="34" spans="1:4" x14ac:dyDescent="0.2">
      <c r="C34" s="28"/>
      <c r="D34" s="28"/>
    </row>
    <row r="37" spans="1:4" ht="18" x14ac:dyDescent="0.25">
      <c r="A37" s="71" t="s">
        <v>37</v>
      </c>
      <c r="B37" s="71"/>
      <c r="C37" s="71"/>
    </row>
    <row r="38" spans="1:4" x14ac:dyDescent="0.2">
      <c r="A38" s="6" t="str">
        <f>+A4</f>
        <v>Grupo Homogeneo</v>
      </c>
      <c r="B38" s="6" t="s">
        <v>32</v>
      </c>
      <c r="C38" s="6" t="s">
        <v>33</v>
      </c>
    </row>
    <row r="39" spans="1:4" x14ac:dyDescent="0.2">
      <c r="A39" s="29" t="str">
        <f>+$B$4</f>
        <v>Tuberculos</v>
      </c>
      <c r="B39" s="25">
        <f>+B33/B5</f>
        <v>5527.6663726920087</v>
      </c>
      <c r="C39" s="25">
        <f>B39/B7</f>
        <v>401.97253598981598</v>
      </c>
    </row>
    <row r="44" spans="1:4" x14ac:dyDescent="0.2">
      <c r="C44" s="28"/>
    </row>
  </sheetData>
  <mergeCells count="4">
    <mergeCell ref="A3:B3"/>
    <mergeCell ref="F9:K9"/>
    <mergeCell ref="A27:D27"/>
    <mergeCell ref="A37:C37"/>
  </mergeCells>
  <phoneticPr fontId="9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9B01EF-E984-4000-AABE-CBF54A643D68}">
          <x14:formula1>
            <xm:f>Participación!$A$1:$A$2</xm:f>
          </x14:formula1>
          <xm:sqref>A30:A32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Participación</vt:lpstr>
      <vt:lpstr>Cebollas</vt:lpstr>
      <vt:lpstr>Hortalizas</vt:lpstr>
      <vt:lpstr>Hortalizas de fruto</vt:lpstr>
      <vt:lpstr>Raices</vt:lpstr>
      <vt:lpstr>Tuberculos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2024-01-24T02:11:09Z</dcterms:modified>
</cp:coreProperties>
</file>