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smoralesr\Documents\1- Trabajos\3- Corpoema\2- Proyectos\8- Agroindustria\Plantillas\"/>
    </mc:Choice>
  </mc:AlternateContent>
  <xr:revisionPtr revIDLastSave="0" documentId="13_ncr:1_{4BC73BB5-2E81-4D9A-9853-9EF1439ADDBD}" xr6:coauthVersionLast="47" xr6:coauthVersionMax="47" xr10:uidLastSave="{00000000-0000-0000-0000-000000000000}"/>
  <bookViews>
    <workbookView xWindow="-19320" yWindow="-120" windowWidth="19440" windowHeight="15000" xr2:uid="{4F4AC0FB-F22A-4F96-AA86-2713B2BEDCFC}"/>
  </bookViews>
  <sheets>
    <sheet name="Arroz Mecanizado" sheetId="1" r:id="rId1"/>
    <sheet name="Hoja2" sheetId="2" state="hidden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7" i="1" l="1"/>
  <c r="R14" i="1" l="1"/>
  <c r="R18" i="1"/>
  <c r="M12" i="1"/>
  <c r="N12" i="1" s="1"/>
  <c r="P12" i="1" s="1"/>
  <c r="R12" i="1" s="1"/>
  <c r="M13" i="1"/>
  <c r="N13" i="1" s="1"/>
  <c r="P13" i="1" s="1"/>
  <c r="R13" i="1" s="1"/>
  <c r="M14" i="1"/>
  <c r="N14" i="1" s="1"/>
  <c r="P14" i="1" s="1"/>
  <c r="M15" i="1"/>
  <c r="N15" i="1" s="1"/>
  <c r="P15" i="1" s="1"/>
  <c r="R15" i="1" s="1"/>
  <c r="M16" i="1"/>
  <c r="M17" i="1"/>
  <c r="N17" i="1" s="1"/>
  <c r="P17" i="1" s="1"/>
  <c r="R17" i="1" s="1"/>
  <c r="M18" i="1"/>
  <c r="N18" i="1" s="1"/>
  <c r="P18" i="1" s="1"/>
  <c r="M19" i="1"/>
  <c r="N19" i="1" s="1"/>
  <c r="P19" i="1" s="1"/>
  <c r="R19" i="1" s="1"/>
  <c r="M20" i="1"/>
  <c r="M21" i="1"/>
  <c r="N21" i="1" s="1"/>
  <c r="P21" i="1" s="1"/>
  <c r="R21" i="1" s="1"/>
  <c r="M22" i="1"/>
  <c r="N22" i="1" s="1"/>
  <c r="P22" i="1" s="1"/>
  <c r="M23" i="1"/>
  <c r="N23" i="1" s="1"/>
  <c r="P23" i="1" s="1"/>
  <c r="R23" i="1" s="1"/>
  <c r="N16" i="1"/>
  <c r="P16" i="1" s="1"/>
  <c r="R16" i="1" s="1"/>
  <c r="N20" i="1"/>
  <c r="P20" i="1" s="1"/>
  <c r="R20" i="1" s="1"/>
  <c r="O12" i="1"/>
  <c r="O13" i="1"/>
  <c r="O14" i="1"/>
  <c r="O15" i="1"/>
  <c r="O16" i="1"/>
  <c r="O17" i="1"/>
  <c r="O18" i="1"/>
  <c r="O19" i="1"/>
  <c r="O20" i="1"/>
  <c r="O21" i="1"/>
  <c r="O22" i="1"/>
  <c r="O23" i="1"/>
  <c r="B8" i="1"/>
  <c r="B29" i="1" s="1"/>
  <c r="A37" i="1"/>
  <c r="A38" i="1"/>
  <c r="O11" i="1"/>
  <c r="M11" i="1"/>
  <c r="N11" i="1" s="1"/>
  <c r="C29" i="1" l="1"/>
  <c r="P11" i="1"/>
  <c r="R11" i="1" s="1"/>
  <c r="B31" i="1"/>
  <c r="B30" i="1" l="1"/>
  <c r="P9" i="1"/>
  <c r="C31" i="1"/>
  <c r="Q11" i="1" l="1"/>
  <c r="Q15" i="1"/>
  <c r="Q19" i="1"/>
  <c r="Q23" i="1"/>
  <c r="Q12" i="1"/>
  <c r="Q16" i="1"/>
  <c r="Q20" i="1"/>
  <c r="Q13" i="1"/>
  <c r="Q17" i="1"/>
  <c r="Q21" i="1"/>
  <c r="Q14" i="1"/>
  <c r="Q18" i="1"/>
  <c r="Q22" i="1"/>
  <c r="C30" i="1"/>
  <c r="C32" i="1" s="1"/>
  <c r="B32" i="1"/>
  <c r="B38" i="1" s="1"/>
  <c r="C38" i="1" s="1"/>
  <c r="D29" i="1"/>
  <c r="R22" i="1" l="1"/>
  <c r="R9" i="1" s="1"/>
  <c r="D31" i="1"/>
  <c r="D30" i="1"/>
  <c r="D32" i="1" l="1"/>
</calcChain>
</file>

<file path=xl/sharedStrings.xml><?xml version="1.0" encoding="utf-8"?>
<sst xmlns="http://schemas.openxmlformats.org/spreadsheetml/2006/main" count="135" uniqueCount="72">
  <si>
    <t>Energetico</t>
  </si>
  <si>
    <t>Participación</t>
  </si>
  <si>
    <t>Energía Eléctrica</t>
  </si>
  <si>
    <t>ACPM</t>
  </si>
  <si>
    <t>Biomasa primaria</t>
  </si>
  <si>
    <t>Biomasa secundaria</t>
  </si>
  <si>
    <t>Carbón</t>
  </si>
  <si>
    <t>Gas licuado</t>
  </si>
  <si>
    <t>Gas Natural</t>
  </si>
  <si>
    <t>Gasolina</t>
  </si>
  <si>
    <t>GLP</t>
  </si>
  <si>
    <t>Kerosene</t>
  </si>
  <si>
    <t>Leña</t>
  </si>
  <si>
    <t>Área productiva total</t>
  </si>
  <si>
    <t>Rendimiento</t>
  </si>
  <si>
    <t>Consumo Eléctricidad por sector</t>
  </si>
  <si>
    <t>Grupo Homogéneo</t>
  </si>
  <si>
    <t>Proceso</t>
  </si>
  <si>
    <t>Energético</t>
  </si>
  <si>
    <t>Fumigación</t>
  </si>
  <si>
    <t>Preparación del terreno</t>
  </si>
  <si>
    <t>Siembra</t>
  </si>
  <si>
    <t>Producto final</t>
  </si>
  <si>
    <t>Unidades indicador producción</t>
  </si>
  <si>
    <t>Indicador</t>
  </si>
  <si>
    <t>MJ/Ha</t>
  </si>
  <si>
    <t>Parámetro</t>
  </si>
  <si>
    <t>Indicador área</t>
  </si>
  <si>
    <t>Unidades</t>
  </si>
  <si>
    <t>Debe estar en MJ/Tn o MJ/Ha</t>
  </si>
  <si>
    <t>Tabla 7 y Tabla 10</t>
  </si>
  <si>
    <t>Indicador [MJ/Ha]</t>
  </si>
  <si>
    <t>Indicador [MJ/Tn]</t>
  </si>
  <si>
    <t>Grupo Homogeneo</t>
  </si>
  <si>
    <t>MJ/año</t>
  </si>
  <si>
    <t>TJ/año</t>
  </si>
  <si>
    <t>Total [MJ]</t>
  </si>
  <si>
    <t>Tabla 9</t>
  </si>
  <si>
    <t>Arroz mecanizado</t>
  </si>
  <si>
    <t>Cosecha</t>
  </si>
  <si>
    <t>Arroz Paddy</t>
  </si>
  <si>
    <t>MJ/Tn</t>
  </si>
  <si>
    <t>Fertilización</t>
  </si>
  <si>
    <t>Terreno fertilizado</t>
  </si>
  <si>
    <t>Terreno fumigado</t>
  </si>
  <si>
    <t>Terreno arado</t>
  </si>
  <si>
    <t>Terreno caballonado</t>
  </si>
  <si>
    <t>Terreno desbrozado</t>
  </si>
  <si>
    <t>Terreno nivelado</t>
  </si>
  <si>
    <t>Terreno rastrillado</t>
  </si>
  <si>
    <t>Terreno roleado</t>
  </si>
  <si>
    <t>Terreno sembrado</t>
  </si>
  <si>
    <t>Sistema de Riego y drenaje</t>
  </si>
  <si>
    <t>Terreno irrigado</t>
  </si>
  <si>
    <t>Transporte interno</t>
  </si>
  <si>
    <t>Uso final de energía</t>
  </si>
  <si>
    <t>Fuerza motriz</t>
  </si>
  <si>
    <t>Cultivo de arroz</t>
  </si>
  <si>
    <t xml:space="preserve">Actividades de apoyo a la agricultura </t>
  </si>
  <si>
    <t xml:space="preserve">Repartido entre arroz y cereales </t>
  </si>
  <si>
    <t>Dato comercial por CIIU de XM [kWh/año]</t>
  </si>
  <si>
    <t>Tabla 8. Indicador producción</t>
  </si>
  <si>
    <t>Sector</t>
  </si>
  <si>
    <t>Total</t>
  </si>
  <si>
    <t>Observación</t>
  </si>
  <si>
    <t>Sin Observación</t>
  </si>
  <si>
    <t>Consumo Eléctricidad por sector [kWh/año]</t>
  </si>
  <si>
    <t>Dato de información secundaria [Ha] Agronet</t>
  </si>
  <si>
    <t>Dato de información secundaria Tn/Ha Agronet</t>
  </si>
  <si>
    <t>Consumo Eléctricidad por sector [MJ/año]</t>
  </si>
  <si>
    <t>Consumo energía [MJ/año]</t>
  </si>
  <si>
    <t>Consumo energía corregido [MJ/año]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</si>
</sst>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0"/>
      <name val="Arial"/>
      <family val="2"/>
    </font>
    <font>
      <b/>
      <sz val="10"/>
      <color theme="1"/>
      <name val="Arial"/>
      <family val="2"/>
    </font>
    <font>
      <b/>
      <sz val="12"/>
      <color theme="1"/>
      <name val="Arial"/>
      <family val="2"/>
    </font>
    <font>
      <b/>
      <sz val="14"/>
      <color theme="1"/>
      <name val="Arial"/>
      <family val="2"/>
    </font>
    <font>
      <b/>
      <sz val="14"/>
      <color rgb="FFFF0000"/>
      <name val="Arial"/>
      <family val="2"/>
    </font>
    <font>
      <b/>
      <sz val="10"/>
      <color rgb="FFFF0000"/>
      <name val="Arial"/>
      <family val="2"/>
    </font>
    <font>
      <sz val="8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/>
        <bgColor theme="9"/>
      </patternFill>
    </fill>
    <fill>
      <patternFill patternType="solid">
        <fgColor rgb="FFFF00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485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52">
    <xf numFmtId="0" fontId="0" fillId="0" borderId="0" xfId="0"/>
    <xf numFmtId="0" fontId="3" fillId="0" borderId="0" xfId="0" applyFont="1"/>
    <xf numFmtId="0" fontId="0" fillId="0" borderId="0" xfId="0" applyAlignment="1">
      <alignment horizontal="center" vertical="center" wrapText="1"/>
    </xf>
    <xf numFmtId="0" fontId="4" fillId="4" borderId="0" xfId="0" applyFont="1" applyFill="1" applyAlignment="1">
      <alignment horizontal="center" wrapText="1"/>
    </xf>
    <xf numFmtId="0" fontId="0" fillId="0" borderId="0" xfId="0" applyAlignment="1"/>
    <xf numFmtId="0" fontId="3" fillId="0" borderId="1" xfId="0" applyFont="1" applyBorder="1" applyAlignment="1"/>
    <xf numFmtId="0" fontId="3" fillId="0" borderId="1" xfId="0" applyFont="1" applyBorder="1"/>
    <xf numFmtId="4" fontId="0" fillId="2" borderId="1" xfId="0" applyNumberFormat="1" applyFill="1" applyBorder="1"/>
    <xf numFmtId="0" fontId="3" fillId="0" borderId="1" xfId="0" applyFont="1" applyBorder="1" applyAlignment="1">
      <alignment wrapText="1"/>
    </xf>
    <xf numFmtId="0" fontId="2" fillId="6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4" fontId="0" fillId="0" borderId="1" xfId="0" applyNumberFormat="1" applyBorder="1" applyAlignment="1">
      <alignment horizontal="center" vertical="center"/>
    </xf>
    <xf numFmtId="0" fontId="4" fillId="5" borderId="0" xfId="0" applyFont="1" applyFill="1" applyAlignment="1">
      <alignment horizontal="center" vertical="center"/>
    </xf>
    <xf numFmtId="4" fontId="4" fillId="0" borderId="0" xfId="0" applyNumberFormat="1" applyFont="1" applyAlignment="1">
      <alignment horizontal="center" vertical="center"/>
    </xf>
    <xf numFmtId="0" fontId="0" fillId="2" borderId="1" xfId="0" applyFill="1" applyBorder="1" applyAlignment="1"/>
    <xf numFmtId="0" fontId="6" fillId="0" borderId="0" xfId="0" applyFont="1"/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Font="1" applyBorder="1"/>
    <xf numFmtId="4" fontId="0" fillId="0" borderId="1" xfId="0" applyNumberFormat="1" applyFont="1" applyFill="1" applyBorder="1"/>
    <xf numFmtId="4" fontId="0" fillId="0" borderId="1" xfId="0" applyNumberFormat="1" applyFont="1" applyBorder="1" applyAlignment="1">
      <alignment horizontal="center" vertical="center"/>
    </xf>
    <xf numFmtId="10" fontId="0" fillId="0" borderId="1" xfId="1" applyNumberFormat="1" applyFont="1" applyBorder="1" applyAlignment="1">
      <alignment horizontal="center" vertical="center"/>
    </xf>
    <xf numFmtId="4" fontId="0" fillId="2" borderId="1" xfId="0" applyNumberFormat="1" applyFont="1" applyFill="1" applyBorder="1"/>
    <xf numFmtId="4" fontId="0" fillId="0" borderId="1" xfId="0" applyNumberFormat="1" applyFill="1" applyBorder="1"/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4" borderId="4" xfId="0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2" borderId="6" xfId="0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4" fontId="0" fillId="2" borderId="1" xfId="0" applyNumberFormat="1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4" fontId="0" fillId="0" borderId="1" xfId="0" applyNumberFormat="1" applyFill="1" applyBorder="1" applyAlignment="1">
      <alignment horizontal="center"/>
    </xf>
    <xf numFmtId="4" fontId="0" fillId="0" borderId="7" xfId="0" applyNumberFormat="1" applyBorder="1" applyAlignment="1">
      <alignment horizontal="center"/>
    </xf>
    <xf numFmtId="0" fontId="7" fillId="0" borderId="0" xfId="0" applyFont="1"/>
    <xf numFmtId="0" fontId="0" fillId="0" borderId="1" xfId="0" applyNumberFormat="1" applyFill="1" applyBorder="1" applyAlignment="1">
      <alignment horizontal="center"/>
    </xf>
    <xf numFmtId="10" fontId="0" fillId="0" borderId="1" xfId="1" applyNumberFormat="1" applyFont="1" applyBorder="1" applyAlignment="1">
      <alignment horizontal="center"/>
    </xf>
    <xf numFmtId="0" fontId="0" fillId="0" borderId="1" xfId="0" applyBorder="1" applyAlignment="1">
      <alignment horizontal="center"/>
    </xf>
    <xf numFmtId="4" fontId="4" fillId="5" borderId="0" xfId="0" applyNumberFormat="1" applyFont="1" applyFill="1" applyAlignment="1">
      <alignment horizontal="center" vertical="center"/>
    </xf>
    <xf numFmtId="0" fontId="0" fillId="0" borderId="1" xfId="0" applyBorder="1" applyAlignment="1">
      <alignment horizontal="left" wrapText="1"/>
    </xf>
    <xf numFmtId="4" fontId="0" fillId="0" borderId="1" xfId="0" applyNumberFormat="1" applyBorder="1"/>
    <xf numFmtId="0" fontId="0" fillId="2" borderId="1" xfId="0" applyFill="1" applyBorder="1" applyAlignment="1">
      <alignment horizontal="left" wrapText="1"/>
    </xf>
    <xf numFmtId="0" fontId="3" fillId="7" borderId="1" xfId="0" applyFont="1" applyFill="1" applyBorder="1" applyAlignment="1">
      <alignment horizontal="center"/>
    </xf>
    <xf numFmtId="4" fontId="3" fillId="7" borderId="1" xfId="0" applyNumberFormat="1" applyFont="1" applyFill="1" applyBorder="1" applyAlignment="1">
      <alignment horizontal="center"/>
    </xf>
    <xf numFmtId="10" fontId="3" fillId="7" borderId="1" xfId="0" applyNumberFormat="1" applyFont="1" applyFill="1" applyBorder="1" applyAlignment="1">
      <alignment horizontal="center"/>
    </xf>
    <xf numFmtId="0" fontId="0" fillId="0" borderId="1" xfId="0" applyBorder="1"/>
    <xf numFmtId="9" fontId="0" fillId="0" borderId="1" xfId="0" applyNumberFormat="1" applyBorder="1"/>
    <xf numFmtId="0" fontId="0" fillId="2" borderId="1" xfId="0" applyFill="1" applyBorder="1" applyAlignment="1">
      <alignment wrapText="1"/>
    </xf>
    <xf numFmtId="9" fontId="0" fillId="2" borderId="1" xfId="1" applyFont="1" applyFill="1" applyBorder="1"/>
    <xf numFmtId="0" fontId="4" fillId="0" borderId="0" xfId="0" applyFont="1" applyAlignment="1">
      <alignment horizontal="center"/>
    </xf>
    <xf numFmtId="0" fontId="5" fillId="0" borderId="2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3" fillId="0" borderId="6" xfId="0" applyFont="1" applyBorder="1" applyAlignment="1">
      <alignment horizontal="center"/>
    </xf>
  </cellXfs>
  <cellStyles count="2">
    <cellStyle name="Normal" xfId="0" builtinId="0"/>
    <cellStyle name="Porcentaje" xfId="1" builtinId="5"/>
  </cellStyles>
  <dxfs count="18">
    <dxf>
      <numFmt numFmtId="0" formatCode="General"/>
      <alignment horizontal="center" textRotation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14" formatCode="0.00%"/>
      <alignment horizontal="center" textRotation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4" formatCode="#,##0.00"/>
      <alignment horizontal="center" textRotation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numFmt numFmtId="0" formatCode="General"/>
      <fill>
        <patternFill patternType="none">
          <fgColor indexed="64"/>
          <bgColor auto="1"/>
        </patternFill>
      </fill>
      <alignment horizontal="center" textRotation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4" formatCode="#,##0.00"/>
      <fill>
        <patternFill patternType="none">
          <fgColor indexed="64"/>
          <bgColor auto="1"/>
        </patternFill>
      </fill>
      <alignment horizontal="center" textRotation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0" formatCode="General"/>
      <fill>
        <patternFill patternType="none">
          <fgColor indexed="64"/>
          <bgColor auto="1"/>
        </patternFill>
      </fill>
      <alignment horizont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4" formatCode="#,##0.00"/>
      <fill>
        <patternFill patternType="solid">
          <fgColor indexed="64"/>
          <bgColor rgb="FFFFFF00"/>
        </patternFill>
      </fill>
      <alignment horizont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rgb="FFFFFF00"/>
        </patternFill>
      </fill>
      <alignment horizont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rgb="FFFFFF00"/>
        </patternFill>
      </fill>
      <alignment horizont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rgb="FFFFFF00"/>
        </patternFill>
      </fill>
      <alignment horizont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rgb="FFFFFF0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rgb="FFFFFF00"/>
        </patternFill>
      </fill>
      <alignment horizont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rgb="FFFFFF00"/>
        </patternFill>
      </fill>
      <alignment horizontal="center" textRotation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textRotation="0" indent="0" justifyLastLine="0" shrinkToFit="0" readingOrder="0"/>
    </dxf>
    <dxf>
      <border>
        <bottom style="thin">
          <color indexed="64"/>
        </bottom>
      </border>
    </dxf>
    <dxf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775A9D08-1377-468A-AF05-D7853C9878D0}" name="Tabla2" displayName="Tabla2" ref="F10:R23" totalsRowShown="0" headerRowDxfId="17" dataDxfId="15" headerRowBorderDxfId="16" tableBorderDxfId="14" totalsRowBorderDxfId="13">
  <autoFilter ref="F10:R23" xr:uid="{775A9D08-1377-468A-AF05-D7853C9878D0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</autoFilter>
  <tableColumns count="13">
    <tableColumn id="1" xr3:uid="{097AA7CE-2C19-4522-AFCC-2D7077ABB6B9}" name="Grupo Homogéneo" dataDxfId="12"/>
    <tableColumn id="2" xr3:uid="{B5D1F10D-371F-4B26-972F-7E20D881EF10}" name="Proceso" dataDxfId="11"/>
    <tableColumn id="13" xr3:uid="{FF6FE109-3B40-4C8B-9BD2-B6E374CBAB1A}" name="Uso final de energía" dataDxfId="10"/>
    <tableColumn id="3" xr3:uid="{D5C4E4C9-E4CD-42F0-B878-EAED958F5FA0}" name="Energético" dataDxfId="9"/>
    <tableColumn id="4" xr3:uid="{B7B5D837-72C9-44E9-A5D9-0A2D73C6B023}" name="Producto final" dataDxfId="8"/>
    <tableColumn id="5" xr3:uid="{3CF749A7-0CC3-4EAE-8383-BA07291F80FF}" name="Unidades indicador producción" dataDxfId="7"/>
    <tableColumn id="6" xr3:uid="{380EDCBC-1202-4CB0-B868-AB32DBAE2810}" name="Indicador" dataDxfId="6"/>
    <tableColumn id="7" xr3:uid="{F7C4E07E-D41C-4EB3-84F4-91947724497C}" name="Parámetro" dataDxfId="5">
      <calculatedColumnFormula>IFERROR(RIGHT(Tabla2[[#This Row],[Unidades indicador producción]], LEN(Tabla2[[#This Row],[Unidades indicador producción]])-FIND("/", Tabla2[[#This Row],[Unidades indicador producción]])), "")</calculatedColumnFormula>
    </tableColumn>
    <tableColumn id="8" xr3:uid="{0FF27519-F70B-45F1-A622-B58EACF1F88B}" name="Indicador área" dataDxfId="4">
      <calculatedColumnFormula>IF(Tabla2[[#This Row],[Parámetro]]="Tn",Tabla2[[#This Row],[Indicador]]*$B$6,Tabla2[[#This Row],[Indicador]])</calculatedColumnFormula>
    </tableColumn>
    <tableColumn id="9" xr3:uid="{3AD82B07-3885-48D4-987A-DBF40EFD0198}" name="Unidades" dataDxfId="3">
      <calculatedColumnFormula>"MJ/Ha"</calculatedColumnFormula>
    </tableColumn>
    <tableColumn id="10" xr3:uid="{E16307D2-7B0D-4BEC-94C3-8D5C9401D2A7}" name="Consumo energía [MJ/año]" dataDxfId="2">
      <calculatedColumnFormula>(Tabla2[[#This Row],[Indicador área]]*$B$5)</calculatedColumnFormula>
    </tableColumn>
    <tableColumn id="11" xr3:uid="{FE626F67-799A-42EA-B8A9-49CDFDE24884}" name="Participación" dataDxfId="1" dataCellStyle="Porcentaje">
      <calculatedColumnFormula>Tabla2[[#This Row],[Consumo energía '[MJ/año']]]/$P$9</calculatedColumnFormula>
    </tableColumn>
    <tableColumn id="12" xr3:uid="{7086C9BD-B934-481E-8C4B-89ECAFF5B96C}" name="Consumo energía corregido [MJ/año]" dataDxfId="0">
      <calculatedColumnFormula>IF(Tabla2[[#This Row],[Energético]]="Energía Eléctrica",((Tabla2[[#This Row],[Participación]]*$D$29)/SUMIF(Tabla2[Energético],"Energía Eléctrica",Tabla2[Participación]))*$B$32,Tabla2[[#This Row],[Consumo energía '[MJ/año']]])</calculatedColumnFormula>
    </tableColumn>
  </tableColumns>
  <tableStyleInfo name="TableStyleLight14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687B94-0509-445A-B37A-7AD68697CF57}">
  <dimension ref="A1:R38"/>
  <sheetViews>
    <sheetView showGridLines="0" tabSelected="1" workbookViewId="0">
      <selection activeCell="R11" sqref="R11"/>
    </sheetView>
  </sheetViews>
  <sheetFormatPr baseColWidth="10" defaultRowHeight="12.75" x14ac:dyDescent="0.2"/>
  <cols>
    <col min="1" max="1" width="28.28515625" customWidth="1"/>
    <col min="2" max="4" width="16.42578125" customWidth="1"/>
    <col min="6" max="6" width="20.28515625" customWidth="1"/>
    <col min="7" max="8" width="24.5703125" customWidth="1"/>
    <col min="9" max="9" width="26.5703125" customWidth="1"/>
    <col min="10" max="10" width="17.7109375" bestFit="1" customWidth="1"/>
    <col min="11" max="11" width="19.7109375" customWidth="1"/>
    <col min="12" max="12" width="11.7109375" customWidth="1"/>
    <col min="14" max="14" width="15" customWidth="1"/>
    <col min="16" max="16" width="24.5703125" customWidth="1"/>
    <col min="17" max="17" width="13.5703125" customWidth="1"/>
    <col min="18" max="18" width="24" customWidth="1"/>
  </cols>
  <sheetData>
    <row r="1" spans="1:18" ht="18" x14ac:dyDescent="0.25">
      <c r="A1" s="15"/>
    </row>
    <row r="3" spans="1:18" x14ac:dyDescent="0.2">
      <c r="A3" s="50" t="s">
        <v>62</v>
      </c>
      <c r="B3" s="51"/>
      <c r="C3" s="4"/>
    </row>
    <row r="4" spans="1:18" x14ac:dyDescent="0.2">
      <c r="A4" s="5" t="s">
        <v>33</v>
      </c>
      <c r="B4" s="14" t="s">
        <v>38</v>
      </c>
      <c r="C4" s="4"/>
    </row>
    <row r="5" spans="1:18" x14ac:dyDescent="0.2">
      <c r="A5" s="6" t="s">
        <v>13</v>
      </c>
      <c r="B5" s="7">
        <v>534915</v>
      </c>
      <c r="C5" s="33" t="s">
        <v>67</v>
      </c>
    </row>
    <row r="6" spans="1:18" x14ac:dyDescent="0.2">
      <c r="A6" s="6" t="s">
        <v>14</v>
      </c>
      <c r="B6" s="7">
        <v>5.8</v>
      </c>
      <c r="C6" s="33" t="s">
        <v>68</v>
      </c>
    </row>
    <row r="7" spans="1:18" ht="25.5" x14ac:dyDescent="0.2">
      <c r="A7" s="8" t="s">
        <v>15</v>
      </c>
      <c r="B7" s="7">
        <f>B11+(B12*D12)</f>
        <v>5324201.4815520328</v>
      </c>
      <c r="C7" s="33" t="s">
        <v>60</v>
      </c>
    </row>
    <row r="8" spans="1:18" ht="26.25" x14ac:dyDescent="0.25">
      <c r="A8" s="8" t="s">
        <v>69</v>
      </c>
      <c r="B8" s="22">
        <f>+B7*3.6</f>
        <v>19167125.333587319</v>
      </c>
      <c r="C8" s="1"/>
      <c r="F8" s="48" t="s">
        <v>61</v>
      </c>
      <c r="G8" s="48"/>
      <c r="H8" s="48"/>
      <c r="I8" s="48"/>
      <c r="J8" s="48"/>
      <c r="K8" s="48"/>
      <c r="L8" s="48"/>
      <c r="R8" s="12" t="s">
        <v>36</v>
      </c>
    </row>
    <row r="9" spans="1:18" ht="35.25" customHeight="1" x14ac:dyDescent="0.25">
      <c r="K9" s="3" t="s">
        <v>29</v>
      </c>
      <c r="P9" s="13">
        <f>SUM(Tabla2[Consumo energía '[MJ/año']])</f>
        <v>7528488480.2427702</v>
      </c>
      <c r="R9" s="37">
        <f>SUM(Tabla2[Consumo energía corregido '[MJ/año']])</f>
        <v>7530423725.3867579</v>
      </c>
    </row>
    <row r="10" spans="1:18" s="2" customFormat="1" ht="38.25" x14ac:dyDescent="0.2">
      <c r="A10" s="16" t="s">
        <v>62</v>
      </c>
      <c r="B10" s="16" t="s">
        <v>66</v>
      </c>
      <c r="C10" s="16" t="s">
        <v>64</v>
      </c>
      <c r="D10" s="16" t="s">
        <v>1</v>
      </c>
      <c r="F10" s="23" t="s">
        <v>16</v>
      </c>
      <c r="G10" s="24" t="s">
        <v>17</v>
      </c>
      <c r="H10" s="24" t="s">
        <v>55</v>
      </c>
      <c r="I10" s="24" t="s">
        <v>18</v>
      </c>
      <c r="J10" s="24" t="s">
        <v>22</v>
      </c>
      <c r="K10" s="25" t="s">
        <v>23</v>
      </c>
      <c r="L10" s="24" t="s">
        <v>24</v>
      </c>
      <c r="M10" s="24" t="s">
        <v>26</v>
      </c>
      <c r="N10" s="24" t="s">
        <v>27</v>
      </c>
      <c r="O10" s="24" t="s">
        <v>28</v>
      </c>
      <c r="P10" s="26" t="s">
        <v>70</v>
      </c>
      <c r="Q10" s="24" t="s">
        <v>1</v>
      </c>
      <c r="R10" s="24" t="s">
        <v>71</v>
      </c>
    </row>
    <row r="11" spans="1:18" x14ac:dyDescent="0.2">
      <c r="A11" s="38" t="s">
        <v>57</v>
      </c>
      <c r="B11" s="39">
        <v>3076431.0462868661</v>
      </c>
      <c r="C11" s="44" t="s">
        <v>65</v>
      </c>
      <c r="D11" s="45">
        <v>1</v>
      </c>
      <c r="F11" s="27" t="s">
        <v>38</v>
      </c>
      <c r="G11" s="28" t="s">
        <v>39</v>
      </c>
      <c r="H11" s="28" t="s">
        <v>56</v>
      </c>
      <c r="I11" s="28" t="s">
        <v>3</v>
      </c>
      <c r="J11" s="28" t="s">
        <v>40</v>
      </c>
      <c r="K11" s="28" t="s">
        <v>41</v>
      </c>
      <c r="L11" s="29">
        <v>1675.943176</v>
      </c>
      <c r="M11" s="30" t="str">
        <f>IFERROR(RIGHT(Tabla2[[#This Row],[Unidades indicador producción]], LEN(Tabla2[[#This Row],[Unidades indicador producción]])-FIND("/", Tabla2[[#This Row],[Unidades indicador producción]])), "")</f>
        <v>Tn</v>
      </c>
      <c r="N11" s="31">
        <f>IF(Tabla2[[#This Row],[Parámetro]]="Tn",Tabla2[[#This Row],[Indicador]]*$B$6,Tabla2[[#This Row],[Indicador]])</f>
        <v>9720.4704208000003</v>
      </c>
      <c r="O11" s="30" t="str">
        <f t="shared" ref="O11" si="0">"MJ/Ha"</f>
        <v>MJ/Ha</v>
      </c>
      <c r="P11" s="32">
        <f>(Tabla2[[#This Row],[Indicador área]]*$B$5)</f>
        <v>5199625435.1422319</v>
      </c>
      <c r="Q11" s="35">
        <f>Tabla2[[#This Row],[Consumo energía '[MJ/año']]]/$P$9</f>
        <v>0.69065994439491529</v>
      </c>
      <c r="R11" s="36">
        <f>IF(Tabla2[[#This Row],[Energético]]="Energía Eléctrica",((Tabla2[[#This Row],[Participación]]*$D$29)/SUMIF(Tabla2[Energético],"Energía Eléctrica",Tabla2[Participación]))*$B$32,Tabla2[[#This Row],[Consumo energía '[MJ/año']]])</f>
        <v>5199625435.1422319</v>
      </c>
    </row>
    <row r="12" spans="1:18" ht="25.5" x14ac:dyDescent="0.2">
      <c r="A12" s="40" t="s">
        <v>58</v>
      </c>
      <c r="B12" s="7">
        <v>3354881.2466644268</v>
      </c>
      <c r="C12" s="46" t="s">
        <v>59</v>
      </c>
      <c r="D12" s="47">
        <v>0.67</v>
      </c>
      <c r="F12" s="27" t="s">
        <v>38</v>
      </c>
      <c r="G12" s="28" t="s">
        <v>42</v>
      </c>
      <c r="H12" s="28" t="s">
        <v>56</v>
      </c>
      <c r="I12" s="28" t="s">
        <v>9</v>
      </c>
      <c r="J12" s="28" t="s">
        <v>43</v>
      </c>
      <c r="K12" s="28" t="s">
        <v>25</v>
      </c>
      <c r="L12" s="29">
        <v>8.050480769</v>
      </c>
      <c r="M12" s="34" t="str">
        <f>IFERROR(RIGHT(Tabla2[[#This Row],[Unidades indicador producción]], LEN(Tabla2[[#This Row],[Unidades indicador producción]])-FIND("/", Tabla2[[#This Row],[Unidades indicador producción]])), "")</f>
        <v>Ha</v>
      </c>
      <c r="N12" s="31">
        <f>IF(Tabla2[[#This Row],[Parámetro]]="Tn",Tabla2[[#This Row],[Indicador]]*$B$6,Tabla2[[#This Row],[Indicador]])</f>
        <v>8.050480769</v>
      </c>
      <c r="O12" s="34" t="str">
        <f t="shared" ref="O12:O23" si="1">"MJ/Ha"</f>
        <v>MJ/Ha</v>
      </c>
      <c r="P12" s="32">
        <f>(Tabla2[[#This Row],[Indicador área]]*$B$5)</f>
        <v>4306322.9205496348</v>
      </c>
      <c r="Q12" s="35">
        <f>Tabla2[[#This Row],[Consumo energía '[MJ/año']]]/$P$9</f>
        <v>5.7200365410013481E-4</v>
      </c>
      <c r="R12" s="36">
        <f>IF(Tabla2[[#This Row],[Energético]]="Energía Eléctrica",((Tabla2[[#This Row],[Participación]]*$D$29)/SUMIF(Tabla2[Energético],"Energía Eléctrica",Tabla2[Participación]))*$B$32,Tabla2[[#This Row],[Consumo energía '[MJ/año']]])</f>
        <v>4306322.9205496348</v>
      </c>
    </row>
    <row r="13" spans="1:18" x14ac:dyDescent="0.2">
      <c r="F13" s="27" t="s">
        <v>38</v>
      </c>
      <c r="G13" s="28" t="s">
        <v>19</v>
      </c>
      <c r="H13" s="28" t="s">
        <v>56</v>
      </c>
      <c r="I13" s="28" t="s">
        <v>3</v>
      </c>
      <c r="J13" s="28" t="s">
        <v>44</v>
      </c>
      <c r="K13" s="28" t="s">
        <v>25</v>
      </c>
      <c r="L13" s="29">
        <v>35.423818650000001</v>
      </c>
      <c r="M13" s="34" t="str">
        <f>IFERROR(RIGHT(Tabla2[[#This Row],[Unidades indicador producción]], LEN(Tabla2[[#This Row],[Unidades indicador producción]])-FIND("/", Tabla2[[#This Row],[Unidades indicador producción]])), "")</f>
        <v>Ha</v>
      </c>
      <c r="N13" s="31">
        <f>IF(Tabla2[[#This Row],[Parámetro]]="Tn",Tabla2[[#This Row],[Indicador]]*$B$6,Tabla2[[#This Row],[Indicador]])</f>
        <v>35.423818650000001</v>
      </c>
      <c r="O13" s="34" t="str">
        <f t="shared" si="1"/>
        <v>MJ/Ha</v>
      </c>
      <c r="P13" s="32">
        <f>(Tabla2[[#This Row],[Indicador área]]*$B$5)</f>
        <v>18948731.953164749</v>
      </c>
      <c r="Q13" s="35">
        <f>Tabla2[[#This Row],[Consumo energía '[MJ/año']]]/$P$9</f>
        <v>2.5169370987140984E-3</v>
      </c>
      <c r="R13" s="36">
        <f>IF(Tabla2[[#This Row],[Energético]]="Energía Eléctrica",((Tabla2[[#This Row],[Participación]]*$D$29)/SUMIF(Tabla2[Energético],"Energía Eléctrica",Tabla2[Participación]))*$B$32,Tabla2[[#This Row],[Consumo energía '[MJ/año']]])</f>
        <v>18948731.953164749</v>
      </c>
    </row>
    <row r="14" spans="1:18" x14ac:dyDescent="0.2">
      <c r="F14" s="27" t="s">
        <v>38</v>
      </c>
      <c r="G14" s="28" t="s">
        <v>19</v>
      </c>
      <c r="H14" s="28" t="s">
        <v>56</v>
      </c>
      <c r="I14" s="28" t="s">
        <v>9</v>
      </c>
      <c r="J14" s="28" t="s">
        <v>44</v>
      </c>
      <c r="K14" s="28" t="s">
        <v>25</v>
      </c>
      <c r="L14" s="29">
        <v>24.069292229999999</v>
      </c>
      <c r="M14" s="34" t="str">
        <f>IFERROR(RIGHT(Tabla2[[#This Row],[Unidades indicador producción]], LEN(Tabla2[[#This Row],[Unidades indicador producción]])-FIND("/", Tabla2[[#This Row],[Unidades indicador producción]])), "")</f>
        <v>Ha</v>
      </c>
      <c r="N14" s="31">
        <f>IF(Tabla2[[#This Row],[Parámetro]]="Tn",Tabla2[[#This Row],[Indicador]]*$B$6,Tabla2[[#This Row],[Indicador]])</f>
        <v>24.069292229999999</v>
      </c>
      <c r="O14" s="34" t="str">
        <f t="shared" si="1"/>
        <v>MJ/Ha</v>
      </c>
      <c r="P14" s="32">
        <f>(Tabla2[[#This Row],[Indicador área]]*$B$5)</f>
        <v>12875025.453210449</v>
      </c>
      <c r="Q14" s="35">
        <f>Tabla2[[#This Row],[Consumo energía '[MJ/año']]]/$P$9</f>
        <v>1.7101740259015804E-3</v>
      </c>
      <c r="R14" s="36">
        <f>IF(Tabla2[[#This Row],[Energético]]="Energía Eléctrica",((Tabla2[[#This Row],[Participación]]*$D$29)/SUMIF(Tabla2[Energético],"Energía Eléctrica",Tabla2[Participación]))*$B$32,Tabla2[[#This Row],[Consumo energía '[MJ/año']]])</f>
        <v>12875025.453210449</v>
      </c>
    </row>
    <row r="15" spans="1:18" x14ac:dyDescent="0.2">
      <c r="F15" s="27" t="s">
        <v>38</v>
      </c>
      <c r="G15" s="28" t="s">
        <v>20</v>
      </c>
      <c r="H15" s="28" t="s">
        <v>56</v>
      </c>
      <c r="I15" s="28" t="s">
        <v>3</v>
      </c>
      <c r="J15" s="28" t="s">
        <v>45</v>
      </c>
      <c r="K15" s="28" t="s">
        <v>25</v>
      </c>
      <c r="L15" s="29">
        <v>659.71933460000002</v>
      </c>
      <c r="M15" s="34" t="str">
        <f>IFERROR(RIGHT(Tabla2[[#This Row],[Unidades indicador producción]], LEN(Tabla2[[#This Row],[Unidades indicador producción]])-FIND("/", Tabla2[[#This Row],[Unidades indicador producción]])), "")</f>
        <v>Ha</v>
      </c>
      <c r="N15" s="31">
        <f>IF(Tabla2[[#This Row],[Parámetro]]="Tn",Tabla2[[#This Row],[Indicador]]*$B$6,Tabla2[[#This Row],[Indicador]])</f>
        <v>659.71933460000002</v>
      </c>
      <c r="O15" s="34" t="str">
        <f t="shared" si="1"/>
        <v>MJ/Ha</v>
      </c>
      <c r="P15" s="32">
        <f>(Tabla2[[#This Row],[Indicador área]]*$B$5)</f>
        <v>352893767.86755902</v>
      </c>
      <c r="Q15" s="35">
        <f>Tabla2[[#This Row],[Consumo energía '[MJ/año']]]/$P$9</f>
        <v>4.6874451464416572E-2</v>
      </c>
      <c r="R15" s="36">
        <f>IF(Tabla2[[#This Row],[Energético]]="Energía Eléctrica",((Tabla2[[#This Row],[Participación]]*$D$29)/SUMIF(Tabla2[Energético],"Energía Eléctrica",Tabla2[Participación]))*$B$32,Tabla2[[#This Row],[Consumo energía '[MJ/año']]])</f>
        <v>352893767.86755902</v>
      </c>
    </row>
    <row r="16" spans="1:18" x14ac:dyDescent="0.2">
      <c r="F16" s="27" t="s">
        <v>38</v>
      </c>
      <c r="G16" s="28" t="s">
        <v>20</v>
      </c>
      <c r="H16" s="28" t="s">
        <v>56</v>
      </c>
      <c r="I16" s="28" t="s">
        <v>3</v>
      </c>
      <c r="J16" s="28" t="s">
        <v>46</v>
      </c>
      <c r="K16" s="28" t="s">
        <v>25</v>
      </c>
      <c r="L16" s="29">
        <v>328.05641029999998</v>
      </c>
      <c r="M16" s="34" t="str">
        <f>IFERROR(RIGHT(Tabla2[[#This Row],[Unidades indicador producción]], LEN(Tabla2[[#This Row],[Unidades indicador producción]])-FIND("/", Tabla2[[#This Row],[Unidades indicador producción]])), "")</f>
        <v>Ha</v>
      </c>
      <c r="N16" s="31">
        <f>IF(Tabla2[[#This Row],[Parámetro]]="Tn",Tabla2[[#This Row],[Indicador]]*$B$6,Tabla2[[#This Row],[Indicador]])</f>
        <v>328.05641029999998</v>
      </c>
      <c r="O16" s="34" t="str">
        <f t="shared" si="1"/>
        <v>MJ/Ha</v>
      </c>
      <c r="P16" s="32">
        <f>(Tabla2[[#This Row],[Indicador área]]*$B$5)</f>
        <v>175482294.71562448</v>
      </c>
      <c r="Q16" s="35">
        <f>Tabla2[[#This Row],[Consumo energía '[MJ/año']]]/$P$9</f>
        <v>2.3309100515481657E-2</v>
      </c>
      <c r="R16" s="36">
        <f>IF(Tabla2[[#This Row],[Energético]]="Energía Eléctrica",((Tabla2[[#This Row],[Participación]]*$D$29)/SUMIF(Tabla2[Energético],"Energía Eléctrica",Tabla2[Participación]))*$B$32,Tabla2[[#This Row],[Consumo energía '[MJ/año']]])</f>
        <v>175482294.71562448</v>
      </c>
    </row>
    <row r="17" spans="1:18" x14ac:dyDescent="0.2">
      <c r="F17" s="27" t="s">
        <v>38</v>
      </c>
      <c r="G17" s="28" t="s">
        <v>20</v>
      </c>
      <c r="H17" s="28" t="s">
        <v>56</v>
      </c>
      <c r="I17" s="28" t="s">
        <v>3</v>
      </c>
      <c r="J17" s="28" t="s">
        <v>47</v>
      </c>
      <c r="K17" s="28" t="s">
        <v>25</v>
      </c>
      <c r="L17" s="29">
        <v>360.91321870000002</v>
      </c>
      <c r="M17" s="34" t="str">
        <f>IFERROR(RIGHT(Tabla2[[#This Row],[Unidades indicador producción]], LEN(Tabla2[[#This Row],[Unidades indicador producción]])-FIND("/", Tabla2[[#This Row],[Unidades indicador producción]])), "")</f>
        <v>Ha</v>
      </c>
      <c r="N17" s="31">
        <f>IF(Tabla2[[#This Row],[Parámetro]]="Tn",Tabla2[[#This Row],[Indicador]]*$B$6,Tabla2[[#This Row],[Indicador]])</f>
        <v>360.91321870000002</v>
      </c>
      <c r="O17" s="34" t="str">
        <f t="shared" si="1"/>
        <v>MJ/Ha</v>
      </c>
      <c r="P17" s="32">
        <f>(Tabla2[[#This Row],[Indicador área]]*$B$5)</f>
        <v>193057894.38091052</v>
      </c>
      <c r="Q17" s="35">
        <f>Tabla2[[#This Row],[Consumo energía '[MJ/año']]]/$P$9</f>
        <v>2.5643646116688353E-2</v>
      </c>
      <c r="R17" s="36">
        <f>IF(Tabla2[[#This Row],[Energético]]="Energía Eléctrica",((Tabla2[[#This Row],[Participación]]*$D$29)/SUMIF(Tabla2[Energético],"Energía Eléctrica",Tabla2[Participación]))*$B$32,Tabla2[[#This Row],[Consumo energía '[MJ/año']]])</f>
        <v>193057894.38091052</v>
      </c>
    </row>
    <row r="18" spans="1:18" x14ac:dyDescent="0.2">
      <c r="F18" s="27" t="s">
        <v>38</v>
      </c>
      <c r="G18" s="28" t="s">
        <v>20</v>
      </c>
      <c r="H18" s="28" t="s">
        <v>56</v>
      </c>
      <c r="I18" s="28" t="s">
        <v>3</v>
      </c>
      <c r="J18" s="28" t="s">
        <v>48</v>
      </c>
      <c r="K18" s="28" t="s">
        <v>25</v>
      </c>
      <c r="L18" s="29">
        <v>424.66807840000001</v>
      </c>
      <c r="M18" s="34" t="str">
        <f>IFERROR(RIGHT(Tabla2[[#This Row],[Unidades indicador producción]], LEN(Tabla2[[#This Row],[Unidades indicador producción]])-FIND("/", Tabla2[[#This Row],[Unidades indicador producción]])), "")</f>
        <v>Ha</v>
      </c>
      <c r="N18" s="31">
        <f>IF(Tabla2[[#This Row],[Parámetro]]="Tn",Tabla2[[#This Row],[Indicador]]*$B$6,Tabla2[[#This Row],[Indicador]])</f>
        <v>424.66807840000001</v>
      </c>
      <c r="O18" s="34" t="str">
        <f t="shared" si="1"/>
        <v>MJ/Ha</v>
      </c>
      <c r="P18" s="32">
        <f>(Tabla2[[#This Row],[Indicador área]]*$B$5)</f>
        <v>227161325.157336</v>
      </c>
      <c r="Q18" s="35">
        <f>Tabla2[[#This Row],[Consumo energía '[MJ/año']]]/$P$9</f>
        <v>3.0173563491992055E-2</v>
      </c>
      <c r="R18" s="36">
        <f>IF(Tabla2[[#This Row],[Energético]]="Energía Eléctrica",((Tabla2[[#This Row],[Participación]]*$D$29)/SUMIF(Tabla2[Energético],"Energía Eléctrica",Tabla2[Participación]))*$B$32,Tabla2[[#This Row],[Consumo energía '[MJ/año']]])</f>
        <v>227161325.157336</v>
      </c>
    </row>
    <row r="19" spans="1:18" x14ac:dyDescent="0.2">
      <c r="F19" s="27" t="s">
        <v>38</v>
      </c>
      <c r="G19" s="28" t="s">
        <v>20</v>
      </c>
      <c r="H19" s="28" t="s">
        <v>56</v>
      </c>
      <c r="I19" s="28" t="s">
        <v>3</v>
      </c>
      <c r="J19" s="28" t="s">
        <v>49</v>
      </c>
      <c r="K19" s="28" t="s">
        <v>25</v>
      </c>
      <c r="L19" s="29">
        <v>269.13999059999998</v>
      </c>
      <c r="M19" s="34" t="str">
        <f>IFERROR(RIGHT(Tabla2[[#This Row],[Unidades indicador producción]], LEN(Tabla2[[#This Row],[Unidades indicador producción]])-FIND("/", Tabla2[[#This Row],[Unidades indicador producción]])), "")</f>
        <v>Ha</v>
      </c>
      <c r="N19" s="31">
        <f>IF(Tabla2[[#This Row],[Parámetro]]="Tn",Tabla2[[#This Row],[Indicador]]*$B$6,Tabla2[[#This Row],[Indicador]])</f>
        <v>269.13999059999998</v>
      </c>
      <c r="O19" s="34" t="str">
        <f t="shared" si="1"/>
        <v>MJ/Ha</v>
      </c>
      <c r="P19" s="32">
        <f>(Tabla2[[#This Row],[Indicador área]]*$B$5)</f>
        <v>143967018.07179898</v>
      </c>
      <c r="Q19" s="35">
        <f>Tabla2[[#This Row],[Consumo energía '[MJ/año']]]/$P$9</f>
        <v>1.9122964516664374E-2</v>
      </c>
      <c r="R19" s="36">
        <f>IF(Tabla2[[#This Row],[Energético]]="Energía Eléctrica",((Tabla2[[#This Row],[Participación]]*$D$29)/SUMIF(Tabla2[Energético],"Energía Eléctrica",Tabla2[Participación]))*$B$32,Tabla2[[#This Row],[Consumo energía '[MJ/año']]])</f>
        <v>143967018.07179898</v>
      </c>
    </row>
    <row r="20" spans="1:18" x14ac:dyDescent="0.2">
      <c r="F20" s="27" t="s">
        <v>38</v>
      </c>
      <c r="G20" s="28" t="s">
        <v>20</v>
      </c>
      <c r="H20" s="28" t="s">
        <v>56</v>
      </c>
      <c r="I20" s="28" t="s">
        <v>3</v>
      </c>
      <c r="J20" s="28" t="s">
        <v>50</v>
      </c>
      <c r="K20" s="28" t="s">
        <v>25</v>
      </c>
      <c r="L20" s="29">
        <v>457.84676189999999</v>
      </c>
      <c r="M20" s="34" t="str">
        <f>IFERROR(RIGHT(Tabla2[[#This Row],[Unidades indicador producción]], LEN(Tabla2[[#This Row],[Unidades indicador producción]])-FIND("/", Tabla2[[#This Row],[Unidades indicador producción]])), "")</f>
        <v>Ha</v>
      </c>
      <c r="N20" s="31">
        <f>IF(Tabla2[[#This Row],[Parámetro]]="Tn",Tabla2[[#This Row],[Indicador]]*$B$6,Tabla2[[#This Row],[Indicador]])</f>
        <v>457.84676189999999</v>
      </c>
      <c r="O20" s="34" t="str">
        <f t="shared" si="1"/>
        <v>MJ/Ha</v>
      </c>
      <c r="P20" s="32">
        <f>(Tabla2[[#This Row],[Indicador área]]*$B$5)</f>
        <v>244909100.6417385</v>
      </c>
      <c r="Q20" s="35">
        <f>Tabla2[[#This Row],[Consumo energía '[MJ/año']]]/$P$9</f>
        <v>3.253097899856798E-2</v>
      </c>
      <c r="R20" s="36">
        <f>IF(Tabla2[[#This Row],[Energético]]="Energía Eléctrica",((Tabla2[[#This Row],[Participación]]*$D$29)/SUMIF(Tabla2[Energético],"Energía Eléctrica",Tabla2[Participación]))*$B$32,Tabla2[[#This Row],[Consumo energía '[MJ/año']]])</f>
        <v>244909100.6417385</v>
      </c>
    </row>
    <row r="21" spans="1:18" x14ac:dyDescent="0.2">
      <c r="F21" s="27" t="s">
        <v>38</v>
      </c>
      <c r="G21" s="28" t="s">
        <v>21</v>
      </c>
      <c r="H21" s="28" t="s">
        <v>56</v>
      </c>
      <c r="I21" s="28" t="s">
        <v>3</v>
      </c>
      <c r="J21" s="28" t="s">
        <v>51</v>
      </c>
      <c r="K21" s="28" t="s">
        <v>25</v>
      </c>
      <c r="L21" s="29">
        <v>301.37658320000003</v>
      </c>
      <c r="M21" s="34" t="str">
        <f>IFERROR(RIGHT(Tabla2[[#This Row],[Unidades indicador producción]], LEN(Tabla2[[#This Row],[Unidades indicador producción]])-FIND("/", Tabla2[[#This Row],[Unidades indicador producción]])), "")</f>
        <v>Ha</v>
      </c>
      <c r="N21" s="31">
        <f>IF(Tabla2[[#This Row],[Parámetro]]="Tn",Tabla2[[#This Row],[Indicador]]*$B$6,Tabla2[[#This Row],[Indicador]])</f>
        <v>301.37658320000003</v>
      </c>
      <c r="O21" s="34" t="str">
        <f t="shared" si="1"/>
        <v>MJ/Ha</v>
      </c>
      <c r="P21" s="32">
        <f>(Tabla2[[#This Row],[Indicador área]]*$B$5)</f>
        <v>161210855.00242803</v>
      </c>
      <c r="Q21" s="35">
        <f>Tabla2[[#This Row],[Consumo energía '[MJ/año']]]/$P$9</f>
        <v>2.1413442475936347E-2</v>
      </c>
      <c r="R21" s="36">
        <f>IF(Tabla2[[#This Row],[Energético]]="Energía Eléctrica",((Tabla2[[#This Row],[Participación]]*$D$29)/SUMIF(Tabla2[Energético],"Energía Eléctrica",Tabla2[Participación]))*$B$32,Tabla2[[#This Row],[Consumo energía '[MJ/año']]])</f>
        <v>161210855.00242803</v>
      </c>
    </row>
    <row r="22" spans="1:18" x14ac:dyDescent="0.2">
      <c r="F22" s="27" t="s">
        <v>38</v>
      </c>
      <c r="G22" s="28" t="s">
        <v>52</v>
      </c>
      <c r="H22" s="28" t="s">
        <v>56</v>
      </c>
      <c r="I22" s="28" t="s">
        <v>2</v>
      </c>
      <c r="J22" s="28" t="s">
        <v>53</v>
      </c>
      <c r="K22" s="28" t="s">
        <v>25</v>
      </c>
      <c r="L22" s="29">
        <v>32.214239999999997</v>
      </c>
      <c r="M22" s="34" t="str">
        <f>IFERROR(RIGHT(Tabla2[[#This Row],[Unidades indicador producción]], LEN(Tabla2[[#This Row],[Unidades indicador producción]])-FIND("/", Tabla2[[#This Row],[Unidades indicador producción]])), "")</f>
        <v>Ha</v>
      </c>
      <c r="N22" s="31">
        <f>IF(Tabla2[[#This Row],[Parámetro]]="Tn",Tabla2[[#This Row],[Indicador]]*$B$6,Tabla2[[#This Row],[Indicador]])</f>
        <v>32.214239999999997</v>
      </c>
      <c r="O22" s="34" t="str">
        <f t="shared" si="1"/>
        <v>MJ/Ha</v>
      </c>
      <c r="P22" s="32">
        <f>(Tabla2[[#This Row],[Indicador área]]*$B$5)</f>
        <v>17231880.189599998</v>
      </c>
      <c r="Q22" s="35">
        <f>Tabla2[[#This Row],[Consumo energía '[MJ/año']]]/$P$9</f>
        <v>2.2888897598531393E-3</v>
      </c>
      <c r="R22" s="36">
        <f>IF(Tabla2[[#This Row],[Energético]]="Energía Eléctrica",((Tabla2[[#This Row],[Participación]]*$D$29)/SUMIF(Tabla2[Energético],"Energía Eléctrica",Tabla2[Participación]))*$B$32,Tabla2[[#This Row],[Consumo energía '[MJ/año']]])</f>
        <v>19167125.333587319</v>
      </c>
    </row>
    <row r="23" spans="1:18" x14ac:dyDescent="0.2">
      <c r="F23" s="27" t="s">
        <v>38</v>
      </c>
      <c r="G23" s="28" t="s">
        <v>54</v>
      </c>
      <c r="H23" s="28" t="s">
        <v>56</v>
      </c>
      <c r="I23" s="28" t="s">
        <v>3</v>
      </c>
      <c r="J23" s="28" t="s">
        <v>40</v>
      </c>
      <c r="K23" s="28" t="s">
        <v>41</v>
      </c>
      <c r="L23" s="29">
        <v>250.38423080000001</v>
      </c>
      <c r="M23" s="34" t="str">
        <f>IFERROR(RIGHT(Tabla2[[#This Row],[Unidades indicador producción]], LEN(Tabla2[[#This Row],[Unidades indicador producción]])-FIND("/", Tabla2[[#This Row],[Unidades indicador producción]])), "")</f>
        <v>Tn</v>
      </c>
      <c r="N23" s="31">
        <f>IF(Tabla2[[#This Row],[Parámetro]]="Tn",Tabla2[[#This Row],[Indicador]]*$B$6,Tabla2[[#This Row],[Indicador]])</f>
        <v>1452.2285386400001</v>
      </c>
      <c r="O23" s="34" t="str">
        <f t="shared" si="1"/>
        <v>MJ/Ha</v>
      </c>
      <c r="P23" s="32">
        <f>(Tabla2[[#This Row],[Indicador área]]*$B$5)</f>
        <v>776818828.74661565</v>
      </c>
      <c r="Q23" s="35">
        <f>Tabla2[[#This Row],[Consumo energía '[MJ/año']]]/$P$9</f>
        <v>0.10318390348676813</v>
      </c>
      <c r="R23" s="36">
        <f>IF(Tabla2[[#This Row],[Energético]]="Energía Eléctrica",((Tabla2[[#This Row],[Participación]]*$D$29)/SUMIF(Tabla2[Energético],"Energía Eléctrica",Tabla2[Participación]))*$B$32,Tabla2[[#This Row],[Consumo energía '[MJ/año']]])</f>
        <v>776818828.74661565</v>
      </c>
    </row>
    <row r="26" spans="1:18" ht="15.75" x14ac:dyDescent="0.25">
      <c r="A26" s="48" t="s">
        <v>30</v>
      </c>
      <c r="B26" s="48"/>
      <c r="C26" s="48"/>
      <c r="D26" s="48"/>
    </row>
    <row r="28" spans="1:18" x14ac:dyDescent="0.2">
      <c r="A28" s="16" t="s">
        <v>0</v>
      </c>
      <c r="B28" s="16" t="s">
        <v>34</v>
      </c>
      <c r="C28" s="16" t="s">
        <v>35</v>
      </c>
      <c r="D28" s="16" t="s">
        <v>1</v>
      </c>
    </row>
    <row r="29" spans="1:18" x14ac:dyDescent="0.2">
      <c r="A29" s="17" t="s">
        <v>2</v>
      </c>
      <c r="B29" s="18">
        <f>B8</f>
        <v>19167125.333587319</v>
      </c>
      <c r="C29" s="19">
        <f>'Arroz Mecanizado'!$B29/1000000</f>
        <v>19.167125333587318</v>
      </c>
      <c r="D29" s="20">
        <f>B29/$B$32</f>
        <v>2.5452917435403555E-3</v>
      </c>
    </row>
    <row r="30" spans="1:18" x14ac:dyDescent="0.2">
      <c r="A30" s="17" t="s">
        <v>3</v>
      </c>
      <c r="B30" s="21">
        <f>SUMIF(Tabla2[Energético],A30,Tabla2[Consumo energía '[MJ/año']])</f>
        <v>7494075251.67941</v>
      </c>
      <c r="C30" s="19">
        <f>'Arroz Mecanizado'!$B30/1000000</f>
        <v>7494.07525167941</v>
      </c>
      <c r="D30" s="20">
        <f>B30/$B$32</f>
        <v>0.99517311707376988</v>
      </c>
    </row>
    <row r="31" spans="1:18" x14ac:dyDescent="0.2">
      <c r="A31" s="17" t="s">
        <v>9</v>
      </c>
      <c r="B31" s="21">
        <f>SUMIF(Tabla2[Energético],A31,Tabla2[Consumo energía '[MJ/año']])</f>
        <v>17181348.373760082</v>
      </c>
      <c r="C31" s="19">
        <f>'Arroz Mecanizado'!$B31/1000000</f>
        <v>17.181348373760081</v>
      </c>
      <c r="D31" s="20">
        <f>B31/$B$32</f>
        <v>2.2815911826897443E-3</v>
      </c>
    </row>
    <row r="32" spans="1:18" x14ac:dyDescent="0.2">
      <c r="A32" s="41" t="s">
        <v>63</v>
      </c>
      <c r="B32" s="42">
        <f>SUM(B29:B31)</f>
        <v>7530423725.3867579</v>
      </c>
      <c r="C32" s="42">
        <f>SUM(C29:C31)</f>
        <v>7530.4237253867568</v>
      </c>
      <c r="D32" s="43">
        <f>+D31+D30+D29</f>
        <v>1</v>
      </c>
    </row>
    <row r="36" spans="1:3" ht="18" x14ac:dyDescent="0.25">
      <c r="A36" s="49" t="s">
        <v>37</v>
      </c>
      <c r="B36" s="49"/>
      <c r="C36" s="49"/>
    </row>
    <row r="37" spans="1:3" x14ac:dyDescent="0.2">
      <c r="A37" s="9" t="str">
        <f>+A4</f>
        <v>Grupo Homogeneo</v>
      </c>
      <c r="B37" s="9" t="s">
        <v>31</v>
      </c>
      <c r="C37" s="9" t="s">
        <v>32</v>
      </c>
    </row>
    <row r="38" spans="1:3" x14ac:dyDescent="0.2">
      <c r="A38" s="10" t="str">
        <f>+$B$4</f>
        <v>Arroz mecanizado</v>
      </c>
      <c r="B38" s="11">
        <f>+B32/B5</f>
        <v>14077.795024231435</v>
      </c>
      <c r="C38" s="11">
        <f>B38/$B$6</f>
        <v>2427.2060386605922</v>
      </c>
    </row>
  </sheetData>
  <mergeCells count="4">
    <mergeCell ref="A26:D26"/>
    <mergeCell ref="F8:L8"/>
    <mergeCell ref="A36:C36"/>
    <mergeCell ref="A3:B3"/>
  </mergeCells>
  <phoneticPr fontId="8" type="noConversion"/>
  <pageMargins left="0.7" right="0.7" top="0.75" bottom="0.75" header="0.3" footer="0.3"/>
  <pageSetup paperSize="9" orientation="portrait" r:id="rId1"/>
  <tableParts count="1">
    <tablePart r:id="rId2"/>
  </tablePart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36025C92-C95A-4C51-AC01-1A2B533DB7BD}">
          <x14:formula1>
            <xm:f>Hoja2!$A$1:$A$11</xm:f>
          </x14:formula1>
          <xm:sqref>A29:A31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485FCD-0EFB-4C63-8DD7-A9391F860BF4}">
  <dimension ref="A1:A11"/>
  <sheetViews>
    <sheetView workbookViewId="0">
      <selection activeCell="C14" sqref="C14"/>
    </sheetView>
  </sheetViews>
  <sheetFormatPr baseColWidth="10" defaultRowHeight="12.75" x14ac:dyDescent="0.2"/>
  <sheetData>
    <row r="1" spans="1:1" x14ac:dyDescent="0.2">
      <c r="A1" t="s">
        <v>2</v>
      </c>
    </row>
    <row r="2" spans="1:1" x14ac:dyDescent="0.2">
      <c r="A2" t="s">
        <v>3</v>
      </c>
    </row>
    <row r="3" spans="1:1" x14ac:dyDescent="0.2">
      <c r="A3" t="s">
        <v>4</v>
      </c>
    </row>
    <row r="4" spans="1:1" x14ac:dyDescent="0.2">
      <c r="A4" t="s">
        <v>5</v>
      </c>
    </row>
    <row r="5" spans="1:1" x14ac:dyDescent="0.2">
      <c r="A5" t="s">
        <v>6</v>
      </c>
    </row>
    <row r="6" spans="1:1" x14ac:dyDescent="0.2">
      <c r="A6" t="s">
        <v>7</v>
      </c>
    </row>
    <row r="7" spans="1:1" x14ac:dyDescent="0.2">
      <c r="A7" t="s">
        <v>8</v>
      </c>
    </row>
    <row r="8" spans="1:1" x14ac:dyDescent="0.2">
      <c r="A8" t="s">
        <v>9</v>
      </c>
    </row>
    <row r="9" spans="1:1" x14ac:dyDescent="0.2">
      <c r="A9" t="s">
        <v>10</v>
      </c>
    </row>
    <row r="10" spans="1:1" x14ac:dyDescent="0.2">
      <c r="A10" t="s">
        <v>11</v>
      </c>
    </row>
    <row r="11" spans="1:1" x14ac:dyDescent="0.2">
      <c r="A11" t="s">
        <v>12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Arroz Mecanizado</vt:lpstr>
      <vt:lpstr>Hoja2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Andrés Steven Morales Rodríguez</dc:creator>
  <cp:lastModifiedBy>Andrés Steven Morales Rodríguez</cp:lastModifiedBy>
  <dcterms:created xsi:type="dcterms:W3CDTF">2023-12-20T19:43:59Z</dcterms:created>
  <dcterms:modified xsi:type="dcterms:W3CDTF">2024-01-23T20:57:12Z</dcterms:modified>
</cp:coreProperties>
</file>