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moralesr\Documents\1- Trabajos\3- Corpoema\2- Proyectos\8- Agroindustria\Plantillas\"/>
    </mc:Choice>
  </mc:AlternateContent>
  <xr:revisionPtr revIDLastSave="0" documentId="13_ncr:1_{411D6E04-B7BB-40EB-9232-1A2A6895ED63}" xr6:coauthVersionLast="47" xr6:coauthVersionMax="47" xr10:uidLastSave="{00000000-0000-0000-0000-000000000000}"/>
  <bookViews>
    <workbookView xWindow="-19320" yWindow="-120" windowWidth="19440" windowHeight="15000" tabRatio="847" activeTab="5" xr2:uid="{4F4AC0FB-F22A-4F96-AA86-2713B2BEDCFC}"/>
  </bookViews>
  <sheets>
    <sheet name="Participación" sheetId="2" r:id="rId1"/>
    <sheet name="Piña" sheetId="4" r:id="rId2"/>
    <sheet name="Pasifloras" sheetId="6" r:id="rId3"/>
    <sheet name="Fresa" sheetId="7" r:id="rId4"/>
    <sheet name="Papaya" sheetId="5" r:id="rId5"/>
    <sheet name="Uchuva" sheetId="10" r:id="rId6"/>
    <sheet name="Hoja3" sheetId="3" state="hidden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9" i="10" l="1"/>
  <c r="D32" i="10"/>
  <c r="C32" i="10"/>
  <c r="D32" i="5"/>
  <c r="C32" i="5"/>
  <c r="R9" i="7"/>
  <c r="D32" i="7"/>
  <c r="C32" i="7"/>
  <c r="D32" i="6"/>
  <c r="C32" i="6"/>
  <c r="R9" i="4"/>
  <c r="I30" i="2"/>
  <c r="F7" i="2" l="1"/>
  <c r="G8" i="2" s="1"/>
  <c r="G24" i="2" s="1"/>
  <c r="H30" i="2" s="1"/>
  <c r="J8" i="2"/>
  <c r="F24" i="2"/>
  <c r="I18" i="2" s="1"/>
  <c r="J18" i="2" l="1"/>
  <c r="B13" i="6" s="1"/>
  <c r="G10" i="2"/>
  <c r="G9" i="2"/>
  <c r="N33" i="2" s="1"/>
  <c r="I23" i="2"/>
  <c r="J23" i="2" s="1"/>
  <c r="I19" i="2"/>
  <c r="J19" i="2" s="1"/>
  <c r="I21" i="2"/>
  <c r="J21" i="2" s="1"/>
  <c r="I17" i="2"/>
  <c r="J17" i="2" s="1"/>
  <c r="M33" i="2"/>
  <c r="F30" i="2" s="1"/>
  <c r="P32" i="2" l="1"/>
  <c r="P21" i="2"/>
  <c r="P28" i="2"/>
  <c r="P27" i="2"/>
  <c r="P17" i="2"/>
  <c r="P23" i="2"/>
  <c r="P31" i="2"/>
  <c r="P25" i="2"/>
  <c r="P20" i="2"/>
  <c r="K18" i="2"/>
  <c r="P29" i="2"/>
  <c r="P24" i="2"/>
  <c r="P19" i="2"/>
  <c r="B13" i="4"/>
  <c r="K17" i="2"/>
  <c r="B13" i="5"/>
  <c r="K21" i="2"/>
  <c r="K19" i="2"/>
  <c r="B13" i="7"/>
  <c r="B13" i="10"/>
  <c r="K23" i="2"/>
  <c r="P30" i="2"/>
  <c r="P26" i="2"/>
  <c r="P22" i="2"/>
  <c r="P18" i="2"/>
  <c r="Q20" i="2" l="1"/>
  <c r="Q24" i="2"/>
  <c r="Q28" i="2"/>
  <c r="Q32" i="2"/>
  <c r="Q21" i="2"/>
  <c r="Q25" i="2"/>
  <c r="Q17" i="2"/>
  <c r="Q19" i="2"/>
  <c r="Q27" i="2"/>
  <c r="Q29" i="2"/>
  <c r="Q23" i="2"/>
  <c r="Q18" i="2"/>
  <c r="Q22" i="2"/>
  <c r="Q26" i="2"/>
  <c r="Q30" i="2"/>
  <c r="Q31" i="2"/>
  <c r="M12" i="10"/>
  <c r="M13" i="10"/>
  <c r="N13" i="10" s="1"/>
  <c r="P13" i="10" s="1"/>
  <c r="R13" i="10" s="1"/>
  <c r="M14" i="10"/>
  <c r="N14" i="10" s="1"/>
  <c r="P14" i="10" s="1"/>
  <c r="M15" i="10"/>
  <c r="N15" i="10" s="1"/>
  <c r="P15" i="10" s="1"/>
  <c r="R15" i="10" s="1"/>
  <c r="M16" i="10"/>
  <c r="M17" i="10"/>
  <c r="M18" i="10"/>
  <c r="N18" i="10" s="1"/>
  <c r="P18" i="10" s="1"/>
  <c r="R18" i="10" s="1"/>
  <c r="M19" i="10"/>
  <c r="N19" i="10" s="1"/>
  <c r="P19" i="10" s="1"/>
  <c r="R19" i="10" s="1"/>
  <c r="M20" i="10"/>
  <c r="M21" i="10"/>
  <c r="N21" i="10" s="1"/>
  <c r="P21" i="10" s="1"/>
  <c r="R21" i="10" s="1"/>
  <c r="M22" i="10"/>
  <c r="N22" i="10" s="1"/>
  <c r="P22" i="10" s="1"/>
  <c r="R22" i="10" s="1"/>
  <c r="M23" i="10"/>
  <c r="N23" i="10" s="1"/>
  <c r="P23" i="10" s="1"/>
  <c r="R23" i="10" s="1"/>
  <c r="M24" i="10"/>
  <c r="M25" i="10"/>
  <c r="N25" i="10" s="1"/>
  <c r="P25" i="10" s="1"/>
  <c r="R25" i="10" s="1"/>
  <c r="M26" i="10"/>
  <c r="N26" i="10" s="1"/>
  <c r="P26" i="10" s="1"/>
  <c r="R26" i="10" s="1"/>
  <c r="M27" i="10"/>
  <c r="N27" i="10" s="1"/>
  <c r="P27" i="10" s="1"/>
  <c r="R27" i="10" s="1"/>
  <c r="M28" i="10"/>
  <c r="M29" i="10"/>
  <c r="N29" i="10" s="1"/>
  <c r="P29" i="10" s="1"/>
  <c r="R29" i="10" s="1"/>
  <c r="M30" i="10"/>
  <c r="N30" i="10" s="1"/>
  <c r="P30" i="10" s="1"/>
  <c r="N12" i="10"/>
  <c r="P12" i="10" s="1"/>
  <c r="R12" i="10" s="1"/>
  <c r="N16" i="10"/>
  <c r="P16" i="10" s="1"/>
  <c r="R16" i="10" s="1"/>
  <c r="N17" i="10"/>
  <c r="P17" i="10" s="1"/>
  <c r="R17" i="10" s="1"/>
  <c r="N20" i="10"/>
  <c r="P20" i="10" s="1"/>
  <c r="R20" i="10" s="1"/>
  <c r="N24" i="10"/>
  <c r="P24" i="10" s="1"/>
  <c r="R24" i="10" s="1"/>
  <c r="N28" i="10"/>
  <c r="P28" i="10" s="1"/>
  <c r="R28" i="10" s="1"/>
  <c r="O12" i="10"/>
  <c r="O13" i="10"/>
  <c r="O14" i="10"/>
  <c r="O15" i="10"/>
  <c r="O16" i="10"/>
  <c r="O17" i="10"/>
  <c r="O18" i="10"/>
  <c r="O19" i="10"/>
  <c r="O20" i="10"/>
  <c r="O21" i="10"/>
  <c r="O22" i="10"/>
  <c r="O23" i="10"/>
  <c r="O24" i="10"/>
  <c r="O25" i="10"/>
  <c r="O26" i="10"/>
  <c r="O27" i="10"/>
  <c r="O28" i="10"/>
  <c r="O29" i="10"/>
  <c r="O30" i="10"/>
  <c r="M12" i="5"/>
  <c r="N12" i="5" s="1"/>
  <c r="P12" i="5" s="1"/>
  <c r="R12" i="5" s="1"/>
  <c r="M13" i="5"/>
  <c r="N13" i="5" s="1"/>
  <c r="P13" i="5" s="1"/>
  <c r="R13" i="5" s="1"/>
  <c r="M14" i="5"/>
  <c r="N14" i="5" s="1"/>
  <c r="P14" i="5" s="1"/>
  <c r="M15" i="5"/>
  <c r="N15" i="5" s="1"/>
  <c r="P15" i="5" s="1"/>
  <c r="R15" i="5" s="1"/>
  <c r="M16" i="5"/>
  <c r="N16" i="5" s="1"/>
  <c r="P16" i="5" s="1"/>
  <c r="R16" i="5" s="1"/>
  <c r="M17" i="5"/>
  <c r="N17" i="5" s="1"/>
  <c r="P17" i="5" s="1"/>
  <c r="R17" i="5" s="1"/>
  <c r="M18" i="5"/>
  <c r="N18" i="5" s="1"/>
  <c r="P18" i="5" s="1"/>
  <c r="R18" i="5" s="1"/>
  <c r="M19" i="5"/>
  <c r="N19" i="5" s="1"/>
  <c r="P19" i="5" s="1"/>
  <c r="R19" i="5" s="1"/>
  <c r="M20" i="5"/>
  <c r="N20" i="5" s="1"/>
  <c r="P20" i="5" s="1"/>
  <c r="R20" i="5" s="1"/>
  <c r="M21" i="5"/>
  <c r="N21" i="5" s="1"/>
  <c r="P21" i="5" s="1"/>
  <c r="R21" i="5" s="1"/>
  <c r="M22" i="5"/>
  <c r="N22" i="5" s="1"/>
  <c r="P22" i="5" s="1"/>
  <c r="R22" i="5" s="1"/>
  <c r="M23" i="5"/>
  <c r="N23" i="5" s="1"/>
  <c r="P23" i="5" s="1"/>
  <c r="R23" i="5" s="1"/>
  <c r="M24" i="5"/>
  <c r="N24" i="5" s="1"/>
  <c r="P24" i="5" s="1"/>
  <c r="R24" i="5" s="1"/>
  <c r="M25" i="5"/>
  <c r="N25" i="5" s="1"/>
  <c r="P25" i="5" s="1"/>
  <c r="R25" i="5" s="1"/>
  <c r="M26" i="5"/>
  <c r="N26" i="5" s="1"/>
  <c r="P26" i="5" s="1"/>
  <c r="R26" i="5" s="1"/>
  <c r="M27" i="5"/>
  <c r="N27" i="5" s="1"/>
  <c r="P27" i="5" s="1"/>
  <c r="R27" i="5" s="1"/>
  <c r="M28" i="5"/>
  <c r="N28" i="5" s="1"/>
  <c r="P28" i="5" s="1"/>
  <c r="R28" i="5" s="1"/>
  <c r="M29" i="5"/>
  <c r="N29" i="5" s="1"/>
  <c r="P29" i="5" s="1"/>
  <c r="R29" i="5" s="1"/>
  <c r="M30" i="5"/>
  <c r="N30" i="5" s="1"/>
  <c r="P30" i="5" s="1"/>
  <c r="O12" i="5"/>
  <c r="O13" i="5"/>
  <c r="O14" i="5"/>
  <c r="O15" i="5"/>
  <c r="O16" i="5"/>
  <c r="O17" i="5"/>
  <c r="O18" i="5"/>
  <c r="O19" i="5"/>
  <c r="O20" i="5"/>
  <c r="O21" i="5"/>
  <c r="O22" i="5"/>
  <c r="O23" i="5"/>
  <c r="O24" i="5"/>
  <c r="O25" i="5"/>
  <c r="O26" i="5"/>
  <c r="O27" i="5"/>
  <c r="O28" i="5"/>
  <c r="O29" i="5"/>
  <c r="O30" i="5"/>
  <c r="M12" i="6"/>
  <c r="N12" i="6" s="1"/>
  <c r="P12" i="6" s="1"/>
  <c r="R12" i="6" s="1"/>
  <c r="M13" i="6"/>
  <c r="N13" i="6" s="1"/>
  <c r="P13" i="6" s="1"/>
  <c r="R13" i="6" s="1"/>
  <c r="M14" i="6"/>
  <c r="N14" i="6" s="1"/>
  <c r="P14" i="6" s="1"/>
  <c r="M15" i="6"/>
  <c r="M16" i="6"/>
  <c r="N16" i="6" s="1"/>
  <c r="P16" i="6" s="1"/>
  <c r="R16" i="6" s="1"/>
  <c r="M17" i="6"/>
  <c r="N17" i="6" s="1"/>
  <c r="P17" i="6" s="1"/>
  <c r="R17" i="6" s="1"/>
  <c r="M18" i="6"/>
  <c r="N18" i="6" s="1"/>
  <c r="P18" i="6" s="1"/>
  <c r="R18" i="6" s="1"/>
  <c r="M19" i="6"/>
  <c r="N19" i="6" s="1"/>
  <c r="P19" i="6" s="1"/>
  <c r="R19" i="6" s="1"/>
  <c r="M20" i="6"/>
  <c r="N20" i="6" s="1"/>
  <c r="P20" i="6" s="1"/>
  <c r="R20" i="6" s="1"/>
  <c r="M21" i="6"/>
  <c r="N21" i="6" s="1"/>
  <c r="P21" i="6" s="1"/>
  <c r="R21" i="6" s="1"/>
  <c r="M22" i="6"/>
  <c r="N22" i="6" s="1"/>
  <c r="P22" i="6" s="1"/>
  <c r="R22" i="6" s="1"/>
  <c r="M23" i="6"/>
  <c r="M24" i="6"/>
  <c r="N24" i="6" s="1"/>
  <c r="P24" i="6" s="1"/>
  <c r="R24" i="6" s="1"/>
  <c r="M25" i="6"/>
  <c r="N25" i="6" s="1"/>
  <c r="P25" i="6" s="1"/>
  <c r="R25" i="6" s="1"/>
  <c r="M26" i="6"/>
  <c r="N26" i="6" s="1"/>
  <c r="P26" i="6" s="1"/>
  <c r="R26" i="6" s="1"/>
  <c r="M27" i="6"/>
  <c r="N27" i="6" s="1"/>
  <c r="P27" i="6" s="1"/>
  <c r="R27" i="6" s="1"/>
  <c r="M28" i="6"/>
  <c r="N28" i="6" s="1"/>
  <c r="P28" i="6" s="1"/>
  <c r="R28" i="6" s="1"/>
  <c r="M29" i="6"/>
  <c r="N29" i="6" s="1"/>
  <c r="P29" i="6" s="1"/>
  <c r="R29" i="6" s="1"/>
  <c r="M30" i="6"/>
  <c r="N30" i="6" s="1"/>
  <c r="P30" i="6" s="1"/>
  <c r="N15" i="6"/>
  <c r="P15" i="6" s="1"/>
  <c r="R15" i="6" s="1"/>
  <c r="N23" i="6"/>
  <c r="P23" i="6" s="1"/>
  <c r="R23" i="6" s="1"/>
  <c r="O12" i="6"/>
  <c r="O13" i="6"/>
  <c r="O14" i="6"/>
  <c r="O15" i="6"/>
  <c r="O16" i="6"/>
  <c r="O17" i="6"/>
  <c r="O18" i="6"/>
  <c r="O19" i="6"/>
  <c r="O20" i="6"/>
  <c r="O21" i="6"/>
  <c r="O22" i="6"/>
  <c r="O23" i="6"/>
  <c r="O24" i="6"/>
  <c r="O25" i="6"/>
  <c r="O26" i="6"/>
  <c r="O27" i="6"/>
  <c r="O28" i="6"/>
  <c r="O29" i="6"/>
  <c r="O30" i="6"/>
  <c r="M12" i="4"/>
  <c r="N12" i="4" s="1"/>
  <c r="P12" i="4" s="1"/>
  <c r="R12" i="4" s="1"/>
  <c r="M13" i="4"/>
  <c r="N13" i="4" s="1"/>
  <c r="P13" i="4" s="1"/>
  <c r="R13" i="4" s="1"/>
  <c r="M14" i="4"/>
  <c r="N14" i="4" s="1"/>
  <c r="P14" i="4" s="1"/>
  <c r="M15" i="4"/>
  <c r="N15" i="4" s="1"/>
  <c r="P15" i="4" s="1"/>
  <c r="R15" i="4" s="1"/>
  <c r="M16" i="4"/>
  <c r="N16" i="4" s="1"/>
  <c r="P16" i="4" s="1"/>
  <c r="R16" i="4" s="1"/>
  <c r="M17" i="4"/>
  <c r="N17" i="4" s="1"/>
  <c r="P17" i="4" s="1"/>
  <c r="R17" i="4" s="1"/>
  <c r="M18" i="4"/>
  <c r="N18" i="4" s="1"/>
  <c r="P18" i="4" s="1"/>
  <c r="R18" i="4" s="1"/>
  <c r="M19" i="4"/>
  <c r="N19" i="4" s="1"/>
  <c r="P19" i="4" s="1"/>
  <c r="R19" i="4" s="1"/>
  <c r="M20" i="4"/>
  <c r="N20" i="4" s="1"/>
  <c r="P20" i="4" s="1"/>
  <c r="R20" i="4" s="1"/>
  <c r="M21" i="4"/>
  <c r="N21" i="4" s="1"/>
  <c r="P21" i="4" s="1"/>
  <c r="R21" i="4" s="1"/>
  <c r="M22" i="4"/>
  <c r="N22" i="4" s="1"/>
  <c r="P22" i="4" s="1"/>
  <c r="R22" i="4" s="1"/>
  <c r="M23" i="4"/>
  <c r="N23" i="4" s="1"/>
  <c r="P23" i="4" s="1"/>
  <c r="R23" i="4" s="1"/>
  <c r="M24" i="4"/>
  <c r="N24" i="4" s="1"/>
  <c r="P24" i="4" s="1"/>
  <c r="R24" i="4" s="1"/>
  <c r="M25" i="4"/>
  <c r="N25" i="4" s="1"/>
  <c r="P25" i="4" s="1"/>
  <c r="R25" i="4" s="1"/>
  <c r="M26" i="4"/>
  <c r="N26" i="4" s="1"/>
  <c r="P26" i="4" s="1"/>
  <c r="R26" i="4" s="1"/>
  <c r="M27" i="4"/>
  <c r="N27" i="4" s="1"/>
  <c r="P27" i="4" s="1"/>
  <c r="R27" i="4" s="1"/>
  <c r="M28" i="4"/>
  <c r="N28" i="4" s="1"/>
  <c r="P28" i="4" s="1"/>
  <c r="R28" i="4" s="1"/>
  <c r="M29" i="4"/>
  <c r="N29" i="4" s="1"/>
  <c r="P29" i="4" s="1"/>
  <c r="R29" i="4" s="1"/>
  <c r="M30" i="4"/>
  <c r="N30" i="4" s="1"/>
  <c r="P30" i="4" s="1"/>
  <c r="O12" i="4"/>
  <c r="O13" i="4"/>
  <c r="O14" i="4"/>
  <c r="O15" i="4"/>
  <c r="O16" i="4"/>
  <c r="O17" i="4"/>
  <c r="O18" i="4"/>
  <c r="O19" i="4"/>
  <c r="O20" i="4"/>
  <c r="O21" i="4"/>
  <c r="O22" i="4"/>
  <c r="O23" i="4"/>
  <c r="O24" i="4"/>
  <c r="O25" i="4"/>
  <c r="O26" i="4"/>
  <c r="O27" i="4"/>
  <c r="O28" i="4"/>
  <c r="O29" i="4"/>
  <c r="O30" i="4"/>
  <c r="M25" i="7"/>
  <c r="N25" i="7" s="1"/>
  <c r="P25" i="7" s="1"/>
  <c r="R25" i="7" s="1"/>
  <c r="M26" i="7"/>
  <c r="M27" i="7"/>
  <c r="N27" i="7" s="1"/>
  <c r="P27" i="7" s="1"/>
  <c r="R27" i="7" s="1"/>
  <c r="M28" i="7"/>
  <c r="N28" i="7" s="1"/>
  <c r="P28" i="7" s="1"/>
  <c r="R28" i="7" s="1"/>
  <c r="M29" i="7"/>
  <c r="N29" i="7" s="1"/>
  <c r="P29" i="7" s="1"/>
  <c r="R29" i="7" s="1"/>
  <c r="M30" i="7"/>
  <c r="N30" i="7" s="1"/>
  <c r="P30" i="7" s="1"/>
  <c r="N26" i="7"/>
  <c r="P26" i="7" s="1"/>
  <c r="R26" i="7" s="1"/>
  <c r="O25" i="7"/>
  <c r="O26" i="7"/>
  <c r="O27" i="7"/>
  <c r="O28" i="7"/>
  <c r="O29" i="7"/>
  <c r="O30" i="7"/>
  <c r="M12" i="7"/>
  <c r="N12" i="7" s="1"/>
  <c r="P12" i="7" s="1"/>
  <c r="R12" i="7" s="1"/>
  <c r="M13" i="7"/>
  <c r="N13" i="7" s="1"/>
  <c r="P13" i="7" s="1"/>
  <c r="R13" i="7" s="1"/>
  <c r="M14" i="7"/>
  <c r="N14" i="7" s="1"/>
  <c r="P14" i="7" s="1"/>
  <c r="M15" i="7"/>
  <c r="N15" i="7" s="1"/>
  <c r="P15" i="7" s="1"/>
  <c r="R15" i="7" s="1"/>
  <c r="M16" i="7"/>
  <c r="N16" i="7" s="1"/>
  <c r="P16" i="7" s="1"/>
  <c r="R16" i="7" s="1"/>
  <c r="M17" i="7"/>
  <c r="N17" i="7" s="1"/>
  <c r="P17" i="7" s="1"/>
  <c r="R17" i="7" s="1"/>
  <c r="M18" i="7"/>
  <c r="N18" i="7" s="1"/>
  <c r="P18" i="7" s="1"/>
  <c r="R18" i="7" s="1"/>
  <c r="M19" i="7"/>
  <c r="N19" i="7" s="1"/>
  <c r="P19" i="7" s="1"/>
  <c r="R19" i="7" s="1"/>
  <c r="M20" i="7"/>
  <c r="N20" i="7" s="1"/>
  <c r="P20" i="7" s="1"/>
  <c r="R20" i="7" s="1"/>
  <c r="M21" i="7"/>
  <c r="N21" i="7" s="1"/>
  <c r="P21" i="7" s="1"/>
  <c r="R21" i="7" s="1"/>
  <c r="M22" i="7"/>
  <c r="N22" i="7" s="1"/>
  <c r="P22" i="7" s="1"/>
  <c r="R22" i="7" s="1"/>
  <c r="M23" i="7"/>
  <c r="N23" i="7" s="1"/>
  <c r="P23" i="7" s="1"/>
  <c r="R23" i="7" s="1"/>
  <c r="M24" i="7"/>
  <c r="N24" i="7" s="1"/>
  <c r="P24" i="7" s="1"/>
  <c r="R24" i="7" s="1"/>
  <c r="O12" i="7"/>
  <c r="O13" i="7"/>
  <c r="O14" i="7"/>
  <c r="O15" i="7"/>
  <c r="O16" i="7"/>
  <c r="O17" i="7"/>
  <c r="O18" i="7"/>
  <c r="O19" i="7"/>
  <c r="O20" i="7"/>
  <c r="O21" i="7"/>
  <c r="O22" i="7"/>
  <c r="O23" i="7"/>
  <c r="O24" i="7"/>
  <c r="B7" i="10"/>
  <c r="B7" i="7"/>
  <c r="B7" i="6"/>
  <c r="B7" i="5"/>
  <c r="B7" i="4"/>
  <c r="A36" i="10" l="1"/>
  <c r="A35" i="10"/>
  <c r="O11" i="10"/>
  <c r="M11" i="10"/>
  <c r="N11" i="10" s="1"/>
  <c r="B8" i="10"/>
  <c r="B29" i="10" s="1"/>
  <c r="A37" i="7"/>
  <c r="O11" i="7"/>
  <c r="M11" i="7"/>
  <c r="N11" i="7" s="1"/>
  <c r="B8" i="7"/>
  <c r="B29" i="7" s="1"/>
  <c r="A38" i="6"/>
  <c r="A37" i="6"/>
  <c r="O11" i="6"/>
  <c r="M11" i="6"/>
  <c r="N11" i="6" s="1"/>
  <c r="B8" i="6"/>
  <c r="A38" i="5"/>
  <c r="A37" i="5"/>
  <c r="O11" i="5"/>
  <c r="M11" i="5"/>
  <c r="N11" i="5" s="1"/>
  <c r="B8" i="5"/>
  <c r="B29" i="5" s="1"/>
  <c r="C29" i="5" s="1"/>
  <c r="C29" i="10" l="1"/>
  <c r="B29" i="6"/>
  <c r="C29" i="6" s="1"/>
  <c r="C29" i="7"/>
  <c r="B31" i="10"/>
  <c r="C31" i="10" s="1"/>
  <c r="B31" i="7"/>
  <c r="C31" i="7" s="1"/>
  <c r="B31" i="6"/>
  <c r="C31" i="6" s="1"/>
  <c r="P11" i="10"/>
  <c r="R11" i="10" s="1"/>
  <c r="P11" i="7"/>
  <c r="R11" i="7" s="1"/>
  <c r="P11" i="6"/>
  <c r="R11" i="6" s="1"/>
  <c r="B31" i="5"/>
  <c r="C31" i="5" s="1"/>
  <c r="P11" i="5"/>
  <c r="R11" i="5" s="1"/>
  <c r="B30" i="10" l="1"/>
  <c r="B32" i="10" s="1"/>
  <c r="P9" i="10"/>
  <c r="P9" i="7"/>
  <c r="B30" i="7"/>
  <c r="B30" i="6"/>
  <c r="B32" i="6" s="1"/>
  <c r="P9" i="6"/>
  <c r="B30" i="5"/>
  <c r="P9" i="5"/>
  <c r="Q11" i="10" l="1"/>
  <c r="Q15" i="10"/>
  <c r="Q19" i="10"/>
  <c r="Q23" i="10"/>
  <c r="Q27" i="10"/>
  <c r="Q16" i="10"/>
  <c r="Q20" i="10"/>
  <c r="Q24" i="10"/>
  <c r="Q28" i="10"/>
  <c r="Q12" i="10"/>
  <c r="Q13" i="10"/>
  <c r="Q17" i="10"/>
  <c r="Q21" i="10"/>
  <c r="Q25" i="10"/>
  <c r="Q29" i="10"/>
  <c r="Q14" i="10"/>
  <c r="Q18" i="10"/>
  <c r="Q22" i="10"/>
  <c r="Q26" i="10"/>
  <c r="Q30" i="10"/>
  <c r="Q11" i="5"/>
  <c r="Q15" i="5"/>
  <c r="Q19" i="5"/>
  <c r="Q23" i="5"/>
  <c r="Q27" i="5"/>
  <c r="Q12" i="5"/>
  <c r="Q16" i="5"/>
  <c r="Q20" i="5"/>
  <c r="Q24" i="5"/>
  <c r="Q28" i="5"/>
  <c r="Q13" i="5"/>
  <c r="Q17" i="5"/>
  <c r="Q21" i="5"/>
  <c r="Q25" i="5"/>
  <c r="Q29" i="5"/>
  <c r="Q14" i="5"/>
  <c r="Q18" i="5"/>
  <c r="Q22" i="5"/>
  <c r="Q26" i="5"/>
  <c r="Q30" i="5"/>
  <c r="Q12" i="7"/>
  <c r="Q16" i="7"/>
  <c r="Q20" i="7"/>
  <c r="Q24" i="7"/>
  <c r="Q28" i="7"/>
  <c r="Q13" i="7"/>
  <c r="Q17" i="7"/>
  <c r="Q21" i="7"/>
  <c r="Q25" i="7"/>
  <c r="Q29" i="7"/>
  <c r="Q14" i="7"/>
  <c r="Q18" i="7"/>
  <c r="Q22" i="7"/>
  <c r="Q26" i="7"/>
  <c r="Q30" i="7"/>
  <c r="Q11" i="7"/>
  <c r="Q15" i="7"/>
  <c r="Q19" i="7"/>
  <c r="Q23" i="7"/>
  <c r="Q27" i="7"/>
  <c r="Q11" i="6"/>
  <c r="Q15" i="6"/>
  <c r="Q19" i="6"/>
  <c r="Q23" i="6"/>
  <c r="Q27" i="6"/>
  <c r="Q12" i="6"/>
  <c r="Q16" i="6"/>
  <c r="Q20" i="6"/>
  <c r="Q24" i="6"/>
  <c r="Q28" i="6"/>
  <c r="Q13" i="6"/>
  <c r="Q17" i="6"/>
  <c r="Q21" i="6"/>
  <c r="Q25" i="6"/>
  <c r="Q29" i="6"/>
  <c r="Q14" i="6"/>
  <c r="Q18" i="6"/>
  <c r="Q22" i="6"/>
  <c r="Q26" i="6"/>
  <c r="Q30" i="6"/>
  <c r="R30" i="6" s="1"/>
  <c r="D29" i="6"/>
  <c r="B38" i="6"/>
  <c r="C38" i="6" s="1"/>
  <c r="C30" i="7"/>
  <c r="B32" i="7"/>
  <c r="C30" i="5"/>
  <c r="B32" i="5"/>
  <c r="C30" i="10"/>
  <c r="C30" i="6"/>
  <c r="R14" i="6" l="1"/>
  <c r="R9" i="6" s="1"/>
  <c r="D31" i="6"/>
  <c r="D30" i="6"/>
  <c r="A37" i="4" l="1"/>
  <c r="A36" i="4"/>
  <c r="O11" i="4"/>
  <c r="M11" i="4"/>
  <c r="N11" i="4" s="1"/>
  <c r="B8" i="4"/>
  <c r="B29" i="4" s="1"/>
  <c r="B19" i="2" s="1"/>
  <c r="C29" i="4" l="1"/>
  <c r="B31" i="4"/>
  <c r="P11" i="4"/>
  <c r="R11" i="4" s="1"/>
  <c r="D10" i="3"/>
  <c r="C10" i="3"/>
  <c r="B10" i="3"/>
  <c r="D4" i="3"/>
  <c r="D3" i="3"/>
  <c r="D5" i="3"/>
  <c r="D6" i="3"/>
  <c r="D7" i="3"/>
  <c r="D8" i="3"/>
  <c r="C31" i="4" l="1"/>
  <c r="B21" i="2"/>
  <c r="B30" i="4"/>
  <c r="B20" i="2" s="1"/>
  <c r="P9" i="4"/>
  <c r="Q14" i="4" l="1"/>
  <c r="Q18" i="4"/>
  <c r="Q22" i="4"/>
  <c r="Q26" i="4"/>
  <c r="Q30" i="4"/>
  <c r="Q11" i="4"/>
  <c r="Q15" i="4"/>
  <c r="Q19" i="4"/>
  <c r="Q23" i="4"/>
  <c r="Q27" i="4"/>
  <c r="Q12" i="4"/>
  <c r="Q16" i="4"/>
  <c r="Q20" i="4"/>
  <c r="Q24" i="4"/>
  <c r="Q28" i="4"/>
  <c r="Q13" i="4"/>
  <c r="Q17" i="4"/>
  <c r="Q21" i="4"/>
  <c r="Q25" i="4"/>
  <c r="Q29" i="4"/>
  <c r="B22" i="2"/>
  <c r="C19" i="2" s="1"/>
  <c r="C30" i="4"/>
  <c r="C32" i="4" s="1"/>
  <c r="B32" i="4"/>
  <c r="C21" i="2" l="1"/>
  <c r="C20" i="2"/>
  <c r="R14" i="4"/>
  <c r="A15" i="2"/>
  <c r="B15" i="2" s="1"/>
  <c r="B37" i="4"/>
  <c r="C37" i="4" s="1"/>
  <c r="D29" i="4"/>
  <c r="C22" i="2" l="1"/>
  <c r="R30" i="4"/>
  <c r="D31" i="4"/>
  <c r="D30" i="4"/>
  <c r="D32" i="4" s="1"/>
  <c r="D31" i="7"/>
  <c r="D29" i="7"/>
  <c r="B38" i="7"/>
  <c r="C38" i="7" s="1"/>
  <c r="D30" i="7"/>
  <c r="D29" i="5"/>
  <c r="D31" i="5"/>
  <c r="B38" i="5"/>
  <c r="C38" i="5" s="1"/>
  <c r="D30" i="5"/>
  <c r="D31" i="10"/>
  <c r="D30" i="10"/>
  <c r="B36" i="10"/>
  <c r="C36" i="10" s="1"/>
  <c r="D29" i="10"/>
  <c r="R14" i="10" l="1"/>
  <c r="R30" i="10"/>
  <c r="R14" i="5"/>
  <c r="R9" i="5" s="1"/>
  <c r="R30" i="5"/>
  <c r="R30" i="7"/>
  <c r="R14" i="7"/>
</calcChain>
</file>

<file path=xl/sharedStrings.xml><?xml version="1.0" encoding="utf-8"?>
<sst xmlns="http://schemas.openxmlformats.org/spreadsheetml/2006/main" count="897" uniqueCount="137">
  <si>
    <t>Energetico</t>
  </si>
  <si>
    <t>Participación</t>
  </si>
  <si>
    <t>Energía Eléctrica</t>
  </si>
  <si>
    <t>ACPM</t>
  </si>
  <si>
    <t>Gasolina</t>
  </si>
  <si>
    <t>Área productiva total</t>
  </si>
  <si>
    <t>Rendimiento</t>
  </si>
  <si>
    <t>Consumo Eléctricidad por sector</t>
  </si>
  <si>
    <t>Grupo Homogéneo</t>
  </si>
  <si>
    <t>Proceso</t>
  </si>
  <si>
    <t>Energético</t>
  </si>
  <si>
    <t>Cosecha</t>
  </si>
  <si>
    <t>Fertilización</t>
  </si>
  <si>
    <t>Fumigación</t>
  </si>
  <si>
    <t>Preparación del terreno</t>
  </si>
  <si>
    <t>Sistema de Riego y drenaje</t>
  </si>
  <si>
    <t>Producto final</t>
  </si>
  <si>
    <t>Unidades indicador producción</t>
  </si>
  <si>
    <t>Indicador</t>
  </si>
  <si>
    <t>Terreno fertilizado</t>
  </si>
  <si>
    <t>MJ/Ha</t>
  </si>
  <si>
    <t>Terreno fumigado</t>
  </si>
  <si>
    <t>Terreno rastrillado</t>
  </si>
  <si>
    <t>Terreno irrigado</t>
  </si>
  <si>
    <t>Parámetro</t>
  </si>
  <si>
    <t>Indicador área</t>
  </si>
  <si>
    <t>Unidades</t>
  </si>
  <si>
    <t>Debe estar en MJ/Tn o MJ/Ha</t>
  </si>
  <si>
    <t>Tabla 7 y Tabla 10</t>
  </si>
  <si>
    <t>Indicador [MJ/Ha]</t>
  </si>
  <si>
    <t>Indicador [MJ/Tn]</t>
  </si>
  <si>
    <t>Grupo Homogeneo</t>
  </si>
  <si>
    <t>MJ/año</t>
  </si>
  <si>
    <t>TJ/año</t>
  </si>
  <si>
    <t>Total [MJ]</t>
  </si>
  <si>
    <t>Tabla 9</t>
  </si>
  <si>
    <t>Área sembrada (Ha)</t>
  </si>
  <si>
    <t>Producción (Ton)</t>
  </si>
  <si>
    <t xml:space="preserve">Fruta con mecanización </t>
  </si>
  <si>
    <t xml:space="preserve">Piña </t>
  </si>
  <si>
    <t>fresa</t>
  </si>
  <si>
    <t xml:space="preserve">Papaya </t>
  </si>
  <si>
    <t>Uchuva</t>
  </si>
  <si>
    <t>Pasifloras</t>
  </si>
  <si>
    <t>Melón</t>
  </si>
  <si>
    <t>Frutas con mecanización</t>
  </si>
  <si>
    <t>Terreno cosechado</t>
  </si>
  <si>
    <t>Transporte personas</t>
  </si>
  <si>
    <t>Terreni fumigado</t>
  </si>
  <si>
    <t>Mantenimiento</t>
  </si>
  <si>
    <t>Terreno guadañado</t>
  </si>
  <si>
    <t>Postcosecha</t>
  </si>
  <si>
    <t>Terreno Preparado</t>
  </si>
  <si>
    <t>Terreno descepado</t>
  </si>
  <si>
    <t>Terreno subsoldado</t>
  </si>
  <si>
    <t>Terreno surcado</t>
  </si>
  <si>
    <t xml:space="preserve">Terreno irrigado </t>
  </si>
  <si>
    <t>Piña</t>
  </si>
  <si>
    <t>Papaya</t>
  </si>
  <si>
    <t>Fresa</t>
  </si>
  <si>
    <t>Frutas con poca mecanización</t>
  </si>
  <si>
    <t>Terreno sembrado</t>
  </si>
  <si>
    <t>Del área total sembrada</t>
  </si>
  <si>
    <t>Referencia</t>
  </si>
  <si>
    <t xml:space="preserve">https://www.dane.gov.co/files/investigaciones/agropecuario/enda/ena/2019/boletin_ena_2019-I.pdf </t>
  </si>
  <si>
    <t>Aguacate</t>
  </si>
  <si>
    <t>Fuente: elaboración propia con datos de Agronet</t>
  </si>
  <si>
    <t>8,76</t>
  </si>
  <si>
    <t>Pitaya</t>
  </si>
  <si>
    <t>19,25</t>
  </si>
  <si>
    <t>Arándano</t>
  </si>
  <si>
    <t>11,7</t>
  </si>
  <si>
    <t>Manzana</t>
  </si>
  <si>
    <t>10,69</t>
  </si>
  <si>
    <t>Feijoa</t>
  </si>
  <si>
    <t>11,12</t>
  </si>
  <si>
    <t>15,167</t>
  </si>
  <si>
    <t>Ciruela</t>
  </si>
  <si>
    <t>8,49</t>
  </si>
  <si>
    <t>Pera</t>
  </si>
  <si>
    <t>18,5</t>
  </si>
  <si>
    <t>Anonáceas</t>
  </si>
  <si>
    <t>4,08</t>
  </si>
  <si>
    <t>Marañón</t>
  </si>
  <si>
    <t>13,22</t>
  </si>
  <si>
    <t>Durazno</t>
  </si>
  <si>
    <t>11,97</t>
  </si>
  <si>
    <t>Uva</t>
  </si>
  <si>
    <t>8,11</t>
  </si>
  <si>
    <t>Frutos de palma</t>
  </si>
  <si>
    <t>Guayaba</t>
  </si>
  <si>
    <t>18,61</t>
  </si>
  <si>
    <t>Tomate de árbol</t>
  </si>
  <si>
    <t>8,33</t>
  </si>
  <si>
    <t>Mora</t>
  </si>
  <si>
    <t>9,34</t>
  </si>
  <si>
    <t>Mango</t>
  </si>
  <si>
    <t>15,2</t>
  </si>
  <si>
    <t>Cítricos (Limón, Naranja y Mandarina)</t>
  </si>
  <si>
    <t>% de participación por hectárea</t>
  </si>
  <si>
    <t>Rendimiento (Ton/Ha)</t>
  </si>
  <si>
    <t>Producto</t>
  </si>
  <si>
    <t xml:space="preserve">% de Participación por hectárea </t>
  </si>
  <si>
    <t>Con mecanización</t>
  </si>
  <si>
    <t>Para energía eléctrica</t>
  </si>
  <si>
    <t>Sin mecanización</t>
  </si>
  <si>
    <t>MJ</t>
  </si>
  <si>
    <t>Total</t>
  </si>
  <si>
    <t>→</t>
  </si>
  <si>
    <t>Se hizo la aproximación de que el 25% del área sembrada es equivalente al 25% del consumo entregado por manuel</t>
  </si>
  <si>
    <t>Con los indicadores determinados (excepto el de Aguacate) se estimo el consumo de energía eléctrica, esto con la finalidad de saber como debería ser la distrubución entre frustas con mecanización y sin mecanización</t>
  </si>
  <si>
    <t>Consumo total [MJ]</t>
  </si>
  <si>
    <t>[TJ]</t>
  </si>
  <si>
    <t>Consumo [MJ]</t>
  </si>
  <si>
    <t>Uso final de energía</t>
  </si>
  <si>
    <t>Fuerza motriz</t>
  </si>
  <si>
    <t>Dato de información secundaria [Ha] Agronet</t>
  </si>
  <si>
    <t>Dato de información secundaria Tn/Ha Agronet</t>
  </si>
  <si>
    <t>Dato comercial por CIIU de XM [kWh/año]</t>
  </si>
  <si>
    <t>Sector</t>
  </si>
  <si>
    <t>Energía eléctrica por sector [kWh/año]</t>
  </si>
  <si>
    <t>energía eléctrica piña [kWh/año]</t>
  </si>
  <si>
    <t>Producción [Tn/año]</t>
  </si>
  <si>
    <t>Consumo Eléctricidad por sector [MJ/año]</t>
  </si>
  <si>
    <t>Tabla 8. Indicador producción</t>
  </si>
  <si>
    <t>Dato comercial por CIIU de XM [MJ/año]</t>
  </si>
  <si>
    <t>Consumo [kWh/año]</t>
  </si>
  <si>
    <t>Consumo kWh/año</t>
  </si>
  <si>
    <t>Consumo energía [MJ/año]</t>
  </si>
  <si>
    <t>Consumo energía corregida [MJ/año]</t>
  </si>
  <si>
    <t>Total [MJ/año]</t>
  </si>
  <si>
    <t>energía eléctrica pasifloras [kWh/año]</t>
  </si>
  <si>
    <t>energía eléctrica fresa [kWh/año]</t>
  </si>
  <si>
    <t>Total [MJ/AÑO]</t>
  </si>
  <si>
    <t>energía eléctrica papaya [kWh/año]</t>
  </si>
  <si>
    <t>energía eléctrica uchuva [kWh/año]</t>
  </si>
  <si>
    <t>Total (con y sin) [Ha]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</si>
</sst>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9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14"/>
      <color rgb="FFFF0000"/>
      <name val="Arial"/>
      <family val="2"/>
    </font>
    <font>
      <b/>
      <sz val="10"/>
      <color rgb="FFFF0000"/>
      <name val="Arial"/>
      <family val="2"/>
    </font>
    <font>
      <b/>
      <sz val="10"/>
      <color rgb="FF000000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4"/>
      <color rgb="FFFF0000"/>
      <name val="Arial"/>
      <family val="2"/>
    </font>
    <font>
      <b/>
      <sz val="11"/>
      <color rgb="FFFF0000"/>
      <name val="Arial"/>
      <family val="2"/>
    </font>
    <font>
      <b/>
      <sz val="11"/>
      <color theme="1"/>
      <name val="Arial"/>
      <family val="2"/>
    </font>
    <font>
      <sz val="8"/>
      <name val="Arial"/>
      <family val="2"/>
    </font>
    <font>
      <b/>
      <sz val="14"/>
      <color theme="0"/>
      <name val="Arial"/>
      <family val="2"/>
    </font>
    <font>
      <i/>
      <sz val="10"/>
      <color rgb="FF000000"/>
      <name val="Arial"/>
      <family val="2"/>
    </font>
    <font>
      <b/>
      <sz val="16"/>
      <color theme="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theme="9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25A18E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6">
    <xf numFmtId="0" fontId="0" fillId="0" borderId="0" xfId="0"/>
    <xf numFmtId="0" fontId="3" fillId="0" borderId="0" xfId="0" applyFont="1"/>
    <xf numFmtId="0" fontId="4" fillId="4" borderId="0" xfId="0" applyFont="1" applyFill="1" applyAlignment="1">
      <alignment horizontal="center" wrapText="1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2" fillId="6" borderId="1" xfId="0" applyFont="1" applyFill="1" applyBorder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0" fontId="6" fillId="0" borderId="0" xfId="0" applyFont="1"/>
    <xf numFmtId="0" fontId="2" fillId="3" borderId="1" xfId="0" applyFont="1" applyFill="1" applyBorder="1" applyAlignment="1">
      <alignment horizontal="center" vertical="center" wrapText="1"/>
    </xf>
    <xf numFmtId="10" fontId="0" fillId="0" borderId="1" xfId="1" applyNumberFormat="1" applyFont="1" applyBorder="1" applyAlignment="1">
      <alignment horizontal="center" vertical="center"/>
    </xf>
    <xf numFmtId="0" fontId="7" fillId="0" borderId="0" xfId="0" applyFont="1"/>
    <xf numFmtId="0" fontId="8" fillId="7" borderId="7" xfId="0" applyFont="1" applyFill="1" applyBorder="1" applyAlignment="1">
      <alignment horizontal="center" vertical="center" wrapText="1"/>
    </xf>
    <xf numFmtId="0" fontId="8" fillId="7" borderId="8" xfId="0" applyFont="1" applyFill="1" applyBorder="1" applyAlignment="1">
      <alignment horizontal="center" vertical="center" wrapText="1"/>
    </xf>
    <xf numFmtId="3" fontId="0" fillId="0" borderId="0" xfId="0" applyNumberFormat="1"/>
    <xf numFmtId="3" fontId="9" fillId="0" borderId="9" xfId="0" applyNumberFormat="1" applyFont="1" applyBorder="1" applyAlignment="1">
      <alignment horizontal="center" vertical="center" wrapText="1"/>
    </xf>
    <xf numFmtId="3" fontId="9" fillId="0" borderId="10" xfId="0" applyNumberFormat="1" applyFont="1" applyBorder="1" applyAlignment="1">
      <alignment horizontal="center" vertical="center" wrapText="1"/>
    </xf>
    <xf numFmtId="2" fontId="0" fillId="0" borderId="0" xfId="0" applyNumberFormat="1"/>
    <xf numFmtId="0" fontId="9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" fontId="3" fillId="8" borderId="1" xfId="0" applyNumberFormat="1" applyFont="1" applyFill="1" applyBorder="1" applyAlignment="1">
      <alignment horizontal="center"/>
    </xf>
    <xf numFmtId="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4" fontId="3" fillId="0" borderId="0" xfId="0" applyNumberFormat="1" applyFont="1"/>
    <xf numFmtId="0" fontId="4" fillId="0" borderId="0" xfId="0" applyFont="1" applyAlignment="1">
      <alignment horizontal="center"/>
    </xf>
    <xf numFmtId="4" fontId="0" fillId="0" borderId="0" xfId="0" applyNumberFormat="1" applyFont="1" applyAlignment="1">
      <alignment horizontal="center" vertical="center"/>
    </xf>
    <xf numFmtId="0" fontId="0" fillId="0" borderId="0" xfId="0" applyFont="1"/>
    <xf numFmtId="4" fontId="0" fillId="2" borderId="1" xfId="0" applyNumberFormat="1" applyFont="1" applyFill="1" applyBorder="1"/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4" borderId="4" xfId="0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4" fontId="0" fillId="2" borderId="1" xfId="0" applyNumberFormat="1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4" fontId="0" fillId="0" borderId="1" xfId="0" applyNumberFormat="1" applyFont="1" applyBorder="1" applyAlignment="1">
      <alignment horizontal="center"/>
    </xf>
    <xf numFmtId="4" fontId="0" fillId="0" borderId="0" xfId="0" applyNumberFormat="1" applyFont="1"/>
    <xf numFmtId="0" fontId="0" fillId="0" borderId="1" xfId="0" applyNumberFormat="1" applyFont="1" applyFill="1" applyBorder="1" applyAlignment="1">
      <alignment horizontal="center"/>
    </xf>
    <xf numFmtId="4" fontId="0" fillId="0" borderId="1" xfId="0" applyNumberFormat="1" applyFont="1" applyFill="1" applyBorder="1" applyAlignment="1">
      <alignment horizontal="center"/>
    </xf>
    <xf numFmtId="0" fontId="0" fillId="0" borderId="1" xfId="0" applyFont="1" applyBorder="1"/>
    <xf numFmtId="4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10" fontId="0" fillId="0" borderId="0" xfId="0" applyNumberFormat="1" applyFont="1"/>
    <xf numFmtId="3" fontId="0" fillId="0" borderId="0" xfId="0" applyNumberFormat="1" applyFont="1"/>
    <xf numFmtId="3" fontId="0" fillId="0" borderId="1" xfId="0" applyNumberFormat="1" applyFont="1" applyBorder="1"/>
    <xf numFmtId="0" fontId="0" fillId="0" borderId="0" xfId="0" applyFont="1" applyAlignment="1">
      <alignment horizontal="center"/>
    </xf>
    <xf numFmtId="3" fontId="0" fillId="0" borderId="1" xfId="0" applyNumberFormat="1" applyFont="1" applyBorder="1" applyAlignment="1">
      <alignment horizontal="center" vertical="center"/>
    </xf>
    <xf numFmtId="4" fontId="13" fillId="9" borderId="0" xfId="0" applyNumberFormat="1" applyFont="1" applyFill="1"/>
    <xf numFmtId="4" fontId="14" fillId="2" borderId="0" xfId="0" applyNumberFormat="1" applyFont="1" applyFill="1"/>
    <xf numFmtId="0" fontId="14" fillId="2" borderId="0" xfId="0" applyFont="1" applyFill="1"/>
    <xf numFmtId="0" fontId="0" fillId="2" borderId="0" xfId="0" applyFont="1" applyFill="1"/>
    <xf numFmtId="0" fontId="0" fillId="2" borderId="1" xfId="0" applyFill="1" applyBorder="1"/>
    <xf numFmtId="4" fontId="0" fillId="2" borderId="1" xfId="0" applyNumberFormat="1" applyFill="1" applyBorder="1"/>
    <xf numFmtId="10" fontId="0" fillId="2" borderId="1" xfId="1" applyNumberFormat="1" applyFont="1" applyFill="1" applyBorder="1"/>
    <xf numFmtId="0" fontId="5" fillId="5" borderId="0" xfId="0" applyFont="1" applyFill="1" applyAlignment="1">
      <alignment horizontal="center" vertical="center"/>
    </xf>
    <xf numFmtId="4" fontId="5" fillId="5" borderId="0" xfId="0" applyNumberFormat="1" applyFont="1" applyFill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0" borderId="2" xfId="0" applyFont="1" applyBorder="1" applyAlignment="1">
      <alignment horizontal="center"/>
    </xf>
    <xf numFmtId="0" fontId="0" fillId="2" borderId="0" xfId="0" applyFont="1" applyFill="1" applyAlignment="1">
      <alignment horizontal="center" wrapText="1"/>
    </xf>
    <xf numFmtId="4" fontId="3" fillId="8" borderId="1" xfId="0" applyNumberFormat="1" applyFont="1" applyFill="1" applyBorder="1" applyAlignment="1">
      <alignment wrapText="1"/>
    </xf>
    <xf numFmtId="0" fontId="3" fillId="8" borderId="1" xfId="0" applyFont="1" applyFill="1" applyBorder="1" applyAlignment="1">
      <alignment wrapText="1"/>
    </xf>
    <xf numFmtId="0" fontId="0" fillId="0" borderId="0" xfId="0" applyFont="1" applyAlignment="1">
      <alignment wrapText="1"/>
    </xf>
    <xf numFmtId="0" fontId="3" fillId="10" borderId="1" xfId="0" applyFont="1" applyFill="1" applyBorder="1"/>
    <xf numFmtId="4" fontId="3" fillId="10" borderId="1" xfId="0" applyNumberFormat="1" applyFont="1" applyFill="1" applyBorder="1"/>
    <xf numFmtId="0" fontId="3" fillId="10" borderId="1" xfId="0" applyFont="1" applyFill="1" applyBorder="1" applyAlignment="1">
      <alignment horizontal="center"/>
    </xf>
    <xf numFmtId="4" fontId="3" fillId="10" borderId="1" xfId="0" applyNumberFormat="1" applyFont="1" applyFill="1" applyBorder="1" applyAlignment="1">
      <alignment horizontal="center"/>
    </xf>
    <xf numFmtId="9" fontId="3" fillId="10" borderId="1" xfId="1" applyFont="1" applyFill="1" applyBorder="1" applyAlignment="1">
      <alignment horizontal="center"/>
    </xf>
    <xf numFmtId="0" fontId="16" fillId="3" borderId="6" xfId="0" applyFont="1" applyFill="1" applyBorder="1" applyAlignment="1">
      <alignment horizontal="center" vertical="center" wrapText="1"/>
    </xf>
    <xf numFmtId="0" fontId="16" fillId="3" borderId="5" xfId="0" applyFont="1" applyFill="1" applyBorder="1" applyAlignment="1">
      <alignment horizontal="center" vertical="center" wrapText="1"/>
    </xf>
    <xf numFmtId="10" fontId="0" fillId="0" borderId="1" xfId="0" applyNumberFormat="1" applyFont="1" applyBorder="1" applyAlignment="1">
      <alignment vertical="center"/>
    </xf>
    <xf numFmtId="0" fontId="3" fillId="10" borderId="1" xfId="0" applyFont="1" applyFill="1" applyBorder="1" applyAlignment="1">
      <alignment horizontal="center" vertical="center"/>
    </xf>
    <xf numFmtId="4" fontId="3" fillId="10" borderId="1" xfId="0" applyNumberFormat="1" applyFont="1" applyFill="1" applyBorder="1" applyAlignment="1">
      <alignment horizontal="center" vertical="center"/>
    </xf>
    <xf numFmtId="10" fontId="3" fillId="10" borderId="1" xfId="0" applyNumberFormat="1" applyFont="1" applyFill="1" applyBorder="1" applyAlignment="1">
      <alignment horizontal="center" vertical="center"/>
    </xf>
    <xf numFmtId="0" fontId="11" fillId="7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10" fontId="10" fillId="0" borderId="1" xfId="1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64" fontId="12" fillId="0" borderId="1" xfId="1" applyNumberFormat="1" applyFont="1" applyBorder="1"/>
    <xf numFmtId="164" fontId="12" fillId="0" borderId="1" xfId="1" applyNumberFormat="1" applyFont="1" applyBorder="1" applyAlignment="1">
      <alignment horizontal="center"/>
    </xf>
    <xf numFmtId="0" fontId="4" fillId="10" borderId="1" xfId="0" applyFont="1" applyFill="1" applyBorder="1" applyAlignment="1">
      <alignment horizontal="center" vertical="center" wrapText="1"/>
    </xf>
    <xf numFmtId="3" fontId="4" fillId="10" borderId="1" xfId="0" applyNumberFormat="1" applyFont="1" applyFill="1" applyBorder="1" applyAlignment="1">
      <alignment horizontal="center"/>
    </xf>
    <xf numFmtId="0" fontId="17" fillId="0" borderId="0" xfId="0" applyFont="1" applyAlignment="1">
      <alignment horizontal="left" vertical="center"/>
    </xf>
    <xf numFmtId="0" fontId="11" fillId="10" borderId="1" xfId="0" applyFont="1" applyFill="1" applyBorder="1" applyAlignment="1">
      <alignment horizontal="center" vertical="center"/>
    </xf>
    <xf numFmtId="3" fontId="3" fillId="10" borderId="1" xfId="0" applyNumberFormat="1" applyFont="1" applyFill="1" applyBorder="1" applyAlignment="1">
      <alignment horizontal="center" vertical="center"/>
    </xf>
    <xf numFmtId="0" fontId="10" fillId="0" borderId="1" xfId="0" applyNumberFormat="1" applyFont="1" applyBorder="1" applyAlignment="1">
      <alignment horizontal="center" vertical="center" wrapText="1"/>
    </xf>
    <xf numFmtId="0" fontId="0" fillId="11" borderId="1" xfId="0" applyFill="1" applyBorder="1" applyAlignment="1">
      <alignment wrapText="1"/>
    </xf>
    <xf numFmtId="4" fontId="0" fillId="9" borderId="1" xfId="0" applyNumberFormat="1" applyFill="1" applyBorder="1" applyAlignment="1">
      <alignment wrapText="1"/>
    </xf>
    <xf numFmtId="0" fontId="0" fillId="12" borderId="1" xfId="0" applyFont="1" applyFill="1" applyBorder="1" applyAlignment="1">
      <alignment horizontal="center" vertical="center" wrapText="1"/>
    </xf>
    <xf numFmtId="3" fontId="0" fillId="12" borderId="1" xfId="0" applyNumberFormat="1" applyFont="1" applyFill="1" applyBorder="1" applyAlignment="1">
      <alignment horizontal="center" vertical="center" wrapText="1"/>
    </xf>
    <xf numFmtId="10" fontId="0" fillId="12" borderId="1" xfId="1" applyNumberFormat="1" applyFont="1" applyFill="1" applyBorder="1" applyAlignment="1">
      <alignment horizontal="center" vertical="center" wrapText="1"/>
    </xf>
    <xf numFmtId="10" fontId="0" fillId="12" borderId="1" xfId="0" applyNumberFormat="1" applyFont="1" applyFill="1" applyBorder="1"/>
    <xf numFmtId="4" fontId="0" fillId="12" borderId="1" xfId="0" applyNumberFormat="1" applyFont="1" applyFill="1" applyBorder="1"/>
    <xf numFmtId="0" fontId="5" fillId="12" borderId="0" xfId="0" applyFont="1" applyFill="1" applyBorder="1" applyAlignment="1">
      <alignment horizontal="center"/>
    </xf>
    <xf numFmtId="0" fontId="11" fillId="9" borderId="1" xfId="0" applyFont="1" applyFill="1" applyBorder="1" applyAlignment="1">
      <alignment horizontal="center" vertical="center" wrapText="1"/>
    </xf>
    <xf numFmtId="0" fontId="11" fillId="9" borderId="11" xfId="0" applyFont="1" applyFill="1" applyBorder="1" applyAlignment="1">
      <alignment horizontal="center" vertical="center" wrapText="1"/>
    </xf>
    <xf numFmtId="4" fontId="0" fillId="9" borderId="1" xfId="0" applyNumberFormat="1" applyFont="1" applyFill="1" applyBorder="1"/>
    <xf numFmtId="4" fontId="3" fillId="9" borderId="1" xfId="0" applyNumberFormat="1" applyFont="1" applyFill="1" applyBorder="1" applyAlignment="1">
      <alignment horizontal="center"/>
    </xf>
    <xf numFmtId="0" fontId="3" fillId="9" borderId="1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 wrapText="1"/>
    </xf>
    <xf numFmtId="10" fontId="0" fillId="0" borderId="1" xfId="1" applyNumberFormat="1" applyFont="1" applyBorder="1" applyAlignment="1">
      <alignment horizontal="center"/>
    </xf>
    <xf numFmtId="4" fontId="4" fillId="5" borderId="0" xfId="0" applyNumberFormat="1" applyFont="1" applyFill="1" applyAlignment="1">
      <alignment horizontal="center" vertical="center"/>
    </xf>
    <xf numFmtId="9" fontId="3" fillId="10" borderId="1" xfId="1" applyFont="1" applyFill="1" applyBorder="1"/>
    <xf numFmtId="0" fontId="18" fillId="3" borderId="6" xfId="0" applyFont="1" applyFill="1" applyBorder="1" applyAlignment="1">
      <alignment horizontal="center" vertical="center" wrapText="1"/>
    </xf>
    <xf numFmtId="0" fontId="18" fillId="3" borderId="5" xfId="0" applyFont="1" applyFill="1" applyBorder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90"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4" formatCode="#,##0.00"/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14" formatCode="0.00%"/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4" formatCode="#,##0.00"/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4" formatCode="#,##0.00"/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14" formatCode="0.00%"/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4" formatCode="#,##0.00"/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4" formatCode="#,##0.00"/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14" formatCode="0.00%"/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4" formatCode="#,##0.00"/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4" formatCode="#,##0.00"/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14" formatCode="0.00%"/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4" formatCode="#,##0.00"/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14" formatCode="0.00%"/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4" formatCode="#,##0.00"/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4" formatCode="#,##0.00"/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4" formatCode="#,##0.00"/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alignment horizont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4" formatCode="#,##0.00"/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alignment horizont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4" formatCode="#,##0.00"/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alignment horizont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4" formatCode="#,##0.00"/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alignment horizont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4" formatCode="#,##0.00"/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alignment horizont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E707173-241B-4C53-BCD2-BED05BADB09F}" name="Tabla22" displayName="Tabla22" ref="F10:R30" totalsRowShown="0" headerRowDxfId="89" dataDxfId="87" headerRowBorderDxfId="88" tableBorderDxfId="86" totalsRowBorderDxfId="85">
  <autoFilter ref="F10:R30" xr:uid="{CE707173-241B-4C53-BCD2-BED05BADB09F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</autoFilter>
  <tableColumns count="13">
    <tableColumn id="1" xr3:uid="{0F5FBC71-007B-46FF-BB66-C9393FCDCF5E}" name="Grupo Homogéneo" dataDxfId="84"/>
    <tableColumn id="2" xr3:uid="{754D2F41-77AC-454C-988D-F531336DB3AD}" name="Proceso" dataDxfId="83"/>
    <tableColumn id="13" xr3:uid="{CFC65511-9CE6-44A9-8606-1422996DE026}" name="Uso final de energía" dataDxfId="82"/>
    <tableColumn id="3" xr3:uid="{D16E6ABF-4330-4998-AEBA-8BBF9CC25067}" name="Energético" dataDxfId="81"/>
    <tableColumn id="4" xr3:uid="{6412C870-752B-48B2-8D2C-FF8BCF4E358A}" name="Producto final" dataDxfId="80"/>
    <tableColumn id="5" xr3:uid="{36026C60-7F74-4967-9D17-A9F7B8A6C0B0}" name="Unidades indicador producción" dataDxfId="79"/>
    <tableColumn id="6" xr3:uid="{1C8DE65C-44AA-4ACC-BCE2-1601F74D5024}" name="Indicador" dataDxfId="78"/>
    <tableColumn id="7" xr3:uid="{8C2E70F0-C6FA-442E-8F81-686836239EDF}" name="Parámetro" dataDxfId="77">
      <calculatedColumnFormula>IFERROR(RIGHT(Tabla22[[#This Row],[Unidades indicador producción]], LEN(Tabla22[[#This Row],[Unidades indicador producción]])-FIND("/", Tabla22[[#This Row],[Unidades indicador producción]])), "")</calculatedColumnFormula>
    </tableColumn>
    <tableColumn id="8" xr3:uid="{922E4D3B-49C9-40B0-A3E1-91A2ECC60FFD}" name="Indicador área" dataDxfId="76">
      <calculatedColumnFormula>IF(Tabla22[[#This Row],[Parámetro]]="Tn",Tabla22[[#This Row],[Indicador]]*$B$6,Tabla22[[#This Row],[Indicador]])</calculatedColumnFormula>
    </tableColumn>
    <tableColumn id="9" xr3:uid="{109ADF01-2A9E-4EA9-A544-B0718F67C39C}" name="Unidades" dataDxfId="75">
      <calculatedColumnFormula>"MJ/Ha"</calculatedColumnFormula>
    </tableColumn>
    <tableColumn id="10" xr3:uid="{84ECCF1A-4032-460C-98FB-CFF8F97B591D}" name="Consumo energía [MJ/año]" dataDxfId="14">
      <calculatedColumnFormula>(Tabla22[[#This Row],[Indicador área]]*$B$5)</calculatedColumnFormula>
    </tableColumn>
    <tableColumn id="11" xr3:uid="{8814DCF7-B9FB-4C8E-8AF6-B10AF112865E}" name="Participación" dataDxfId="12" dataCellStyle="Porcentaje">
      <calculatedColumnFormula>+Tabla22[[#This Row],[Consumo energía '[MJ/año']]]/$P$9</calculatedColumnFormula>
    </tableColumn>
    <tableColumn id="12" xr3:uid="{C55D2392-79ED-4FC0-9FFC-C991823D74C9}" name="Consumo energía corregida [MJ/año]" dataDxfId="13">
      <calculatedColumnFormula>IF(Tabla22[[#This Row],[Energético]]="Energía Eléctrica",((Tabla22[[#This Row],[Participación]]*$D$29)/SUMIF(Tabla22[Energético],"Energía Eléctrica",Tabla22[Participación]))*$B$32,Tabla22[[#This Row],[Consumo energía '[MJ/año']]])</calculatedColumnFormula>
    </tableColumn>
  </tableColumns>
  <tableStyleInfo name="TableStyleLight14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7A2A5A41-5B2E-4FAA-9FF9-9B2E287FB6CF}" name="Tabla226" displayName="Tabla226" ref="F10:R30" totalsRowShown="0" headerRowDxfId="74" dataDxfId="72" headerRowBorderDxfId="73" tableBorderDxfId="71" totalsRowBorderDxfId="70">
  <autoFilter ref="F10:R30" xr:uid="{7A2A5A41-5B2E-4FAA-9FF9-9B2E287FB6CF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</autoFilter>
  <tableColumns count="13">
    <tableColumn id="1" xr3:uid="{8DB239A7-74D9-4CF2-BF3C-7A11D2F82295}" name="Grupo Homogéneo" dataDxfId="69"/>
    <tableColumn id="2" xr3:uid="{133CEF21-CD70-4E09-934A-3CB3A0F2AABA}" name="Proceso" dataDxfId="68"/>
    <tableColumn id="14" xr3:uid="{EAE2FE9C-3440-4804-907A-A4E4039CE32D}" name="Uso final de energía" dataDxfId="67"/>
    <tableColumn id="3" xr3:uid="{E908F87C-01FE-4383-AA4E-760C082F9190}" name="Energético" dataDxfId="66"/>
    <tableColumn id="4" xr3:uid="{30E27DB0-6CE4-4949-8F1F-1A28910F62A3}" name="Producto final" dataDxfId="65"/>
    <tableColumn id="5" xr3:uid="{E74F45BE-0382-48A1-9EFC-95D424339EA2}" name="Unidades indicador producción" dataDxfId="64"/>
    <tableColumn id="6" xr3:uid="{5EB1C0C7-DC22-49D0-9CD1-394A7F2FB905}" name="Indicador" dataDxfId="63"/>
    <tableColumn id="7" xr3:uid="{176CCFF5-C4FA-406E-B35E-7412F367A436}" name="Parámetro" dataDxfId="62">
      <calculatedColumnFormula>IFERROR(RIGHT(Tabla226[[#This Row],[Unidades indicador producción]], LEN(Tabla226[[#This Row],[Unidades indicador producción]])-FIND("/", Tabla226[[#This Row],[Unidades indicador producción]])), "")</calculatedColumnFormula>
    </tableColumn>
    <tableColumn id="8" xr3:uid="{EFFF8FD1-8A5E-4FEC-A455-ECE93C3C45C0}" name="Indicador área" dataDxfId="61">
      <calculatedColumnFormula>IF(Tabla226[[#This Row],[Parámetro]]="Tn",Tabla226[[#This Row],[Indicador]]*$B$6,Tabla226[[#This Row],[Indicador]])</calculatedColumnFormula>
    </tableColumn>
    <tableColumn id="9" xr3:uid="{B78F9B89-FB59-4A1C-8173-E418CFD8BAF8}" name="Unidades" dataDxfId="60">
      <calculatedColumnFormula>"MJ/Ha"</calculatedColumnFormula>
    </tableColumn>
    <tableColumn id="10" xr3:uid="{70622F5A-B8D4-48D1-8B1D-61234556A328}" name="Consumo energía [MJ/año]" dataDxfId="11">
      <calculatedColumnFormula>(Tabla226[[#This Row],[Indicador área]]*$B$5)</calculatedColumnFormula>
    </tableColumn>
    <tableColumn id="11" xr3:uid="{CA75C91B-3DC3-4F87-9706-876E2EDCF0B9}" name="Participación" dataDxfId="10" dataCellStyle="Porcentaje">
      <calculatedColumnFormula>+Tabla226[[#This Row],[Consumo energía '[MJ/año']]]/$P$9</calculatedColumnFormula>
    </tableColumn>
    <tableColumn id="12" xr3:uid="{FC0FF66C-187F-4373-B9AB-1DCD409B9AAD}" name="Consumo energía corregida [MJ/año]" dataDxfId="9">
      <calculatedColumnFormula>IF(Tabla226[[#This Row],[Energético]]="Energía Eléctrica",((Tabla226[[#This Row],[Participación]]*$D$29)/SUMIF(Tabla226[Energético],"Energía Eléctrica",Tabla226[Participación]))*$B$32,Tabla226[[#This Row],[Consumo energía '[MJ/año']]])</calculatedColumnFormula>
    </tableColumn>
  </tableColumns>
  <tableStyleInfo name="TableStyleLight14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A8BC3631-08A5-4FC3-B8C7-98B877D973AE}" name="Tabla2267" displayName="Tabla2267" ref="F10:R30" totalsRowShown="0" headerRowDxfId="59" dataDxfId="57" headerRowBorderDxfId="58" tableBorderDxfId="56" totalsRowBorderDxfId="55">
  <autoFilter ref="F10:R30" xr:uid="{A8BC3631-08A5-4FC3-B8C7-98B877D973AE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</autoFilter>
  <tableColumns count="13">
    <tableColumn id="1" xr3:uid="{C86AB2A3-468E-4F45-A68E-4313D8265258}" name="Grupo Homogéneo" dataDxfId="54"/>
    <tableColumn id="2" xr3:uid="{10B2D114-2D97-46D7-8D6F-2AA30E5E6B0E}" name="Proceso" dataDxfId="53"/>
    <tableColumn id="13" xr3:uid="{71200834-2F49-442E-A6D9-76F5E85B754C}" name="Uso final de energía" dataDxfId="52"/>
    <tableColumn id="3" xr3:uid="{8A0B3E62-0AC4-438A-9953-1A8EEA6E4B55}" name="Energético" dataDxfId="51"/>
    <tableColumn id="4" xr3:uid="{B05A0B96-69D0-40C4-AABB-9990BE870FB5}" name="Producto final" dataDxfId="50"/>
    <tableColumn id="5" xr3:uid="{F6545097-ED50-417B-9FA9-81F631301868}" name="Unidades indicador producción" dataDxfId="49"/>
    <tableColumn id="6" xr3:uid="{C5829C9E-9560-4EC1-88E4-8696ACE9630F}" name="Indicador" dataDxfId="48"/>
    <tableColumn id="7" xr3:uid="{78E59875-F6BF-4331-B42D-7AFC49974572}" name="Parámetro" dataDxfId="47">
      <calculatedColumnFormula>IFERROR(RIGHT(Tabla2267[[#This Row],[Unidades indicador producción]], LEN(Tabla2267[[#This Row],[Unidades indicador producción]])-FIND("/", Tabla2267[[#This Row],[Unidades indicador producción]])), "")</calculatedColumnFormula>
    </tableColumn>
    <tableColumn id="8" xr3:uid="{B9F7AED5-8053-41B8-A130-15FAC5830C37}" name="Indicador área" dataDxfId="46">
      <calculatedColumnFormula>IF(Tabla2267[[#This Row],[Parámetro]]="Tn",Tabla2267[[#This Row],[Indicador]]*$B$6,Tabla2267[[#This Row],[Indicador]])</calculatedColumnFormula>
    </tableColumn>
    <tableColumn id="9" xr3:uid="{7B5703C4-EF43-434D-A848-89EC1E08ACC0}" name="Unidades" dataDxfId="45">
      <calculatedColumnFormula>"MJ/Ha"</calculatedColumnFormula>
    </tableColumn>
    <tableColumn id="10" xr3:uid="{F4B4BAE7-8A0F-48B6-87D5-33B0FAE0BEBA}" name="Consumo energía [MJ/año]" dataDxfId="8">
      <calculatedColumnFormula>(Tabla2267[[#This Row],[Indicador área]]*$B$5)</calculatedColumnFormula>
    </tableColumn>
    <tableColumn id="11" xr3:uid="{11CEAC82-2467-4192-9018-01B5B2F71D02}" name="Participación" dataDxfId="7" dataCellStyle="Porcentaje">
      <calculatedColumnFormula>+Tabla2267[[#This Row],[Consumo energía '[MJ/año']]]/$P$9</calculatedColumnFormula>
    </tableColumn>
    <tableColumn id="12" xr3:uid="{7A8285F9-1689-4238-A45D-A810C7298BB3}" name="Consumo energía corregida [MJ/año]" dataDxfId="6">
      <calculatedColumnFormula>IF(Tabla2267[[#This Row],[Energético]]="Energía Eléctrica",((Tabla2267[[#This Row],[Participación]]*$D$29)/SUMIF(Tabla2267[Energético],"Energía Eléctrica",Tabla2267[Participación]))*$B$32,Tabla2267[[#This Row],[Consumo energía '[MJ/año']]])</calculatedColumnFormula>
    </tableColumn>
  </tableColumns>
  <tableStyleInfo name="TableStyleLight14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4EE8BCC-C3EB-416A-983F-F1811DE4750C}" name="Tabla225" displayName="Tabla225" ref="F10:R30" totalsRowShown="0" headerRowDxfId="44" dataDxfId="42" headerRowBorderDxfId="43" tableBorderDxfId="41" totalsRowBorderDxfId="40">
  <autoFilter ref="F10:R30" xr:uid="{64EE8BCC-C3EB-416A-983F-F1811DE4750C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</autoFilter>
  <tableColumns count="13">
    <tableColumn id="1" xr3:uid="{A5C666F9-9583-4CE1-85A4-B05C903595BC}" name="Grupo Homogéneo" dataDxfId="39"/>
    <tableColumn id="2" xr3:uid="{194497DC-18BC-47D2-8822-C1EFB0C77AD6}" name="Proceso" dataDxfId="38"/>
    <tableColumn id="13" xr3:uid="{DC188508-A168-4E10-AFBC-57D32220D36F}" name="Uso final de energía" dataDxfId="37"/>
    <tableColumn id="3" xr3:uid="{C97E755D-8BFE-4B19-8E6F-1525C8CA4F1D}" name="Energético" dataDxfId="36"/>
    <tableColumn id="4" xr3:uid="{9C268CCE-17EB-44AD-994D-1A4CA9FD3A24}" name="Producto final" dataDxfId="35"/>
    <tableColumn id="5" xr3:uid="{214F0D00-47F7-4B4D-8FF7-95CE328BCD68}" name="Unidades indicador producción" dataDxfId="34"/>
    <tableColumn id="6" xr3:uid="{4CEF7703-72A7-4B7E-AEC2-5197C8950F8F}" name="Indicador" dataDxfId="33"/>
    <tableColumn id="7" xr3:uid="{62621A92-0740-421D-90D4-FEED9202F296}" name="Parámetro" dataDxfId="32">
      <calculatedColumnFormula>IFERROR(RIGHT(Tabla225[[#This Row],[Unidades indicador producción]], LEN(Tabla225[[#This Row],[Unidades indicador producción]])-FIND("/", Tabla225[[#This Row],[Unidades indicador producción]])), "")</calculatedColumnFormula>
    </tableColumn>
    <tableColumn id="8" xr3:uid="{82681055-8842-47BC-B896-501102F4FE57}" name="Indicador área" dataDxfId="31">
      <calculatedColumnFormula>IF(Tabla225[[#This Row],[Parámetro]]="Tn",Tabla225[[#This Row],[Indicador]]*$B$6,Tabla225[[#This Row],[Indicador]])</calculatedColumnFormula>
    </tableColumn>
    <tableColumn id="9" xr3:uid="{CF5298AC-6349-4288-B46B-7803112C88FC}" name="Unidades" dataDxfId="30">
      <calculatedColumnFormula>"MJ/Ha"</calculatedColumnFormula>
    </tableColumn>
    <tableColumn id="10" xr3:uid="{45C2B86C-DF09-4DCB-B5B6-7E7473DE4E9A}" name="Consumo energía [MJ/año]" dataDxfId="5">
      <calculatedColumnFormula>(Tabla225[[#This Row],[Indicador área]]*$B$5)</calculatedColumnFormula>
    </tableColumn>
    <tableColumn id="11" xr3:uid="{19B1A077-6696-4FD9-A3AC-A034711637C7}" name="Participación" dataDxfId="4" dataCellStyle="Porcentaje">
      <calculatedColumnFormula>+Tabla225[[#This Row],[Consumo energía '[MJ/año']]]/$P$9</calculatedColumnFormula>
    </tableColumn>
    <tableColumn id="12" xr3:uid="{216E52D3-ED0D-42DD-BD1B-7C09DBBA75C8}" name="Consumo energía corregida [MJ/año]" dataDxfId="3">
      <calculatedColumnFormula>IF(Tabla225[[#This Row],[Energético]]="Energía Eléctrica",((Tabla225[[#This Row],[Participación]]*$D$29)/SUMIF(Tabla225[Energético],"Energía Eléctrica",Tabla225[Participación]))*$B$32,Tabla225[[#This Row],[Consumo energía '[MJ/año']]])</calculatedColumnFormula>
    </tableColumn>
  </tableColumns>
  <tableStyleInfo name="TableStyleLight14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E81BC40D-4ED4-4B9D-BD9E-1E758C5D1572}" name="Tabla225910" displayName="Tabla225910" ref="F10:R30" totalsRowShown="0" headerRowDxfId="29" dataDxfId="27" headerRowBorderDxfId="28" tableBorderDxfId="26" totalsRowBorderDxfId="25">
  <autoFilter ref="F10:R30" xr:uid="{E81BC40D-4ED4-4B9D-BD9E-1E758C5D1572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</autoFilter>
  <tableColumns count="13">
    <tableColumn id="1" xr3:uid="{C3346156-B3F5-4F98-9A53-08CAD9CF7FD9}" name="Grupo Homogéneo" dataDxfId="24"/>
    <tableColumn id="2" xr3:uid="{47E3D931-842E-40E6-9906-934F8DBFB19B}" name="Proceso" dataDxfId="23"/>
    <tableColumn id="13" xr3:uid="{5C0B1F70-D009-4B4C-8B95-81851CB7D070}" name="Uso final de energía" dataDxfId="22"/>
    <tableColumn id="3" xr3:uid="{6F60AD5E-1D8C-4AAB-83F5-1F062715C83C}" name="Energético" dataDxfId="21"/>
    <tableColumn id="4" xr3:uid="{F874DCAE-AB1A-4DB3-A1A2-4972D24F30E7}" name="Producto final" dataDxfId="20"/>
    <tableColumn id="5" xr3:uid="{45A8424E-B78D-4657-BDB4-D23554402299}" name="Unidades indicador producción" dataDxfId="19"/>
    <tableColumn id="6" xr3:uid="{D4CA9525-1A7C-4630-AB78-014692BC117E}" name="Indicador" dataDxfId="18"/>
    <tableColumn id="7" xr3:uid="{6072C1A1-D44C-477E-AC9E-E7B8B5CB609F}" name="Parámetro" dataDxfId="17">
      <calculatedColumnFormula>IFERROR(RIGHT(Tabla225910[[#This Row],[Unidades indicador producción]], LEN(Tabla225910[[#This Row],[Unidades indicador producción]])-FIND("/", Tabla225910[[#This Row],[Unidades indicador producción]])), "")</calculatedColumnFormula>
    </tableColumn>
    <tableColumn id="8" xr3:uid="{6F033F55-7B02-4C9E-9BA4-9D4C1834797A}" name="Indicador área" dataDxfId="16">
      <calculatedColumnFormula>IF(Tabla225910[[#This Row],[Parámetro]]="Tn",Tabla225910[[#This Row],[Indicador]]*$B$6,Tabla225910[[#This Row],[Indicador]])</calculatedColumnFormula>
    </tableColumn>
    <tableColumn id="9" xr3:uid="{30CBC163-C66D-4BF1-9DC1-01FA5ED18BA1}" name="Unidades" dataDxfId="15">
      <calculatedColumnFormula>"MJ/Ha"</calculatedColumnFormula>
    </tableColumn>
    <tableColumn id="10" xr3:uid="{44679487-3B71-4D89-9E13-F7EE1AE6ACFA}" name="Consumo energía [MJ/año]" dataDxfId="2">
      <calculatedColumnFormula>(Tabla225910[[#This Row],[Indicador área]]*$B$5)</calculatedColumnFormula>
    </tableColumn>
    <tableColumn id="11" xr3:uid="{D9FCA913-150D-4EF9-B3F8-F64EEF334858}" name="Participación" dataDxfId="1" dataCellStyle="Porcentaje">
      <calculatedColumnFormula>+Tabla225910[[#This Row],[Consumo energía '[MJ/año']]]/$P$9</calculatedColumnFormula>
    </tableColumn>
    <tableColumn id="12" xr3:uid="{39CAE449-A567-428F-A353-12D6DEF106BC}" name="Consumo energía corregida [MJ/año]" dataDxfId="0">
      <calculatedColumnFormula>IF(Tabla225910[[#This Row],[Energético]]="Energía Eléctrica",((Tabla225910[[#This Row],[Participación]]*$D$29)/SUMIF(Tabla225910[Energético],"Energía Eléctrica",Tabla225910[Participación]))*$B$32,Tabla225910[[#This Row],[Consumo energía '[MJ/año']]])</calculatedColumnFormula>
    </tableColumn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485FCD-0EFB-4C63-8DD7-A9391F860BF4}">
  <dimension ref="A6:Q37"/>
  <sheetViews>
    <sheetView showGridLines="0" topLeftCell="A7" workbookViewId="0">
      <selection activeCell="A31" sqref="A31"/>
    </sheetView>
  </sheetViews>
  <sheetFormatPr baseColWidth="10" defaultRowHeight="12.75" x14ac:dyDescent="0.2"/>
  <cols>
    <col min="1" max="1" width="27" style="26" customWidth="1"/>
    <col min="2" max="2" width="15" style="26" customWidth="1"/>
    <col min="3" max="3" width="13.42578125" style="26" customWidth="1"/>
    <col min="4" max="4" width="11.42578125" style="26"/>
    <col min="5" max="5" width="24.5703125" style="26" customWidth="1"/>
    <col min="6" max="6" width="23.28515625" style="26" customWidth="1"/>
    <col min="7" max="7" width="11.42578125" style="26"/>
    <col min="8" max="8" width="14.5703125" style="26" customWidth="1"/>
    <col min="9" max="9" width="19.85546875" style="26" customWidth="1"/>
    <col min="10" max="10" width="15.42578125" style="26" customWidth="1"/>
    <col min="11" max="11" width="15.7109375" style="26" customWidth="1"/>
    <col min="12" max="16384" width="11.42578125" style="26"/>
  </cols>
  <sheetData>
    <row r="6" spans="1:17" ht="69.75" customHeight="1" x14ac:dyDescent="0.2">
      <c r="E6" s="59" t="s">
        <v>110</v>
      </c>
      <c r="F6" s="59"/>
      <c r="G6" s="59"/>
    </row>
    <row r="7" spans="1:17" ht="39" x14ac:dyDescent="0.25">
      <c r="E7" s="50" t="s">
        <v>107</v>
      </c>
      <c r="F7" s="49">
        <f>SUM(F8:F10)</f>
        <v>32010258.273224052</v>
      </c>
      <c r="G7" s="49" t="s">
        <v>106</v>
      </c>
      <c r="H7"/>
      <c r="I7" s="87" t="s">
        <v>118</v>
      </c>
      <c r="J7" s="87" t="s">
        <v>125</v>
      </c>
      <c r="L7"/>
    </row>
    <row r="8" spans="1:17" ht="15" x14ac:dyDescent="0.25">
      <c r="E8" s="52" t="s">
        <v>45</v>
      </c>
      <c r="F8" s="53">
        <v>16219394.47247301</v>
      </c>
      <c r="G8" s="54">
        <f>+F8/$F$7</f>
        <v>0.50669364595662181</v>
      </c>
      <c r="H8"/>
      <c r="I8" s="88">
        <v>689752.06958176487</v>
      </c>
      <c r="J8" s="48">
        <f>+I8*3.6</f>
        <v>2483107.4504943537</v>
      </c>
      <c r="L8"/>
    </row>
    <row r="9" spans="1:17" x14ac:dyDescent="0.2">
      <c r="E9" s="52" t="s">
        <v>60</v>
      </c>
      <c r="F9" s="53">
        <v>7789863.4345580405</v>
      </c>
      <c r="G9" s="54">
        <f>+F9/$F$7</f>
        <v>0.24335521969449736</v>
      </c>
      <c r="H9"/>
      <c r="J9" s="26" t="s">
        <v>62</v>
      </c>
      <c r="K9" s="26" t="s">
        <v>63</v>
      </c>
    </row>
    <row r="10" spans="1:17" ht="15.75" x14ac:dyDescent="0.25">
      <c r="E10" s="52" t="s">
        <v>65</v>
      </c>
      <c r="F10" s="53">
        <v>8001000.3661930002</v>
      </c>
      <c r="G10" s="54">
        <f>+F10/$F$7</f>
        <v>0.24995113434888086</v>
      </c>
      <c r="H10" s="24" t="s">
        <v>108</v>
      </c>
      <c r="I10" s="26" t="s">
        <v>65</v>
      </c>
      <c r="J10" s="43">
        <v>2.5000000000000001E-3</v>
      </c>
      <c r="K10" s="26" t="s">
        <v>64</v>
      </c>
    </row>
    <row r="11" spans="1:17" x14ac:dyDescent="0.2">
      <c r="E11" s="51"/>
      <c r="F11" s="51"/>
      <c r="G11" s="51"/>
      <c r="I11" s="26" t="s">
        <v>109</v>
      </c>
    </row>
    <row r="13" spans="1:17" x14ac:dyDescent="0.2">
      <c r="E13" s="83" t="s">
        <v>66</v>
      </c>
    </row>
    <row r="14" spans="1:17" ht="18" x14ac:dyDescent="0.2">
      <c r="A14" s="55" t="s">
        <v>111</v>
      </c>
      <c r="B14" s="55" t="s">
        <v>112</v>
      </c>
    </row>
    <row r="15" spans="1:17" ht="18" x14ac:dyDescent="0.25">
      <c r="A15" s="56">
        <f>+Fresa!B32+Piña!B32+Pasifloras!B32+Papaya!B32+Uchuva!B32</f>
        <v>933898101.40908563</v>
      </c>
      <c r="B15" s="55">
        <f>A15/1000000</f>
        <v>933.8981014090856</v>
      </c>
      <c r="E15" s="94" t="s">
        <v>103</v>
      </c>
      <c r="F15" s="94"/>
      <c r="G15" s="94"/>
      <c r="H15" s="94"/>
      <c r="I15" s="94"/>
      <c r="J15" s="94"/>
      <c r="K15" s="94"/>
      <c r="L15" s="58" t="s">
        <v>105</v>
      </c>
      <c r="M15" s="58"/>
      <c r="N15" s="58"/>
      <c r="O15" s="58"/>
      <c r="P15" s="58"/>
      <c r="Q15" s="58"/>
    </row>
    <row r="16" spans="1:17" ht="51" x14ac:dyDescent="0.2">
      <c r="E16" s="95" t="s">
        <v>38</v>
      </c>
      <c r="F16" s="95" t="s">
        <v>36</v>
      </c>
      <c r="G16" s="95" t="s">
        <v>37</v>
      </c>
      <c r="H16" s="95" t="s">
        <v>100</v>
      </c>
      <c r="I16" s="95" t="s">
        <v>102</v>
      </c>
      <c r="J16" s="95" t="s">
        <v>104</v>
      </c>
      <c r="K16" s="96" t="s">
        <v>126</v>
      </c>
      <c r="L16" s="74" t="s">
        <v>101</v>
      </c>
      <c r="M16" s="74" t="s">
        <v>36</v>
      </c>
      <c r="N16" s="74" t="s">
        <v>37</v>
      </c>
      <c r="O16" s="74" t="s">
        <v>100</v>
      </c>
      <c r="P16" s="74" t="s">
        <v>99</v>
      </c>
      <c r="Q16" s="74" t="s">
        <v>104</v>
      </c>
    </row>
    <row r="17" spans="1:17" ht="51" x14ac:dyDescent="0.2">
      <c r="E17" s="89" t="s">
        <v>57</v>
      </c>
      <c r="F17" s="90">
        <v>36205</v>
      </c>
      <c r="G17" s="90">
        <v>1174995</v>
      </c>
      <c r="H17" s="89">
        <v>46.5</v>
      </c>
      <c r="I17" s="91">
        <f>F17/$F$24</f>
        <v>0.45888943812819244</v>
      </c>
      <c r="J17" s="92">
        <f>I17*$G$24</f>
        <v>0.23251636249615945</v>
      </c>
      <c r="K17" s="93">
        <f>+J17*$I$30*3.6</f>
        <v>577363.11207605945</v>
      </c>
      <c r="L17" s="75" t="s">
        <v>98</v>
      </c>
      <c r="M17" s="76">
        <v>97007</v>
      </c>
      <c r="N17" s="76">
        <v>1257474</v>
      </c>
      <c r="O17" s="75" t="s">
        <v>97</v>
      </c>
      <c r="P17" s="77">
        <f>M17/$M$33</f>
        <v>0.47757639712927707</v>
      </c>
      <c r="Q17" s="70">
        <f>P17*$N$33</f>
        <v>0.11622070904430173</v>
      </c>
    </row>
    <row r="18" spans="1:17" x14ac:dyDescent="0.2">
      <c r="A18" s="9" t="s">
        <v>0</v>
      </c>
      <c r="B18" s="9" t="s">
        <v>113</v>
      </c>
      <c r="C18" s="9" t="s">
        <v>1</v>
      </c>
      <c r="E18" s="89" t="s">
        <v>43</v>
      </c>
      <c r="F18" s="90">
        <v>19853</v>
      </c>
      <c r="G18" s="90">
        <v>220920</v>
      </c>
      <c r="H18" s="89">
        <v>13.3</v>
      </c>
      <c r="I18" s="91">
        <f t="shared" ref="I18:I23" si="0">F18/$F$24</f>
        <v>0.25163187446924473</v>
      </c>
      <c r="J18" s="92">
        <f t="shared" ref="J18:J23" si="1">I18*$G$24</f>
        <v>0.1275002719137206</v>
      </c>
      <c r="K18" s="93">
        <f>+J18*$I$30*3.6</f>
        <v>316596.87512901559</v>
      </c>
      <c r="L18" s="75" t="s">
        <v>96</v>
      </c>
      <c r="M18" s="76">
        <v>39735</v>
      </c>
      <c r="N18" s="76">
        <v>132315</v>
      </c>
      <c r="O18" s="75" t="s">
        <v>95</v>
      </c>
      <c r="P18" s="77">
        <f t="shared" ref="P18:P32" si="2">M18/$M$33</f>
        <v>0.19561988454371154</v>
      </c>
      <c r="Q18" s="70">
        <f t="shared" ref="Q18:Q32" si="3">P18*$N$33</f>
        <v>4.7605119979747132E-2</v>
      </c>
    </row>
    <row r="19" spans="1:17" x14ac:dyDescent="0.2">
      <c r="A19" s="42" t="s">
        <v>2</v>
      </c>
      <c r="B19" s="41">
        <f>Piña!B29+Pasifloras!B29+Fresa!B29+Papaya!B29+Uchuva!B29</f>
        <v>1258174.6404691385</v>
      </c>
      <c r="C19" s="10">
        <f>B19/$B$22</f>
        <v>1.3472290376977719E-3</v>
      </c>
      <c r="E19" s="89" t="s">
        <v>59</v>
      </c>
      <c r="F19" s="90">
        <v>13779</v>
      </c>
      <c r="G19" s="90">
        <v>453310</v>
      </c>
      <c r="H19" s="89">
        <v>25</v>
      </c>
      <c r="I19" s="91">
        <f t="shared" si="0"/>
        <v>0.17464542378037187</v>
      </c>
      <c r="J19" s="92">
        <f t="shared" si="1"/>
        <v>8.8491726524915923E-2</v>
      </c>
      <c r="K19" s="93">
        <f>+J19*$I$30*3.6</f>
        <v>219734.46544112754</v>
      </c>
      <c r="L19" s="75" t="s">
        <v>94</v>
      </c>
      <c r="M19" s="76">
        <v>15144</v>
      </c>
      <c r="N19" s="76">
        <v>108845</v>
      </c>
      <c r="O19" s="75" t="s">
        <v>93</v>
      </c>
      <c r="P19" s="77">
        <f t="shared" si="2"/>
        <v>7.4555619265885678E-2</v>
      </c>
      <c r="Q19" s="70">
        <f t="shared" si="3"/>
        <v>1.8143499105908911E-2</v>
      </c>
    </row>
    <row r="20" spans="1:17" ht="25.5" x14ac:dyDescent="0.2">
      <c r="A20" s="42" t="s">
        <v>3</v>
      </c>
      <c r="B20" s="41">
        <f>+Piña!B30+Pasifloras!B30+Fresa!B30+Papaya!B30+Uchuva!B30</f>
        <v>287747252.31219512</v>
      </c>
      <c r="C20" s="10">
        <f>B20/$B$22</f>
        <v>0.3081141849180718</v>
      </c>
      <c r="E20" s="89"/>
      <c r="F20" s="90"/>
      <c r="G20" s="90"/>
      <c r="H20" s="89"/>
      <c r="I20" s="91"/>
      <c r="J20" s="92"/>
      <c r="K20" s="93"/>
      <c r="L20" s="75" t="s">
        <v>92</v>
      </c>
      <c r="M20" s="76">
        <v>11831</v>
      </c>
      <c r="N20" s="76">
        <v>190062</v>
      </c>
      <c r="O20" s="75" t="s">
        <v>91</v>
      </c>
      <c r="P20" s="77">
        <f t="shared" si="2"/>
        <v>5.8245346773289318E-2</v>
      </c>
      <c r="Q20" s="70">
        <f t="shared" si="3"/>
        <v>1.4174309160196005E-2</v>
      </c>
    </row>
    <row r="21" spans="1:17" x14ac:dyDescent="0.2">
      <c r="A21" s="42" t="s">
        <v>4</v>
      </c>
      <c r="B21" s="41">
        <f>+Piña!B31+Pasifloras!B31+Fresa!B31+Papaya!B31+Uchuva!B31</f>
        <v>644892674.45642126</v>
      </c>
      <c r="C21" s="10">
        <f>B21/$B$22</f>
        <v>0.69053858604423046</v>
      </c>
      <c r="E21" s="89" t="s">
        <v>58</v>
      </c>
      <c r="F21" s="90">
        <v>7347</v>
      </c>
      <c r="G21" s="90">
        <v>170604</v>
      </c>
      <c r="H21" s="89">
        <v>31.53</v>
      </c>
      <c r="I21" s="91">
        <f>F21/$F$24</f>
        <v>9.312141146051181E-2</v>
      </c>
      <c r="J21" s="92">
        <f>I21*$G$24</f>
        <v>4.7184027489553478E-2</v>
      </c>
      <c r="K21" s="93">
        <f>+J21*$I$30*3.6</f>
        <v>117163.01020364062</v>
      </c>
      <c r="L21" s="75" t="s">
        <v>90</v>
      </c>
      <c r="M21" s="76">
        <v>11636</v>
      </c>
      <c r="N21" s="76">
        <v>102877</v>
      </c>
      <c r="O21" s="75">
        <v>11</v>
      </c>
      <c r="P21" s="77">
        <f t="shared" si="2"/>
        <v>5.7285339789873595E-2</v>
      </c>
      <c r="Q21" s="70">
        <f t="shared" si="3"/>
        <v>1.394068644983862E-2</v>
      </c>
    </row>
    <row r="22" spans="1:17" ht="25.5" x14ac:dyDescent="0.2">
      <c r="A22" s="71" t="s">
        <v>107</v>
      </c>
      <c r="B22" s="72">
        <f>SUM(B19:B21)</f>
        <v>933898101.40908551</v>
      </c>
      <c r="C22" s="73">
        <f>SUM(C19:C21)</f>
        <v>1</v>
      </c>
      <c r="E22" s="89"/>
      <c r="F22" s="90"/>
      <c r="G22" s="90"/>
      <c r="H22" s="89"/>
      <c r="I22" s="91"/>
      <c r="J22" s="92"/>
      <c r="K22" s="93"/>
      <c r="L22" s="75" t="s">
        <v>89</v>
      </c>
      <c r="M22" s="76">
        <v>10036</v>
      </c>
      <c r="N22" s="76">
        <v>71563</v>
      </c>
      <c r="O22" s="75" t="s">
        <v>88</v>
      </c>
      <c r="P22" s="77">
        <f t="shared" si="2"/>
        <v>4.9408359413129203E-2</v>
      </c>
      <c r="Q22" s="70">
        <f t="shared" si="3"/>
        <v>1.2023782159726744E-2</v>
      </c>
    </row>
    <row r="23" spans="1:17" x14ac:dyDescent="0.2">
      <c r="E23" s="89" t="s">
        <v>42</v>
      </c>
      <c r="F23" s="90">
        <v>1713</v>
      </c>
      <c r="G23" s="90">
        <v>16377</v>
      </c>
      <c r="H23" s="89">
        <v>12.4</v>
      </c>
      <c r="I23" s="91">
        <f t="shared" si="0"/>
        <v>2.1711852161679153E-2</v>
      </c>
      <c r="J23" s="92">
        <f t="shared" si="1"/>
        <v>1.1001257532272371E-2</v>
      </c>
      <c r="K23" s="93">
        <f>+J23*$I$30*3.6</f>
        <v>27317.304543192648</v>
      </c>
      <c r="L23" s="75" t="s">
        <v>87</v>
      </c>
      <c r="M23" s="76">
        <v>4381</v>
      </c>
      <c r="N23" s="76">
        <v>32060</v>
      </c>
      <c r="O23" s="75" t="s">
        <v>86</v>
      </c>
      <c r="P23" s="77">
        <f t="shared" si="2"/>
        <v>2.1568156894073241E-2</v>
      </c>
      <c r="Q23" s="70">
        <f t="shared" si="3"/>
        <v>5.2487235593625817E-3</v>
      </c>
    </row>
    <row r="24" spans="1:17" ht="18" x14ac:dyDescent="0.25">
      <c r="E24" s="81" t="s">
        <v>107</v>
      </c>
      <c r="F24" s="82">
        <f>SUM(F17:F23)</f>
        <v>78897</v>
      </c>
      <c r="G24" s="80">
        <f>+G8</f>
        <v>0.50669364595662181</v>
      </c>
      <c r="L24" s="75" t="s">
        <v>85</v>
      </c>
      <c r="M24" s="76">
        <v>2818</v>
      </c>
      <c r="N24" s="76">
        <v>14406</v>
      </c>
      <c r="O24" s="75" t="s">
        <v>84</v>
      </c>
      <c r="P24" s="77">
        <f t="shared" si="2"/>
        <v>1.3873331688541062E-2</v>
      </c>
      <c r="Q24" s="70">
        <f t="shared" si="3"/>
        <v>3.3761476809595421E-3</v>
      </c>
    </row>
    <row r="25" spans="1:17" x14ac:dyDescent="0.2">
      <c r="L25" s="75" t="s">
        <v>83</v>
      </c>
      <c r="M25" s="76">
        <v>2817</v>
      </c>
      <c r="N25" s="76">
        <v>6289</v>
      </c>
      <c r="O25" s="75" t="s">
        <v>82</v>
      </c>
      <c r="P25" s="77">
        <f t="shared" si="2"/>
        <v>1.3868408575805596E-2</v>
      </c>
      <c r="Q25" s="70">
        <f t="shared" si="3"/>
        <v>3.3749496157782222E-3</v>
      </c>
    </row>
    <row r="26" spans="1:17" x14ac:dyDescent="0.2">
      <c r="L26" s="75" t="s">
        <v>81</v>
      </c>
      <c r="M26" s="76">
        <v>2100</v>
      </c>
      <c r="N26" s="76">
        <v>60000</v>
      </c>
      <c r="O26" s="75" t="s">
        <v>80</v>
      </c>
      <c r="P26" s="77">
        <f t="shared" si="2"/>
        <v>1.0338536744477015E-2</v>
      </c>
      <c r="Q26" s="70">
        <f t="shared" si="3"/>
        <v>2.5159368807718377E-3</v>
      </c>
    </row>
    <row r="27" spans="1:17" x14ac:dyDescent="0.2">
      <c r="L27" s="75" t="s">
        <v>79</v>
      </c>
      <c r="M27" s="76">
        <v>1834</v>
      </c>
      <c r="N27" s="76">
        <v>15581</v>
      </c>
      <c r="O27" s="75" t="s">
        <v>78</v>
      </c>
      <c r="P27" s="77">
        <f t="shared" si="2"/>
        <v>9.0289887568432599E-3</v>
      </c>
      <c r="Q27" s="70">
        <f t="shared" si="3"/>
        <v>2.1972515425407379E-3</v>
      </c>
    </row>
    <row r="28" spans="1:17" x14ac:dyDescent="0.2">
      <c r="H28" s="99" t="s">
        <v>103</v>
      </c>
      <c r="I28" s="99"/>
      <c r="L28" s="75" t="s">
        <v>77</v>
      </c>
      <c r="M28" s="76">
        <v>1460</v>
      </c>
      <c r="N28" s="75" t="s">
        <v>76</v>
      </c>
      <c r="O28" s="75" t="s">
        <v>75</v>
      </c>
      <c r="P28" s="77">
        <f t="shared" si="2"/>
        <v>7.1877445937792587E-3</v>
      </c>
      <c r="Q28" s="70">
        <f t="shared" si="3"/>
        <v>1.7491751647270872E-3</v>
      </c>
    </row>
    <row r="29" spans="1:17" ht="38.25" x14ac:dyDescent="0.2">
      <c r="H29" s="100" t="s">
        <v>127</v>
      </c>
      <c r="I29" s="100" t="s">
        <v>118</v>
      </c>
      <c r="L29" s="75" t="s">
        <v>74</v>
      </c>
      <c r="M29" s="76">
        <v>1272</v>
      </c>
      <c r="N29" s="76">
        <v>9290</v>
      </c>
      <c r="O29" s="75" t="s">
        <v>73</v>
      </c>
      <c r="P29" s="77">
        <f t="shared" si="2"/>
        <v>6.2621993995117921E-3</v>
      </c>
      <c r="Q29" s="70">
        <f t="shared" si="3"/>
        <v>1.5239389106389417E-3</v>
      </c>
    </row>
    <row r="30" spans="1:17" x14ac:dyDescent="0.2">
      <c r="E30" s="74" t="s">
        <v>136</v>
      </c>
      <c r="F30" s="45">
        <f>+F24+M33</f>
        <v>282020.52240000002</v>
      </c>
      <c r="H30" s="97">
        <f>+G24*I30*3.6</f>
        <v>1258174.7673930358</v>
      </c>
      <c r="I30" s="98">
        <f>+I8</f>
        <v>689752.06958176487</v>
      </c>
      <c r="L30" s="75" t="s">
        <v>72</v>
      </c>
      <c r="M30" s="75">
        <v>649</v>
      </c>
      <c r="N30" s="76">
        <v>2618</v>
      </c>
      <c r="O30" s="75" t="s">
        <v>71</v>
      </c>
      <c r="P30" s="77">
        <f t="shared" si="2"/>
        <v>3.1951001653169444E-3</v>
      </c>
      <c r="Q30" s="70">
        <f t="shared" si="3"/>
        <v>7.7754430267662988E-4</v>
      </c>
    </row>
    <row r="31" spans="1:17" x14ac:dyDescent="0.2">
      <c r="L31" s="75" t="s">
        <v>70</v>
      </c>
      <c r="M31" s="75">
        <v>400</v>
      </c>
      <c r="N31" s="76">
        <v>7700</v>
      </c>
      <c r="O31" s="75" t="s">
        <v>69</v>
      </c>
      <c r="P31" s="77">
        <f t="shared" si="2"/>
        <v>1.9692450941860983E-3</v>
      </c>
      <c r="Q31" s="70">
        <f t="shared" si="3"/>
        <v>4.7922607252796911E-4</v>
      </c>
    </row>
    <row r="32" spans="1:17" x14ac:dyDescent="0.2">
      <c r="L32" s="75" t="s">
        <v>68</v>
      </c>
      <c r="M32" s="86">
        <v>3.5224000000000002</v>
      </c>
      <c r="N32" s="76">
        <v>5217</v>
      </c>
      <c r="O32" s="75" t="s">
        <v>67</v>
      </c>
      <c r="P32" s="77">
        <f t="shared" si="2"/>
        <v>1.7341172299402782E-5</v>
      </c>
      <c r="Q32" s="70">
        <f t="shared" si="3"/>
        <v>4.2200647946812962E-6</v>
      </c>
    </row>
    <row r="33" spans="5:14" ht="18" x14ac:dyDescent="0.25">
      <c r="L33" s="84" t="s">
        <v>107</v>
      </c>
      <c r="M33" s="85">
        <f>SUM(M17:M32)</f>
        <v>203123.52239999999</v>
      </c>
      <c r="N33" s="79">
        <f>+G9</f>
        <v>0.24335521969449736</v>
      </c>
    </row>
    <row r="37" spans="5:14" x14ac:dyDescent="0.2">
      <c r="E37" s="44"/>
    </row>
  </sheetData>
  <mergeCells count="4">
    <mergeCell ref="H28:I28"/>
    <mergeCell ref="E6:G6"/>
    <mergeCell ref="L15:Q15"/>
    <mergeCell ref="E15:K15"/>
  </mergeCells>
  <dataValidations disablePrompts="1" count="1">
    <dataValidation type="list" allowBlank="1" showInputMessage="1" showErrorMessage="1" sqref="A19:A21" xr:uid="{856434F1-0A0E-49F1-AEC4-7BC58496DFEE}">
      <formula1>$A$1:$A$11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420634-A738-4A8E-9EFE-C2877B0B360D}">
  <dimension ref="A1:R40"/>
  <sheetViews>
    <sheetView showGridLines="0" workbookViewId="0">
      <selection activeCell="B8" sqref="B8"/>
    </sheetView>
  </sheetViews>
  <sheetFormatPr baseColWidth="10" defaultRowHeight="12.75" x14ac:dyDescent="0.2"/>
  <cols>
    <col min="1" max="1" width="28.28515625" style="26" customWidth="1"/>
    <col min="2" max="4" width="16.42578125" style="26" customWidth="1"/>
    <col min="5" max="5" width="11.42578125" style="26"/>
    <col min="6" max="6" width="22.85546875" style="26" bestFit="1" customWidth="1"/>
    <col min="7" max="8" width="24.5703125" style="26" customWidth="1"/>
    <col min="9" max="9" width="26.5703125" style="26" customWidth="1"/>
    <col min="10" max="10" width="17.7109375" style="26" bestFit="1" customWidth="1"/>
    <col min="11" max="11" width="19.7109375" style="26" customWidth="1"/>
    <col min="12" max="12" width="11.7109375" style="26" customWidth="1"/>
    <col min="13" max="13" width="11.42578125" style="26"/>
    <col min="14" max="14" width="15" style="26" customWidth="1"/>
    <col min="15" max="15" width="11.42578125" style="26"/>
    <col min="16" max="16" width="24.5703125" style="26" customWidth="1"/>
    <col min="17" max="17" width="15.7109375" style="26" customWidth="1"/>
    <col min="18" max="18" width="18.28515625" style="26" customWidth="1"/>
    <col min="19" max="16384" width="11.42578125" style="26"/>
  </cols>
  <sheetData>
    <row r="1" spans="1:18" ht="18" x14ac:dyDescent="0.25">
      <c r="A1" s="8"/>
    </row>
    <row r="3" spans="1:18" ht="18" x14ac:dyDescent="0.2">
      <c r="A3" s="68" t="s">
        <v>119</v>
      </c>
      <c r="B3" s="69"/>
    </row>
    <row r="4" spans="1:18" x14ac:dyDescent="0.2">
      <c r="A4" s="3" t="s">
        <v>31</v>
      </c>
      <c r="B4" s="33" t="s">
        <v>57</v>
      </c>
    </row>
    <row r="5" spans="1:18" x14ac:dyDescent="0.2">
      <c r="A5" s="3" t="s">
        <v>5</v>
      </c>
      <c r="B5" s="34">
        <v>36205</v>
      </c>
      <c r="C5" s="11" t="s">
        <v>116</v>
      </c>
    </row>
    <row r="6" spans="1:18" x14ac:dyDescent="0.2">
      <c r="A6" s="3" t="s">
        <v>6</v>
      </c>
      <c r="B6" s="34">
        <v>46.5</v>
      </c>
      <c r="C6" s="11" t="s">
        <v>117</v>
      </c>
    </row>
    <row r="7" spans="1:18" ht="25.5" x14ac:dyDescent="0.2">
      <c r="A7" s="4" t="s">
        <v>7</v>
      </c>
      <c r="B7" s="34">
        <f>B13</f>
        <v>160378.62606445097</v>
      </c>
      <c r="C7" s="11" t="s">
        <v>118</v>
      </c>
    </row>
    <row r="8" spans="1:18" ht="26.25" x14ac:dyDescent="0.25">
      <c r="A8" s="4" t="s">
        <v>123</v>
      </c>
      <c r="B8" s="36">
        <f>+B7*3.6</f>
        <v>577363.05383202352</v>
      </c>
      <c r="C8" s="1"/>
      <c r="F8" s="57" t="s">
        <v>124</v>
      </c>
      <c r="G8" s="57"/>
      <c r="H8" s="57"/>
      <c r="I8" s="57"/>
      <c r="J8" s="57"/>
      <c r="K8" s="57"/>
      <c r="L8" s="57"/>
      <c r="P8" s="25"/>
      <c r="R8" s="6" t="s">
        <v>130</v>
      </c>
    </row>
    <row r="9" spans="1:18" ht="35.25" customHeight="1" x14ac:dyDescent="0.25">
      <c r="B9" s="46"/>
      <c r="K9" s="2" t="s">
        <v>27</v>
      </c>
      <c r="P9" s="7">
        <f>SUM(Tabla22[Consumo energía '[MJ/año']])</f>
        <v>435421520.78702158</v>
      </c>
      <c r="Q9" s="7"/>
      <c r="R9" s="102">
        <f>+SUM(Tabla22[Consumo energía corregida '[MJ/año']])</f>
        <v>428555975.02460092</v>
      </c>
    </row>
    <row r="10" spans="1:18" s="28" customFormat="1" ht="51" x14ac:dyDescent="0.2">
      <c r="A10" s="19" t="s">
        <v>122</v>
      </c>
      <c r="B10" s="41">
        <v>1174995</v>
      </c>
      <c r="F10" s="29" t="s">
        <v>8</v>
      </c>
      <c r="G10" s="30" t="s">
        <v>9</v>
      </c>
      <c r="H10" s="30" t="s">
        <v>114</v>
      </c>
      <c r="I10" s="30" t="s">
        <v>10</v>
      </c>
      <c r="J10" s="30" t="s">
        <v>16</v>
      </c>
      <c r="K10" s="31" t="s">
        <v>17</v>
      </c>
      <c r="L10" s="30" t="s">
        <v>18</v>
      </c>
      <c r="M10" s="30" t="s">
        <v>24</v>
      </c>
      <c r="N10" s="30" t="s">
        <v>25</v>
      </c>
      <c r="O10" s="30" t="s">
        <v>26</v>
      </c>
      <c r="P10" s="78" t="s">
        <v>128</v>
      </c>
      <c r="Q10" s="78" t="s">
        <v>1</v>
      </c>
      <c r="R10" s="78" t="s">
        <v>129</v>
      </c>
    </row>
    <row r="11" spans="1:18" x14ac:dyDescent="0.2">
      <c r="F11" s="32" t="s">
        <v>45</v>
      </c>
      <c r="G11" s="33" t="s">
        <v>11</v>
      </c>
      <c r="H11" s="33" t="s">
        <v>115</v>
      </c>
      <c r="I11" s="33" t="s">
        <v>3</v>
      </c>
      <c r="J11" s="33" t="s">
        <v>46</v>
      </c>
      <c r="K11" s="33" t="s">
        <v>20</v>
      </c>
      <c r="L11" s="34">
        <v>13.157342659999999</v>
      </c>
      <c r="M11" s="35" t="str">
        <f>IFERROR(RIGHT(Tabla22[[#This Row],[Unidades indicador producción]], LEN(Tabla22[[#This Row],[Unidades indicador producción]])-FIND("/", Tabla22[[#This Row],[Unidades indicador producción]])), "")</f>
        <v>Ha</v>
      </c>
      <c r="N11" s="36">
        <f>IF(Tabla22[[#This Row],[Parámetro]]="Tn",Tabla22[[#This Row],[Indicador]]*$B$6,Tabla22[[#This Row],[Indicador]])</f>
        <v>13.157342659999999</v>
      </c>
      <c r="O11" s="35" t="str">
        <f t="shared" ref="O11" si="0">"MJ/Ha"</f>
        <v>MJ/Ha</v>
      </c>
      <c r="P11" s="36">
        <f>(Tabla22[[#This Row],[Indicador área]]*$B$5)</f>
        <v>476361.5910053</v>
      </c>
      <c r="Q11" s="101">
        <f>+Tabla22[[#This Row],[Consumo energía '[MJ/año']]]/$P$9</f>
        <v>1.0940239934495648E-3</v>
      </c>
      <c r="R11" s="36">
        <f>IF(Tabla22[[#This Row],[Energético]]="Energía Eléctrica",((Tabla22[[#This Row],[Participación]]*$D$29)/SUMIF(Tabla22[Energético],"Energía Eléctrica",Tabla22[Participación]))*$B$32,Tabla22[[#This Row],[Consumo energía '[MJ/año']]])</f>
        <v>476361.5910053</v>
      </c>
    </row>
    <row r="12" spans="1:18" ht="25.5" x14ac:dyDescent="0.2">
      <c r="A12" s="60" t="s">
        <v>120</v>
      </c>
      <c r="B12" s="20">
        <v>689752</v>
      </c>
      <c r="F12" s="32" t="s">
        <v>45</v>
      </c>
      <c r="G12" s="33" t="s">
        <v>11</v>
      </c>
      <c r="H12" s="33" t="s">
        <v>115</v>
      </c>
      <c r="I12" s="33" t="s">
        <v>4</v>
      </c>
      <c r="J12" s="33" t="s">
        <v>47</v>
      </c>
      <c r="K12" s="33" t="s">
        <v>20</v>
      </c>
      <c r="L12" s="34">
        <v>1908.2621079999999</v>
      </c>
      <c r="M12" s="38" t="str">
        <f>IFERROR(RIGHT(Tabla22[[#This Row],[Unidades indicador producción]], LEN(Tabla22[[#This Row],[Unidades indicador producción]])-FIND("/", Tabla22[[#This Row],[Unidades indicador producción]])), "")</f>
        <v>Ha</v>
      </c>
      <c r="N12" s="39">
        <f>IF(Tabla22[[#This Row],[Parámetro]]="Tn",Tabla22[[#This Row],[Indicador]]*$B$6,Tabla22[[#This Row],[Indicador]])</f>
        <v>1908.2621079999999</v>
      </c>
      <c r="O12" s="38" t="str">
        <f t="shared" ref="O12:O30" si="1">"MJ/Ha"</f>
        <v>MJ/Ha</v>
      </c>
      <c r="P12" s="36">
        <f>(Tabla22[[#This Row],[Indicador área]]*$B$5)</f>
        <v>69088629.620140001</v>
      </c>
      <c r="Q12" s="101">
        <f>+Tabla22[[#This Row],[Consumo energía '[MJ/año']]]/$P$9</f>
        <v>0.15867068190672512</v>
      </c>
      <c r="R12" s="36">
        <f>IF(Tabla22[[#This Row],[Energético]]="Energía Eléctrica",((Tabla22[[#This Row],[Participación]]*$D$29)/SUMIF(Tabla22[Energético],"Energía Eléctrica",Tabla22[Participación]))*$B$32,Tabla22[[#This Row],[Consumo energía '[MJ/año']]])</f>
        <v>69088629.620140001</v>
      </c>
    </row>
    <row r="13" spans="1:18" ht="25.5" x14ac:dyDescent="0.2">
      <c r="A13" s="61" t="s">
        <v>121</v>
      </c>
      <c r="B13" s="20">
        <f>B12*Participación!J17</f>
        <v>160378.62606445097</v>
      </c>
      <c r="F13" s="32" t="s">
        <v>45</v>
      </c>
      <c r="G13" s="33" t="s">
        <v>12</v>
      </c>
      <c r="H13" s="33" t="s">
        <v>115</v>
      </c>
      <c r="I13" s="33" t="s">
        <v>3</v>
      </c>
      <c r="J13" s="33" t="s">
        <v>19</v>
      </c>
      <c r="K13" s="33" t="s">
        <v>20</v>
      </c>
      <c r="L13" s="34">
        <v>113.0709135</v>
      </c>
      <c r="M13" s="38" t="str">
        <f>IFERROR(RIGHT(Tabla22[[#This Row],[Unidades indicador producción]], LEN(Tabla22[[#This Row],[Unidades indicador producción]])-FIND("/", Tabla22[[#This Row],[Unidades indicador producción]])), "")</f>
        <v>Ha</v>
      </c>
      <c r="N13" s="39">
        <f>IF(Tabla22[[#This Row],[Parámetro]]="Tn",Tabla22[[#This Row],[Indicador]]*$B$6,Tabla22[[#This Row],[Indicador]])</f>
        <v>113.0709135</v>
      </c>
      <c r="O13" s="38" t="str">
        <f t="shared" si="1"/>
        <v>MJ/Ha</v>
      </c>
      <c r="P13" s="36">
        <f>(Tabla22[[#This Row],[Indicador área]]*$B$5)</f>
        <v>4093732.4232675</v>
      </c>
      <c r="Q13" s="101">
        <f>+Tabla22[[#This Row],[Consumo energía '[MJ/año']]]/$P$9</f>
        <v>9.4017686950064044E-3</v>
      </c>
      <c r="R13" s="36">
        <f>IF(Tabla22[[#This Row],[Energético]]="Energía Eléctrica",((Tabla22[[#This Row],[Participación]]*$D$29)/SUMIF(Tabla22[Energético],"Energía Eléctrica",Tabla22[Participación]))*$B$32,Tabla22[[#This Row],[Consumo energía '[MJ/año']]])</f>
        <v>4093732.4232675</v>
      </c>
    </row>
    <row r="14" spans="1:18" x14ac:dyDescent="0.2">
      <c r="A14" s="62"/>
      <c r="F14" s="32" t="s">
        <v>45</v>
      </c>
      <c r="G14" s="33" t="s">
        <v>12</v>
      </c>
      <c r="H14" s="33" t="s">
        <v>115</v>
      </c>
      <c r="I14" s="33" t="s">
        <v>2</v>
      </c>
      <c r="J14" s="33" t="s">
        <v>19</v>
      </c>
      <c r="K14" s="33" t="s">
        <v>20</v>
      </c>
      <c r="L14" s="34">
        <v>108</v>
      </c>
      <c r="M14" s="38" t="str">
        <f>IFERROR(RIGHT(Tabla22[[#This Row],[Unidades indicador producción]], LEN(Tabla22[[#This Row],[Unidades indicador producción]])-FIND("/", Tabla22[[#This Row],[Unidades indicador producción]])), "")</f>
        <v>Ha</v>
      </c>
      <c r="N14" s="39">
        <f>IF(Tabla22[[#This Row],[Parámetro]]="Tn",Tabla22[[#This Row],[Indicador]]*$B$6,Tabla22[[#This Row],[Indicador]])</f>
        <v>108</v>
      </c>
      <c r="O14" s="38" t="str">
        <f t="shared" si="1"/>
        <v>MJ/Ha</v>
      </c>
      <c r="P14" s="36">
        <f>(Tabla22[[#This Row],[Indicador área]]*$B$5)</f>
        <v>3910140</v>
      </c>
      <c r="Q14" s="101">
        <f>+Tabla22[[#This Row],[Consumo energía '[MJ/año']]]/$P$9</f>
        <v>8.9801257249123734E-3</v>
      </c>
      <c r="R14" s="36">
        <f>IF(Tabla22[[#This Row],[Energético]]="Energía Eléctrica",((Tabla22[[#This Row],[Participación]]*$D$29)/SUMIF(Tabla22[Energético],"Energía Eléctrica",Tabla22[Participación]))*$B$32,Tabla22[[#This Row],[Consumo energía '[MJ/año']]])</f>
        <v>303318.28953500307</v>
      </c>
    </row>
    <row r="15" spans="1:18" x14ac:dyDescent="0.2">
      <c r="A15" s="62"/>
      <c r="F15" s="32" t="s">
        <v>45</v>
      </c>
      <c r="G15" s="33" t="s">
        <v>12</v>
      </c>
      <c r="H15" s="33" t="s">
        <v>115</v>
      </c>
      <c r="I15" s="33" t="s">
        <v>4</v>
      </c>
      <c r="J15" s="33" t="s">
        <v>19</v>
      </c>
      <c r="K15" s="33" t="s">
        <v>20</v>
      </c>
      <c r="L15" s="34">
        <v>193.21153849999999</v>
      </c>
      <c r="M15" s="38" t="str">
        <f>IFERROR(RIGHT(Tabla22[[#This Row],[Unidades indicador producción]], LEN(Tabla22[[#This Row],[Unidades indicador producción]])-FIND("/", Tabla22[[#This Row],[Unidades indicador producción]])), "")</f>
        <v>Ha</v>
      </c>
      <c r="N15" s="39">
        <f>IF(Tabla22[[#This Row],[Parámetro]]="Tn",Tabla22[[#This Row],[Indicador]]*$B$6,Tabla22[[#This Row],[Indicador]])</f>
        <v>193.21153849999999</v>
      </c>
      <c r="O15" s="38" t="str">
        <f t="shared" si="1"/>
        <v>MJ/Ha</v>
      </c>
      <c r="P15" s="36">
        <f>(Tabla22[[#This Row],[Indicador área]]*$B$5)</f>
        <v>6995223.7513924995</v>
      </c>
      <c r="Q15" s="101">
        <f>+Tabla22[[#This Row],[Consumo energía '[MJ/año']]]/$P$9</f>
        <v>1.6065406548460621E-2</v>
      </c>
      <c r="R15" s="36">
        <f>IF(Tabla22[[#This Row],[Energético]]="Energía Eléctrica",((Tabla22[[#This Row],[Participación]]*$D$29)/SUMIF(Tabla22[Energético],"Energía Eléctrica",Tabla22[Participación]))*$B$32,Tabla22[[#This Row],[Consumo energía '[MJ/año']]])</f>
        <v>6995223.7513924995</v>
      </c>
    </row>
    <row r="16" spans="1:18" x14ac:dyDescent="0.2">
      <c r="F16" s="32" t="s">
        <v>45</v>
      </c>
      <c r="G16" s="33" t="s">
        <v>13</v>
      </c>
      <c r="H16" s="33" t="s">
        <v>115</v>
      </c>
      <c r="I16" s="33" t="s">
        <v>3</v>
      </c>
      <c r="J16" s="33" t="s">
        <v>21</v>
      </c>
      <c r="K16" s="33" t="s">
        <v>20</v>
      </c>
      <c r="L16" s="34">
        <v>64.004989800000004</v>
      </c>
      <c r="M16" s="38" t="str">
        <f>IFERROR(RIGHT(Tabla22[[#This Row],[Unidades indicador producción]], LEN(Tabla22[[#This Row],[Unidades indicador producción]])-FIND("/", Tabla22[[#This Row],[Unidades indicador producción]])), "")</f>
        <v>Ha</v>
      </c>
      <c r="N16" s="39">
        <f>IF(Tabla22[[#This Row],[Parámetro]]="Tn",Tabla22[[#This Row],[Indicador]]*$B$6,Tabla22[[#This Row],[Indicador]])</f>
        <v>64.004989800000004</v>
      </c>
      <c r="O16" s="38" t="str">
        <f t="shared" si="1"/>
        <v>MJ/Ha</v>
      </c>
      <c r="P16" s="36">
        <f>(Tabla22[[#This Row],[Indicador área]]*$B$5)</f>
        <v>2317300.6557090003</v>
      </c>
      <c r="Q16" s="101">
        <f>+Tabla22[[#This Row],[Consumo energía '[MJ/año']]]/$P$9</f>
        <v>5.3219708835716122E-3</v>
      </c>
      <c r="R16" s="36">
        <f>IF(Tabla22[[#This Row],[Energético]]="Energía Eléctrica",((Tabla22[[#This Row],[Participación]]*$D$29)/SUMIF(Tabla22[Energético],"Energía Eléctrica",Tabla22[Participación]))*$B$32,Tabla22[[#This Row],[Consumo energía '[MJ/año']]])</f>
        <v>2317300.6557090003</v>
      </c>
    </row>
    <row r="17" spans="1:18" x14ac:dyDescent="0.2">
      <c r="F17" s="32" t="s">
        <v>45</v>
      </c>
      <c r="G17" s="33" t="s">
        <v>13</v>
      </c>
      <c r="H17" s="33" t="s">
        <v>115</v>
      </c>
      <c r="I17" s="33" t="s">
        <v>3</v>
      </c>
      <c r="J17" s="33" t="s">
        <v>48</v>
      </c>
      <c r="K17" s="33" t="s">
        <v>20</v>
      </c>
      <c r="L17" s="34">
        <v>52.629370629999997</v>
      </c>
      <c r="M17" s="38" t="str">
        <f>IFERROR(RIGHT(Tabla22[[#This Row],[Unidades indicador producción]], LEN(Tabla22[[#This Row],[Unidades indicador producción]])-FIND("/", Tabla22[[#This Row],[Unidades indicador producción]])), "")</f>
        <v>Ha</v>
      </c>
      <c r="N17" s="39">
        <f>IF(Tabla22[[#This Row],[Parámetro]]="Tn",Tabla22[[#This Row],[Indicador]]*$B$6,Tabla22[[#This Row],[Indicador]])</f>
        <v>52.629370629999997</v>
      </c>
      <c r="O17" s="38" t="str">
        <f t="shared" si="1"/>
        <v>MJ/Ha</v>
      </c>
      <c r="P17" s="36">
        <f>(Tabla22[[#This Row],[Indicador área]]*$B$5)</f>
        <v>1905446.36365915</v>
      </c>
      <c r="Q17" s="101">
        <f>+Tabla22[[#This Row],[Consumo energía '[MJ/año']]]/$P$9</f>
        <v>4.3760959729667653E-3</v>
      </c>
      <c r="R17" s="36">
        <f>IF(Tabla22[[#This Row],[Energético]]="Energía Eléctrica",((Tabla22[[#This Row],[Participación]]*$D$29)/SUMIF(Tabla22[Energético],"Energía Eléctrica",Tabla22[Participación]))*$B$32,Tabla22[[#This Row],[Consumo energía '[MJ/año']]])</f>
        <v>1905446.36365915</v>
      </c>
    </row>
    <row r="18" spans="1:18" x14ac:dyDescent="0.2">
      <c r="F18" s="32" t="s">
        <v>45</v>
      </c>
      <c r="G18" s="33" t="s">
        <v>13</v>
      </c>
      <c r="H18" s="33" t="s">
        <v>115</v>
      </c>
      <c r="I18" s="33" t="s">
        <v>4</v>
      </c>
      <c r="J18" s="33" t="s">
        <v>21</v>
      </c>
      <c r="K18" s="33" t="s">
        <v>20</v>
      </c>
      <c r="L18" s="34">
        <v>293.71778920000003</v>
      </c>
      <c r="M18" s="38" t="str">
        <f>IFERROR(RIGHT(Tabla22[[#This Row],[Unidades indicador producción]], LEN(Tabla22[[#This Row],[Unidades indicador producción]])-FIND("/", Tabla22[[#This Row],[Unidades indicador producción]])), "")</f>
        <v>Ha</v>
      </c>
      <c r="N18" s="39">
        <f>IF(Tabla22[[#This Row],[Parámetro]]="Tn",Tabla22[[#This Row],[Indicador]]*$B$6,Tabla22[[#This Row],[Indicador]])</f>
        <v>293.71778920000003</v>
      </c>
      <c r="O18" s="38" t="str">
        <f t="shared" si="1"/>
        <v>MJ/Ha</v>
      </c>
      <c r="P18" s="36">
        <f>(Tabla22[[#This Row],[Indicador área]]*$B$5)</f>
        <v>10634052.557986001</v>
      </c>
      <c r="Q18" s="101">
        <f>+Tabla22[[#This Row],[Consumo energía '[MJ/año']]]/$P$9</f>
        <v>2.4422432172771385E-2</v>
      </c>
      <c r="R18" s="36">
        <f>IF(Tabla22[[#This Row],[Energético]]="Energía Eléctrica",((Tabla22[[#This Row],[Participación]]*$D$29)/SUMIF(Tabla22[Energético],"Energía Eléctrica",Tabla22[Participación]))*$B$32,Tabla22[[#This Row],[Consumo energía '[MJ/año']]])</f>
        <v>10634052.557986001</v>
      </c>
    </row>
    <row r="19" spans="1:18" x14ac:dyDescent="0.2">
      <c r="F19" s="32" t="s">
        <v>45</v>
      </c>
      <c r="G19" s="33" t="s">
        <v>49</v>
      </c>
      <c r="H19" s="33" t="s">
        <v>115</v>
      </c>
      <c r="I19" s="33" t="s">
        <v>4</v>
      </c>
      <c r="J19" s="33" t="s">
        <v>50</v>
      </c>
      <c r="K19" s="33" t="s">
        <v>20</v>
      </c>
      <c r="L19" s="34">
        <v>2125.346438</v>
      </c>
      <c r="M19" s="38" t="str">
        <f>IFERROR(RIGHT(Tabla22[[#This Row],[Unidades indicador producción]], LEN(Tabla22[[#This Row],[Unidades indicador producción]])-FIND("/", Tabla22[[#This Row],[Unidades indicador producción]])), "")</f>
        <v>Ha</v>
      </c>
      <c r="N19" s="39">
        <f>IF(Tabla22[[#This Row],[Parámetro]]="Tn",Tabla22[[#This Row],[Indicador]]*$B$6,Tabla22[[#This Row],[Indicador]])</f>
        <v>2125.346438</v>
      </c>
      <c r="O19" s="38" t="str">
        <f t="shared" si="1"/>
        <v>MJ/Ha</v>
      </c>
      <c r="P19" s="36">
        <f>(Tabla22[[#This Row],[Indicador área]]*$B$5)</f>
        <v>76948167.78779</v>
      </c>
      <c r="Q19" s="101">
        <f>+Tabla22[[#This Row],[Consumo energía '[MJ/año']]]/$P$9</f>
        <v>0.1767210946503211</v>
      </c>
      <c r="R19" s="36">
        <f>IF(Tabla22[[#This Row],[Energético]]="Energía Eléctrica",((Tabla22[[#This Row],[Participación]]*$D$29)/SUMIF(Tabla22[Energético],"Energía Eléctrica",Tabla22[Participación]))*$B$32,Tabla22[[#This Row],[Consumo energía '[MJ/año']]])</f>
        <v>76948167.78779</v>
      </c>
    </row>
    <row r="20" spans="1:18" x14ac:dyDescent="0.2">
      <c r="F20" s="32" t="s">
        <v>45</v>
      </c>
      <c r="G20" s="33" t="s">
        <v>51</v>
      </c>
      <c r="H20" s="33" t="s">
        <v>115</v>
      </c>
      <c r="I20" s="33" t="s">
        <v>3</v>
      </c>
      <c r="J20" s="33" t="s">
        <v>52</v>
      </c>
      <c r="K20" s="33" t="s">
        <v>20</v>
      </c>
      <c r="L20" s="34">
        <v>578.92307689999996</v>
      </c>
      <c r="M20" s="38" t="str">
        <f>IFERROR(RIGHT(Tabla22[[#This Row],[Unidades indicador producción]], LEN(Tabla22[[#This Row],[Unidades indicador producción]])-FIND("/", Tabla22[[#This Row],[Unidades indicador producción]])), "")</f>
        <v>Ha</v>
      </c>
      <c r="N20" s="39">
        <f>IF(Tabla22[[#This Row],[Parámetro]]="Tn",Tabla22[[#This Row],[Indicador]]*$B$6,Tabla22[[#This Row],[Indicador]])</f>
        <v>578.92307689999996</v>
      </c>
      <c r="O20" s="38" t="str">
        <f t="shared" si="1"/>
        <v>MJ/Ha</v>
      </c>
      <c r="P20" s="36">
        <f>(Tabla22[[#This Row],[Indicador área]]*$B$5)</f>
        <v>20959909.999164499</v>
      </c>
      <c r="Q20" s="101">
        <f>+Tabla22[[#This Row],[Consumo energía '[MJ/año']]]/$P$9</f>
        <v>4.8137055700139944E-2</v>
      </c>
      <c r="R20" s="36">
        <f>IF(Tabla22[[#This Row],[Energético]]="Energía Eléctrica",((Tabla22[[#This Row],[Participación]]*$D$29)/SUMIF(Tabla22[Energético],"Energía Eléctrica",Tabla22[Participación]))*$B$32,Tabla22[[#This Row],[Consumo energía '[MJ/año']]])</f>
        <v>20959909.999164499</v>
      </c>
    </row>
    <row r="21" spans="1:18" x14ac:dyDescent="0.2">
      <c r="F21" s="32" t="s">
        <v>45</v>
      </c>
      <c r="G21" s="33" t="s">
        <v>14</v>
      </c>
      <c r="H21" s="33" t="s">
        <v>115</v>
      </c>
      <c r="I21" s="33" t="s">
        <v>3</v>
      </c>
      <c r="J21" s="33" t="s">
        <v>52</v>
      </c>
      <c r="K21" s="33" t="s">
        <v>20</v>
      </c>
      <c r="L21" s="34">
        <v>845.43540780000001</v>
      </c>
      <c r="M21" s="38" t="str">
        <f>IFERROR(RIGHT(Tabla22[[#This Row],[Unidades indicador producción]], LEN(Tabla22[[#This Row],[Unidades indicador producción]])-FIND("/", Tabla22[[#This Row],[Unidades indicador producción]])), "")</f>
        <v>Ha</v>
      </c>
      <c r="N21" s="39">
        <f>IF(Tabla22[[#This Row],[Parámetro]]="Tn",Tabla22[[#This Row],[Indicador]]*$B$6,Tabla22[[#This Row],[Indicador]])</f>
        <v>845.43540780000001</v>
      </c>
      <c r="O21" s="38" t="str">
        <f t="shared" si="1"/>
        <v>MJ/Ha</v>
      </c>
      <c r="P21" s="36">
        <f>(Tabla22[[#This Row],[Indicador área]]*$B$5)</f>
        <v>30608988.939399</v>
      </c>
      <c r="Q21" s="101">
        <f>+Tabla22[[#This Row],[Consumo energía '[MJ/año']]]/$P$9</f>
        <v>7.029737272533855E-2</v>
      </c>
      <c r="R21" s="36">
        <f>IF(Tabla22[[#This Row],[Energético]]="Energía Eléctrica",((Tabla22[[#This Row],[Participación]]*$D$29)/SUMIF(Tabla22[Energético],"Energía Eléctrica",Tabla22[Participación]))*$B$32,Tabla22[[#This Row],[Consumo energía '[MJ/año']]])</f>
        <v>30608988.939399</v>
      </c>
    </row>
    <row r="22" spans="1:18" x14ac:dyDescent="0.2">
      <c r="F22" s="32" t="s">
        <v>45</v>
      </c>
      <c r="G22" s="33" t="s">
        <v>14</v>
      </c>
      <c r="H22" s="33" t="s">
        <v>115</v>
      </c>
      <c r="I22" s="33" t="s">
        <v>3</v>
      </c>
      <c r="J22" s="33" t="s">
        <v>22</v>
      </c>
      <c r="K22" s="33" t="s">
        <v>20</v>
      </c>
      <c r="L22" s="34">
        <v>539.45104900000001</v>
      </c>
      <c r="M22" s="38" t="str">
        <f>IFERROR(RIGHT(Tabla22[[#This Row],[Unidades indicador producción]], LEN(Tabla22[[#This Row],[Unidades indicador producción]])-FIND("/", Tabla22[[#This Row],[Unidades indicador producción]])), "")</f>
        <v>Ha</v>
      </c>
      <c r="N22" s="39">
        <f>IF(Tabla22[[#This Row],[Parámetro]]="Tn",Tabla22[[#This Row],[Indicador]]*$B$6,Tabla22[[#This Row],[Indicador]])</f>
        <v>539.45104900000001</v>
      </c>
      <c r="O22" s="38" t="str">
        <f t="shared" si="1"/>
        <v>MJ/Ha</v>
      </c>
      <c r="P22" s="36">
        <f>(Tabla22[[#This Row],[Indicador área]]*$B$5)</f>
        <v>19530825.229045</v>
      </c>
      <c r="Q22" s="101">
        <f>+Tabla22[[#This Row],[Consumo energía '[MJ/año']]]/$P$9</f>
        <v>4.4854983726443191E-2</v>
      </c>
      <c r="R22" s="36">
        <f>IF(Tabla22[[#This Row],[Energético]]="Energía Eléctrica",((Tabla22[[#This Row],[Participación]]*$D$29)/SUMIF(Tabla22[Energético],"Energía Eléctrica",Tabla22[Participación]))*$B$32,Tabla22[[#This Row],[Consumo energía '[MJ/año']]])</f>
        <v>19530825.229045</v>
      </c>
    </row>
    <row r="23" spans="1:18" x14ac:dyDescent="0.2">
      <c r="F23" s="32" t="s">
        <v>45</v>
      </c>
      <c r="G23" s="33" t="s">
        <v>14</v>
      </c>
      <c r="H23" s="33" t="s">
        <v>115</v>
      </c>
      <c r="I23" s="33" t="s">
        <v>3</v>
      </c>
      <c r="J23" s="33" t="s">
        <v>53</v>
      </c>
      <c r="K23" s="33" t="s">
        <v>20</v>
      </c>
      <c r="L23" s="34">
        <v>456.45857990000002</v>
      </c>
      <c r="M23" s="38" t="str">
        <f>IFERROR(RIGHT(Tabla22[[#This Row],[Unidades indicador producción]], LEN(Tabla22[[#This Row],[Unidades indicador producción]])-FIND("/", Tabla22[[#This Row],[Unidades indicador producción]])), "")</f>
        <v>Ha</v>
      </c>
      <c r="N23" s="39">
        <f>IF(Tabla22[[#This Row],[Parámetro]]="Tn",Tabla22[[#This Row],[Indicador]]*$B$6,Tabla22[[#This Row],[Indicador]])</f>
        <v>456.45857990000002</v>
      </c>
      <c r="O23" s="38" t="str">
        <f t="shared" si="1"/>
        <v>MJ/Ha</v>
      </c>
      <c r="P23" s="36">
        <f>(Tabla22[[#This Row],[Indicador área]]*$B$5)</f>
        <v>16526082.885279501</v>
      </c>
      <c r="Q23" s="101">
        <f>+Tabla22[[#This Row],[Consumo energía '[MJ/año']]]/$P$9</f>
        <v>3.7954216997379261E-2</v>
      </c>
      <c r="R23" s="36">
        <f>IF(Tabla22[[#This Row],[Energético]]="Energía Eléctrica",((Tabla22[[#This Row],[Participación]]*$D$29)/SUMIF(Tabla22[Energético],"Energía Eléctrica",Tabla22[Participación]))*$B$32,Tabla22[[#This Row],[Consumo energía '[MJ/año']]])</f>
        <v>16526082.885279501</v>
      </c>
    </row>
    <row r="24" spans="1:18" x14ac:dyDescent="0.2">
      <c r="F24" s="32" t="s">
        <v>45</v>
      </c>
      <c r="G24" s="33" t="s">
        <v>14</v>
      </c>
      <c r="H24" s="33" t="s">
        <v>115</v>
      </c>
      <c r="I24" s="33" t="s">
        <v>3</v>
      </c>
      <c r="J24" s="33" t="s">
        <v>54</v>
      </c>
      <c r="K24" s="33" t="s">
        <v>20</v>
      </c>
      <c r="L24" s="34">
        <v>379.9182692</v>
      </c>
      <c r="M24" s="38" t="str">
        <f>IFERROR(RIGHT(Tabla22[[#This Row],[Unidades indicador producción]], LEN(Tabla22[[#This Row],[Unidades indicador producción]])-FIND("/", Tabla22[[#This Row],[Unidades indicador producción]])), "")</f>
        <v>Ha</v>
      </c>
      <c r="N24" s="39">
        <f>IF(Tabla22[[#This Row],[Parámetro]]="Tn",Tabla22[[#This Row],[Indicador]]*$B$6,Tabla22[[#This Row],[Indicador]])</f>
        <v>379.9182692</v>
      </c>
      <c r="O24" s="38" t="str">
        <f t="shared" si="1"/>
        <v>MJ/Ha</v>
      </c>
      <c r="P24" s="36">
        <f>(Tabla22[[#This Row],[Indicador área]]*$B$5)</f>
        <v>13754940.936386</v>
      </c>
      <c r="Q24" s="101">
        <f>+Tabla22[[#This Row],[Consumo energía '[MJ/año']]]/$P$9</f>
        <v>3.1589942801917632E-2</v>
      </c>
      <c r="R24" s="36">
        <f>IF(Tabla22[[#This Row],[Energético]]="Energía Eléctrica",((Tabla22[[#This Row],[Participación]]*$D$29)/SUMIF(Tabla22[Energético],"Energía Eléctrica",Tabla22[Participación]))*$B$32,Tabla22[[#This Row],[Consumo energía '[MJ/año']]])</f>
        <v>13754940.936386</v>
      </c>
    </row>
    <row r="25" spans="1:18" x14ac:dyDescent="0.2">
      <c r="F25" s="32" t="s">
        <v>45</v>
      </c>
      <c r="G25" s="33" t="s">
        <v>14</v>
      </c>
      <c r="H25" s="33" t="s">
        <v>115</v>
      </c>
      <c r="I25" s="33" t="s">
        <v>3</v>
      </c>
      <c r="J25" s="33" t="s">
        <v>55</v>
      </c>
      <c r="K25" s="33" t="s">
        <v>20</v>
      </c>
      <c r="L25" s="34">
        <v>379.9182692</v>
      </c>
      <c r="M25" s="38" t="str">
        <f>IFERROR(RIGHT(Tabla22[[#This Row],[Unidades indicador producción]], LEN(Tabla22[[#This Row],[Unidades indicador producción]])-FIND("/", Tabla22[[#This Row],[Unidades indicador producción]])), "")</f>
        <v>Ha</v>
      </c>
      <c r="N25" s="39">
        <f>IF(Tabla22[[#This Row],[Parámetro]]="Tn",Tabla22[[#This Row],[Indicador]]*$B$6,Tabla22[[#This Row],[Indicador]])</f>
        <v>379.9182692</v>
      </c>
      <c r="O25" s="38" t="str">
        <f t="shared" si="1"/>
        <v>MJ/Ha</v>
      </c>
      <c r="P25" s="36">
        <f>(Tabla22[[#This Row],[Indicador área]]*$B$5)</f>
        <v>13754940.936386</v>
      </c>
      <c r="Q25" s="101">
        <f>+Tabla22[[#This Row],[Consumo energía '[MJ/año']]]/$P$9</f>
        <v>3.1589942801917632E-2</v>
      </c>
      <c r="R25" s="36">
        <f>IF(Tabla22[[#This Row],[Energético]]="Energía Eléctrica",((Tabla22[[#This Row],[Participación]]*$D$29)/SUMIF(Tabla22[Energético],"Energía Eléctrica",Tabla22[Participación]))*$B$32,Tabla22[[#This Row],[Consumo energía '[MJ/año']]])</f>
        <v>13754940.936386</v>
      </c>
    </row>
    <row r="26" spans="1:18" ht="15.75" x14ac:dyDescent="0.25">
      <c r="A26" s="57" t="s">
        <v>28</v>
      </c>
      <c r="B26" s="57"/>
      <c r="C26" s="57"/>
      <c r="D26" s="57"/>
      <c r="F26" s="32" t="s">
        <v>45</v>
      </c>
      <c r="G26" s="33" t="s">
        <v>14</v>
      </c>
      <c r="H26" s="33" t="s">
        <v>115</v>
      </c>
      <c r="I26" s="33" t="s">
        <v>4</v>
      </c>
      <c r="J26" s="33" t="s">
        <v>61</v>
      </c>
      <c r="K26" s="33" t="s">
        <v>20</v>
      </c>
      <c r="L26" s="34">
        <v>723.13090420000003</v>
      </c>
      <c r="M26" s="38" t="str">
        <f>IFERROR(RIGHT(Tabla22[[#This Row],[Unidades indicador producción]], LEN(Tabla22[[#This Row],[Unidades indicador producción]])-FIND("/", Tabla22[[#This Row],[Unidades indicador producción]])), "")</f>
        <v>Ha</v>
      </c>
      <c r="N26" s="39">
        <f>IF(Tabla22[[#This Row],[Parámetro]]="Tn",Tabla22[[#This Row],[Indicador]]*$B$6,Tabla22[[#This Row],[Indicador]])</f>
        <v>723.13090420000003</v>
      </c>
      <c r="O26" s="38" t="str">
        <f t="shared" si="1"/>
        <v>MJ/Ha</v>
      </c>
      <c r="P26" s="36">
        <f>(Tabla22[[#This Row],[Indicador área]]*$B$5)</f>
        <v>26180954.386561003</v>
      </c>
      <c r="Q26" s="101">
        <f>+Tabla22[[#This Row],[Consumo energía '[MJ/año']]]/$P$9</f>
        <v>6.0127837363755238E-2</v>
      </c>
      <c r="R26" s="36">
        <f>IF(Tabla22[[#This Row],[Energético]]="Energía Eléctrica",((Tabla22[[#This Row],[Participación]]*$D$29)/SUMIF(Tabla22[Energético],"Energía Eléctrica",Tabla22[Participación]))*$B$32,Tabla22[[#This Row],[Consumo energía '[MJ/año']]])</f>
        <v>26180954.386561003</v>
      </c>
    </row>
    <row r="27" spans="1:18" x14ac:dyDescent="0.2">
      <c r="F27" s="32" t="s">
        <v>45</v>
      </c>
      <c r="G27" s="33" t="s">
        <v>14</v>
      </c>
      <c r="H27" s="33" t="s">
        <v>115</v>
      </c>
      <c r="I27" s="33" t="s">
        <v>4</v>
      </c>
      <c r="J27" s="33" t="s">
        <v>47</v>
      </c>
      <c r="K27" s="33" t="s">
        <v>20</v>
      </c>
      <c r="L27" s="34">
        <v>2930.1866850000001</v>
      </c>
      <c r="M27" s="38" t="str">
        <f>IFERROR(RIGHT(Tabla22[[#This Row],[Unidades indicador producción]], LEN(Tabla22[[#This Row],[Unidades indicador producción]])-FIND("/", Tabla22[[#This Row],[Unidades indicador producción]])), "")</f>
        <v>Ha</v>
      </c>
      <c r="N27" s="39">
        <f>IF(Tabla22[[#This Row],[Parámetro]]="Tn",Tabla22[[#This Row],[Indicador]]*$B$6,Tabla22[[#This Row],[Indicador]])</f>
        <v>2930.1866850000001</v>
      </c>
      <c r="O27" s="38" t="str">
        <f t="shared" si="1"/>
        <v>MJ/Ha</v>
      </c>
      <c r="P27" s="36">
        <f>(Tabla22[[#This Row],[Indicador área]]*$B$5)</f>
        <v>106087408.930425</v>
      </c>
      <c r="Q27" s="101">
        <f>+Tabla22[[#This Row],[Consumo energía '[MJ/año']]]/$P$9</f>
        <v>0.24364300767374267</v>
      </c>
      <c r="R27" s="36">
        <f>IF(Tabla22[[#This Row],[Energético]]="Energía Eléctrica",((Tabla22[[#This Row],[Participación]]*$D$29)/SUMIF(Tabla22[Energético],"Energía Eléctrica",Tabla22[Participación]))*$B$32,Tabla22[[#This Row],[Consumo energía '[MJ/año']]])</f>
        <v>106087408.930425</v>
      </c>
    </row>
    <row r="28" spans="1:18" x14ac:dyDescent="0.2">
      <c r="A28" s="9" t="s">
        <v>0</v>
      </c>
      <c r="B28" s="9" t="s">
        <v>32</v>
      </c>
      <c r="C28" s="9" t="s">
        <v>33</v>
      </c>
      <c r="D28" s="9" t="s">
        <v>1</v>
      </c>
      <c r="F28" s="32" t="s">
        <v>45</v>
      </c>
      <c r="G28" s="33" t="s">
        <v>15</v>
      </c>
      <c r="H28" s="33" t="s">
        <v>115</v>
      </c>
      <c r="I28" s="33" t="s">
        <v>3</v>
      </c>
      <c r="J28" s="33" t="s">
        <v>23</v>
      </c>
      <c r="K28" s="33" t="s">
        <v>20</v>
      </c>
      <c r="L28" s="34">
        <v>111.08721319999999</v>
      </c>
      <c r="M28" s="38" t="str">
        <f>IFERROR(RIGHT(Tabla22[[#This Row],[Unidades indicador producción]], LEN(Tabla22[[#This Row],[Unidades indicador producción]])-FIND("/", Tabla22[[#This Row],[Unidades indicador producción]])), "")</f>
        <v>Ha</v>
      </c>
      <c r="N28" s="39">
        <f>IF(Tabla22[[#This Row],[Parámetro]]="Tn",Tabla22[[#This Row],[Indicador]]*$B$6,Tabla22[[#This Row],[Indicador]])</f>
        <v>111.08721319999999</v>
      </c>
      <c r="O28" s="38" t="str">
        <f t="shared" si="1"/>
        <v>MJ/Ha</v>
      </c>
      <c r="P28" s="36">
        <f>(Tabla22[[#This Row],[Indicador área]]*$B$5)</f>
        <v>4021912.5539059998</v>
      </c>
      <c r="Q28" s="101">
        <f>+Tabla22[[#This Row],[Consumo energía '[MJ/año']]]/$P$9</f>
        <v>9.2368253793161607E-3</v>
      </c>
      <c r="R28" s="36">
        <f>IF(Tabla22[[#This Row],[Energético]]="Energía Eléctrica",((Tabla22[[#This Row],[Participación]]*$D$29)/SUMIF(Tabla22[Energético],"Energía Eléctrica",Tabla22[Participación]))*$B$32,Tabla22[[#This Row],[Consumo energía '[MJ/año']]])</f>
        <v>4021912.5539059998</v>
      </c>
    </row>
    <row r="29" spans="1:18" x14ac:dyDescent="0.2">
      <c r="A29" s="40" t="s">
        <v>2</v>
      </c>
      <c r="B29" s="27">
        <f>+B8</f>
        <v>577363.05383202352</v>
      </c>
      <c r="C29" s="41">
        <f>B29/1000000</f>
        <v>0.57736305383202358</v>
      </c>
      <c r="D29" s="10">
        <f>B29/$B$32</f>
        <v>1.3472290376977717E-3</v>
      </c>
      <c r="F29" s="32" t="s">
        <v>45</v>
      </c>
      <c r="G29" s="33" t="s">
        <v>15</v>
      </c>
      <c r="H29" s="33" t="s">
        <v>115</v>
      </c>
      <c r="I29" s="33" t="s">
        <v>3</v>
      </c>
      <c r="J29" s="33" t="s">
        <v>56</v>
      </c>
      <c r="K29" s="33" t="s">
        <v>20</v>
      </c>
      <c r="L29" s="34">
        <v>113.0709135</v>
      </c>
      <c r="M29" s="38" t="str">
        <f>IFERROR(RIGHT(Tabla22[[#This Row],[Unidades indicador producción]], LEN(Tabla22[[#This Row],[Unidades indicador producción]])-FIND("/", Tabla22[[#This Row],[Unidades indicador producción]])), "")</f>
        <v>Ha</v>
      </c>
      <c r="N29" s="39">
        <f>IF(Tabla22[[#This Row],[Parámetro]]="Tn",Tabla22[[#This Row],[Indicador]]*$B$6,Tabla22[[#This Row],[Indicador]])</f>
        <v>113.0709135</v>
      </c>
      <c r="O29" s="38" t="str">
        <f t="shared" si="1"/>
        <v>MJ/Ha</v>
      </c>
      <c r="P29" s="36">
        <f>(Tabla22[[#This Row],[Indicador área]]*$B$5)</f>
        <v>4093732.4232675</v>
      </c>
      <c r="Q29" s="101">
        <f>+Tabla22[[#This Row],[Consumo energía '[MJ/año']]]/$P$9</f>
        <v>9.4017686950064044E-3</v>
      </c>
      <c r="R29" s="36">
        <f>IF(Tabla22[[#This Row],[Energético]]="Energía Eléctrica",((Tabla22[[#This Row],[Participación]]*$D$29)/SUMIF(Tabla22[Energético],"Energía Eléctrica",Tabla22[Participación]))*$B$32,Tabla22[[#This Row],[Consumo energía '[MJ/año']]])</f>
        <v>4093732.4232675</v>
      </c>
    </row>
    <row r="30" spans="1:18" x14ac:dyDescent="0.2">
      <c r="A30" s="40" t="s">
        <v>3</v>
      </c>
      <c r="B30" s="27">
        <f>SUMIF(Tabla22[Energético],A30,Tabla22[Consumo energía '[MJ/año']])</f>
        <v>132044174.93647446</v>
      </c>
      <c r="C30" s="41">
        <f t="shared" ref="C30:C31" si="2">B30/1000000</f>
        <v>132.04417493647446</v>
      </c>
      <c r="D30" s="10">
        <f>B30/$B$32</f>
        <v>0.30811418491807174</v>
      </c>
      <c r="F30" s="32" t="s">
        <v>45</v>
      </c>
      <c r="G30" s="33" t="s">
        <v>15</v>
      </c>
      <c r="H30" s="33" t="s">
        <v>115</v>
      </c>
      <c r="I30" s="33" t="s">
        <v>2</v>
      </c>
      <c r="J30" s="33" t="s">
        <v>23</v>
      </c>
      <c r="K30" s="33" t="s">
        <v>20</v>
      </c>
      <c r="L30" s="34">
        <v>97.576821330000001</v>
      </c>
      <c r="M30" s="38" t="str">
        <f>IFERROR(RIGHT(Tabla22[[#This Row],[Unidades indicador producción]], LEN(Tabla22[[#This Row],[Unidades indicador producción]])-FIND("/", Tabla22[[#This Row],[Unidades indicador producción]])), "")</f>
        <v>Ha</v>
      </c>
      <c r="N30" s="39">
        <f>IF(Tabla22[[#This Row],[Parámetro]]="Tn",Tabla22[[#This Row],[Indicador]]*$B$6,Tabla22[[#This Row],[Indicador]])</f>
        <v>97.576821330000001</v>
      </c>
      <c r="O30" s="38" t="str">
        <f t="shared" si="1"/>
        <v>MJ/Ha</v>
      </c>
      <c r="P30" s="36">
        <f>(Tabla22[[#This Row],[Indicador área]]*$B$5)</f>
        <v>3532768.8162526502</v>
      </c>
      <c r="Q30" s="101">
        <f>+Tabla22[[#This Row],[Consumo energía '[MJ/año']]]/$P$9</f>
        <v>8.113445586858439E-3</v>
      </c>
      <c r="R30" s="36">
        <f>IF(Tabla22[[#This Row],[Energético]]="Energía Eléctrica",((Tabla22[[#This Row],[Participación]]*$D$29)/SUMIF(Tabla22[Energético],"Energía Eléctrica",Tabla22[Participación]))*$B$32,Tabla22[[#This Row],[Consumo energía '[MJ/año']]])</f>
        <v>274044.76429702045</v>
      </c>
    </row>
    <row r="31" spans="1:18" x14ac:dyDescent="0.2">
      <c r="A31" s="40" t="s">
        <v>4</v>
      </c>
      <c r="B31" s="27">
        <f>SUMIF(Tabla22[Energético],A31,Tabla22[Consumo energía '[MJ/año']])</f>
        <v>295934437.03429455</v>
      </c>
      <c r="C31" s="41">
        <f t="shared" si="2"/>
        <v>295.93443703429455</v>
      </c>
      <c r="D31" s="10">
        <f>B31/$B$32</f>
        <v>0.69053858604423046</v>
      </c>
    </row>
    <row r="32" spans="1:18" x14ac:dyDescent="0.2">
      <c r="A32" s="65" t="s">
        <v>107</v>
      </c>
      <c r="B32" s="66">
        <f>SUM(B29:B31)</f>
        <v>428555975.02460104</v>
      </c>
      <c r="C32" s="66">
        <f>SUM(C29:C31)</f>
        <v>428.55597502460103</v>
      </c>
      <c r="D32" s="67">
        <f>SUM(D29:D31)</f>
        <v>1</v>
      </c>
    </row>
    <row r="35" spans="1:3" ht="18" x14ac:dyDescent="0.25">
      <c r="A35" s="58" t="s">
        <v>35</v>
      </c>
      <c r="B35" s="58"/>
      <c r="C35" s="58"/>
    </row>
    <row r="36" spans="1:3" x14ac:dyDescent="0.2">
      <c r="A36" s="5" t="str">
        <f>+A4</f>
        <v>Grupo Homogeneo</v>
      </c>
      <c r="B36" s="5" t="s">
        <v>29</v>
      </c>
      <c r="C36" s="5" t="s">
        <v>30</v>
      </c>
    </row>
    <row r="37" spans="1:3" x14ac:dyDescent="0.2">
      <c r="A37" s="42" t="str">
        <f>+$B$4</f>
        <v>Piña</v>
      </c>
      <c r="B37" s="41">
        <f>B32/B5</f>
        <v>11836.927911189092</v>
      </c>
      <c r="C37" s="41">
        <f>B37/$B$6</f>
        <v>254.55758948793746</v>
      </c>
    </row>
    <row r="40" spans="1:3" x14ac:dyDescent="0.2">
      <c r="B40" s="23"/>
      <c r="C40" s="23"/>
    </row>
  </sheetData>
  <mergeCells count="4">
    <mergeCell ref="A3:B3"/>
    <mergeCell ref="F8:L8"/>
    <mergeCell ref="A26:D26"/>
    <mergeCell ref="A35:C35"/>
  </mergeCells>
  <phoneticPr fontId="15" type="noConversion"/>
  <pageMargins left="0.7" right="0.7" top="0.75" bottom="0.75" header="0.3" footer="0.3"/>
  <pageSetup paperSize="9"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998DDB8-A0A8-4547-B61C-B213BB822D8F}">
          <x14:formula1>
            <xm:f>Participación!$A$1:$A$11</xm:f>
          </x14:formula1>
          <xm:sqref>A29:A31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15E398-9410-43AD-8775-D36F747AA1D1}">
  <dimension ref="A1:R38"/>
  <sheetViews>
    <sheetView showGridLines="0" topLeftCell="A3" workbookViewId="0">
      <selection activeCell="A26" sqref="A26:D26"/>
    </sheetView>
  </sheetViews>
  <sheetFormatPr baseColWidth="10" defaultRowHeight="12.75" x14ac:dyDescent="0.2"/>
  <cols>
    <col min="1" max="1" width="28.28515625" style="26" customWidth="1"/>
    <col min="2" max="4" width="16.42578125" style="26" customWidth="1"/>
    <col min="5" max="5" width="11.42578125" style="26"/>
    <col min="6" max="6" width="22.85546875" style="26" bestFit="1" customWidth="1"/>
    <col min="7" max="8" width="24.5703125" style="26" customWidth="1"/>
    <col min="9" max="9" width="26.5703125" style="26" customWidth="1"/>
    <col min="10" max="10" width="17.7109375" style="26" bestFit="1" customWidth="1"/>
    <col min="11" max="11" width="19.7109375" style="26" customWidth="1"/>
    <col min="12" max="12" width="11.7109375" style="26" customWidth="1"/>
    <col min="13" max="13" width="11.42578125" style="26"/>
    <col min="14" max="14" width="15" style="26" customWidth="1"/>
    <col min="15" max="15" width="11.42578125" style="26"/>
    <col min="16" max="16" width="24.5703125" style="26" customWidth="1"/>
    <col min="17" max="17" width="15.5703125" style="26" customWidth="1"/>
    <col min="18" max="18" width="21.5703125" style="26" customWidth="1"/>
    <col min="19" max="16384" width="11.42578125" style="26"/>
  </cols>
  <sheetData>
    <row r="1" spans="1:18" ht="18" x14ac:dyDescent="0.25">
      <c r="A1" s="8"/>
    </row>
    <row r="3" spans="1:18" ht="20.25" x14ac:dyDescent="0.2">
      <c r="A3" s="104" t="s">
        <v>119</v>
      </c>
      <c r="B3" s="105"/>
    </row>
    <row r="4" spans="1:18" x14ac:dyDescent="0.2">
      <c r="A4" s="3" t="s">
        <v>31</v>
      </c>
      <c r="B4" s="33" t="s">
        <v>43</v>
      </c>
    </row>
    <row r="5" spans="1:18" x14ac:dyDescent="0.2">
      <c r="A5" s="3" t="s">
        <v>5</v>
      </c>
      <c r="B5" s="34">
        <v>19853</v>
      </c>
      <c r="C5" s="11" t="s">
        <v>116</v>
      </c>
    </row>
    <row r="6" spans="1:18" x14ac:dyDescent="0.2">
      <c r="A6" s="3" t="s">
        <v>6</v>
      </c>
      <c r="B6" s="34">
        <v>13.3</v>
      </c>
      <c r="C6" s="11" t="s">
        <v>117</v>
      </c>
    </row>
    <row r="7" spans="1:18" ht="25.5" x14ac:dyDescent="0.2">
      <c r="A7" s="4" t="s">
        <v>7</v>
      </c>
      <c r="B7" s="34">
        <f>B13</f>
        <v>87943.567553032612</v>
      </c>
      <c r="C7" s="11" t="s">
        <v>118</v>
      </c>
    </row>
    <row r="8" spans="1:18" ht="26.25" x14ac:dyDescent="0.25">
      <c r="A8" s="4" t="s">
        <v>123</v>
      </c>
      <c r="B8" s="36">
        <f>+B7*3.6</f>
        <v>316596.8431909174</v>
      </c>
      <c r="C8" s="1"/>
      <c r="F8" s="57" t="s">
        <v>124</v>
      </c>
      <c r="G8" s="57"/>
      <c r="H8" s="57"/>
      <c r="I8" s="57"/>
      <c r="J8" s="57"/>
      <c r="K8" s="57"/>
      <c r="L8" s="57"/>
      <c r="P8" s="25"/>
      <c r="R8" s="6" t="s">
        <v>34</v>
      </c>
    </row>
    <row r="9" spans="1:18" ht="35.25" customHeight="1" x14ac:dyDescent="0.25">
      <c r="B9" s="46"/>
      <c r="K9" s="2" t="s">
        <v>27</v>
      </c>
      <c r="P9" s="7">
        <f>SUM(Tabla226[Consumo energía '[MJ/año']])</f>
        <v>238763249.61151057</v>
      </c>
      <c r="Q9" s="7"/>
      <c r="R9" s="102">
        <f>SUM(Tabla226[Consumo energía corregida '[MJ/año']])</f>
        <v>234998529.82083696</v>
      </c>
    </row>
    <row r="10" spans="1:18" s="28" customFormat="1" ht="25.5" x14ac:dyDescent="0.2">
      <c r="A10" s="19" t="s">
        <v>122</v>
      </c>
      <c r="B10" s="47">
        <v>220920</v>
      </c>
      <c r="F10" s="29" t="s">
        <v>8</v>
      </c>
      <c r="G10" s="30" t="s">
        <v>9</v>
      </c>
      <c r="H10" s="30" t="s">
        <v>114</v>
      </c>
      <c r="I10" s="30" t="s">
        <v>10</v>
      </c>
      <c r="J10" s="30" t="s">
        <v>16</v>
      </c>
      <c r="K10" s="31" t="s">
        <v>17</v>
      </c>
      <c r="L10" s="30" t="s">
        <v>18</v>
      </c>
      <c r="M10" s="30" t="s">
        <v>24</v>
      </c>
      <c r="N10" s="30" t="s">
        <v>25</v>
      </c>
      <c r="O10" s="30" t="s">
        <v>26</v>
      </c>
      <c r="P10" s="78" t="s">
        <v>128</v>
      </c>
      <c r="Q10" s="78" t="s">
        <v>1</v>
      </c>
      <c r="R10" s="78" t="s">
        <v>129</v>
      </c>
    </row>
    <row r="11" spans="1:18" x14ac:dyDescent="0.2">
      <c r="F11" s="32" t="s">
        <v>45</v>
      </c>
      <c r="G11" s="33" t="s">
        <v>11</v>
      </c>
      <c r="H11" s="33" t="s">
        <v>115</v>
      </c>
      <c r="I11" s="33" t="s">
        <v>3</v>
      </c>
      <c r="J11" s="33" t="s">
        <v>46</v>
      </c>
      <c r="K11" s="33" t="s">
        <v>20</v>
      </c>
      <c r="L11" s="34">
        <v>13.157342659999999</v>
      </c>
      <c r="M11" s="35" t="str">
        <f>IFERROR(RIGHT(Tabla226[[#This Row],[Unidades indicador producción]], LEN(Tabla226[[#This Row],[Unidades indicador producción]])-FIND("/", Tabla226[[#This Row],[Unidades indicador producción]])), "")</f>
        <v>Ha</v>
      </c>
      <c r="N11" s="36">
        <f>IF(Tabla226[[#This Row],[Parámetro]]="Tn",Tabla226[[#This Row],[Indicador]]*$B$6,Tabla226[[#This Row],[Indicador]])</f>
        <v>13.157342659999999</v>
      </c>
      <c r="O11" s="35" t="str">
        <f t="shared" ref="O11" si="0">"MJ/Ha"</f>
        <v>MJ/Ha</v>
      </c>
      <c r="P11" s="36">
        <f>(Tabla226[[#This Row],[Indicador área]]*$B$5)</f>
        <v>261212.72382898</v>
      </c>
      <c r="Q11" s="101">
        <f>+Tabla226[[#This Row],[Consumo energía '[MJ/año']]]/$P$9</f>
        <v>1.0940239934495645E-3</v>
      </c>
      <c r="R11" s="36">
        <f>IF(Tabla226[[#This Row],[Energético]]="Energía Eléctrica",((Tabla226[[#This Row],[Participación]]*$D$29)/SUMIF(Tabla226[Energético],"Energía Eléctrica",Tabla226[Participación]))*$B$32,Tabla226[[#This Row],[Consumo energía '[MJ/año']]])</f>
        <v>261212.72382898</v>
      </c>
    </row>
    <row r="12" spans="1:18" ht="25.5" x14ac:dyDescent="0.2">
      <c r="A12" s="60" t="s">
        <v>120</v>
      </c>
      <c r="B12" s="20">
        <v>689752</v>
      </c>
      <c r="F12" s="32" t="s">
        <v>45</v>
      </c>
      <c r="G12" s="33" t="s">
        <v>11</v>
      </c>
      <c r="H12" s="33" t="s">
        <v>115</v>
      </c>
      <c r="I12" s="33" t="s">
        <v>4</v>
      </c>
      <c r="J12" s="33" t="s">
        <v>47</v>
      </c>
      <c r="K12" s="33" t="s">
        <v>20</v>
      </c>
      <c r="L12" s="34">
        <v>1908.2621079999999</v>
      </c>
      <c r="M12" s="38" t="str">
        <f>IFERROR(RIGHT(Tabla226[[#This Row],[Unidades indicador producción]], LEN(Tabla226[[#This Row],[Unidades indicador producción]])-FIND("/", Tabla226[[#This Row],[Unidades indicador producción]])), "")</f>
        <v>Ha</v>
      </c>
      <c r="N12" s="39">
        <f>IF(Tabla226[[#This Row],[Parámetro]]="Tn",Tabla226[[#This Row],[Indicador]]*$B$6,Tabla226[[#This Row],[Indicador]])</f>
        <v>1908.2621079999999</v>
      </c>
      <c r="O12" s="38" t="str">
        <f t="shared" ref="O12:O30" si="1">"MJ/Ha"</f>
        <v>MJ/Ha</v>
      </c>
      <c r="P12" s="36">
        <f>(Tabla226[[#This Row],[Indicador área]]*$B$5)</f>
        <v>37884727.630123995</v>
      </c>
      <c r="Q12" s="101">
        <f>+Tabla226[[#This Row],[Consumo energía '[MJ/año']]]/$P$9</f>
        <v>0.15867068190672509</v>
      </c>
      <c r="R12" s="36">
        <f>IF(Tabla226[[#This Row],[Energético]]="Energía Eléctrica",((Tabla226[[#This Row],[Participación]]*$D$29)/SUMIF(Tabla226[Energético],"Energía Eléctrica",Tabla226[Participación]))*$B$32,Tabla226[[#This Row],[Consumo energía '[MJ/año']]])</f>
        <v>37884727.630123995</v>
      </c>
    </row>
    <row r="13" spans="1:18" ht="25.5" x14ac:dyDescent="0.2">
      <c r="A13" s="61" t="s">
        <v>131</v>
      </c>
      <c r="B13" s="20">
        <f>B12*Participación!J18</f>
        <v>87943.567553032612</v>
      </c>
      <c r="F13" s="32" t="s">
        <v>45</v>
      </c>
      <c r="G13" s="33" t="s">
        <v>12</v>
      </c>
      <c r="H13" s="33" t="s">
        <v>115</v>
      </c>
      <c r="I13" s="33" t="s">
        <v>3</v>
      </c>
      <c r="J13" s="33" t="s">
        <v>19</v>
      </c>
      <c r="K13" s="33" t="s">
        <v>20</v>
      </c>
      <c r="L13" s="34">
        <v>113.0709135</v>
      </c>
      <c r="M13" s="38" t="str">
        <f>IFERROR(RIGHT(Tabla226[[#This Row],[Unidades indicador producción]], LEN(Tabla226[[#This Row],[Unidades indicador producción]])-FIND("/", Tabla226[[#This Row],[Unidades indicador producción]])), "")</f>
        <v>Ha</v>
      </c>
      <c r="N13" s="39">
        <f>IF(Tabla226[[#This Row],[Parámetro]]="Tn",Tabla226[[#This Row],[Indicador]]*$B$6,Tabla226[[#This Row],[Indicador]])</f>
        <v>113.0709135</v>
      </c>
      <c r="O13" s="38" t="str">
        <f t="shared" si="1"/>
        <v>MJ/Ha</v>
      </c>
      <c r="P13" s="36">
        <f>(Tabla226[[#This Row],[Indicador área]]*$B$5)</f>
        <v>2244796.8457154999</v>
      </c>
      <c r="Q13" s="101">
        <f>+Tabla226[[#This Row],[Consumo energía '[MJ/año']]]/$P$9</f>
        <v>9.4017686950064027E-3</v>
      </c>
      <c r="R13" s="36">
        <f>IF(Tabla226[[#This Row],[Energético]]="Energía Eléctrica",((Tabla226[[#This Row],[Participación]]*$D$29)/SUMIF(Tabla226[Energético],"Energía Eléctrica",Tabla226[Participación]))*$B$32,Tabla226[[#This Row],[Consumo energía '[MJ/año']]])</f>
        <v>2244796.8457154999</v>
      </c>
    </row>
    <row r="14" spans="1:18" x14ac:dyDescent="0.2">
      <c r="F14" s="32" t="s">
        <v>45</v>
      </c>
      <c r="G14" s="33" t="s">
        <v>12</v>
      </c>
      <c r="H14" s="33" t="s">
        <v>115</v>
      </c>
      <c r="I14" s="33" t="s">
        <v>2</v>
      </c>
      <c r="J14" s="33" t="s">
        <v>19</v>
      </c>
      <c r="K14" s="33" t="s">
        <v>20</v>
      </c>
      <c r="L14" s="34">
        <v>108</v>
      </c>
      <c r="M14" s="38" t="str">
        <f>IFERROR(RIGHT(Tabla226[[#This Row],[Unidades indicador producción]], LEN(Tabla226[[#This Row],[Unidades indicador producción]])-FIND("/", Tabla226[[#This Row],[Unidades indicador producción]])), "")</f>
        <v>Ha</v>
      </c>
      <c r="N14" s="39">
        <f>IF(Tabla226[[#This Row],[Parámetro]]="Tn",Tabla226[[#This Row],[Indicador]]*$B$6,Tabla226[[#This Row],[Indicador]])</f>
        <v>108</v>
      </c>
      <c r="O14" s="38" t="str">
        <f t="shared" si="1"/>
        <v>MJ/Ha</v>
      </c>
      <c r="P14" s="36">
        <f>(Tabla226[[#This Row],[Indicador área]]*$B$5)</f>
        <v>2144124</v>
      </c>
      <c r="Q14" s="101">
        <f>+Tabla226[[#This Row],[Consumo energía '[MJ/año']]]/$P$9</f>
        <v>8.9801257249123717E-3</v>
      </c>
      <c r="R14" s="36">
        <f>IF(Tabla226[[#This Row],[Energético]]="Energía Eléctrica",((Tabla226[[#This Row],[Participación]]*$D$29)/SUMIF(Tabla226[Energético],"Energía Eléctrica",Tabla226[Participación]))*$B$32,Tabla226[[#This Row],[Consumo energía '[MJ/año']]])</f>
        <v>166324.48562735578</v>
      </c>
    </row>
    <row r="15" spans="1:18" x14ac:dyDescent="0.2">
      <c r="F15" s="32" t="s">
        <v>45</v>
      </c>
      <c r="G15" s="33" t="s">
        <v>12</v>
      </c>
      <c r="H15" s="33" t="s">
        <v>115</v>
      </c>
      <c r="I15" s="33" t="s">
        <v>4</v>
      </c>
      <c r="J15" s="33" t="s">
        <v>19</v>
      </c>
      <c r="K15" s="33" t="s">
        <v>20</v>
      </c>
      <c r="L15" s="34">
        <v>193.21153849999999</v>
      </c>
      <c r="M15" s="38" t="str">
        <f>IFERROR(RIGHT(Tabla226[[#This Row],[Unidades indicador producción]], LEN(Tabla226[[#This Row],[Unidades indicador producción]])-FIND("/", Tabla226[[#This Row],[Unidades indicador producción]])), "")</f>
        <v>Ha</v>
      </c>
      <c r="N15" s="39">
        <f>IF(Tabla226[[#This Row],[Parámetro]]="Tn",Tabla226[[#This Row],[Indicador]]*$B$6,Tabla226[[#This Row],[Indicador]])</f>
        <v>193.21153849999999</v>
      </c>
      <c r="O15" s="38" t="str">
        <f t="shared" si="1"/>
        <v>MJ/Ha</v>
      </c>
      <c r="P15" s="36">
        <f>(Tabla226[[#This Row],[Indicador área]]*$B$5)</f>
        <v>3835828.6738404999</v>
      </c>
      <c r="Q15" s="101">
        <f>+Tabla226[[#This Row],[Consumo energía '[MJ/año']]]/$P$9</f>
        <v>1.6065406548460621E-2</v>
      </c>
      <c r="R15" s="36">
        <f>IF(Tabla226[[#This Row],[Energético]]="Energía Eléctrica",((Tabla226[[#This Row],[Participación]]*$D$29)/SUMIF(Tabla226[Energético],"Energía Eléctrica",Tabla226[Participación]))*$B$32,Tabla226[[#This Row],[Consumo energía '[MJ/año']]])</f>
        <v>3835828.6738404999</v>
      </c>
    </row>
    <row r="16" spans="1:18" x14ac:dyDescent="0.2">
      <c r="F16" s="32" t="s">
        <v>45</v>
      </c>
      <c r="G16" s="33" t="s">
        <v>13</v>
      </c>
      <c r="H16" s="33" t="s">
        <v>115</v>
      </c>
      <c r="I16" s="33" t="s">
        <v>3</v>
      </c>
      <c r="J16" s="33" t="s">
        <v>21</v>
      </c>
      <c r="K16" s="33" t="s">
        <v>20</v>
      </c>
      <c r="L16" s="34">
        <v>64.004989800000004</v>
      </c>
      <c r="M16" s="38" t="str">
        <f>IFERROR(RIGHT(Tabla226[[#This Row],[Unidades indicador producción]], LEN(Tabla226[[#This Row],[Unidades indicador producción]])-FIND("/", Tabla226[[#This Row],[Unidades indicador producción]])), "")</f>
        <v>Ha</v>
      </c>
      <c r="N16" s="39">
        <f>IF(Tabla226[[#This Row],[Parámetro]]="Tn",Tabla226[[#This Row],[Indicador]]*$B$6,Tabla226[[#This Row],[Indicador]])</f>
        <v>64.004989800000004</v>
      </c>
      <c r="O16" s="38" t="str">
        <f t="shared" si="1"/>
        <v>MJ/Ha</v>
      </c>
      <c r="P16" s="36">
        <f>(Tabla226[[#This Row],[Indicador área]]*$B$5)</f>
        <v>1270691.0624994</v>
      </c>
      <c r="Q16" s="101">
        <f>+Tabla226[[#This Row],[Consumo energía '[MJ/año']]]/$P$9</f>
        <v>5.3219708835716105E-3</v>
      </c>
      <c r="R16" s="36">
        <f>IF(Tabla226[[#This Row],[Energético]]="Energía Eléctrica",((Tabla226[[#This Row],[Participación]]*$D$29)/SUMIF(Tabla226[Energético],"Energía Eléctrica",Tabla226[Participación]))*$B$32,Tabla226[[#This Row],[Consumo energía '[MJ/año']]])</f>
        <v>1270691.0624994</v>
      </c>
    </row>
    <row r="17" spans="1:18" x14ac:dyDescent="0.2">
      <c r="F17" s="32" t="s">
        <v>45</v>
      </c>
      <c r="G17" s="33" t="s">
        <v>13</v>
      </c>
      <c r="H17" s="33" t="s">
        <v>115</v>
      </c>
      <c r="I17" s="33" t="s">
        <v>3</v>
      </c>
      <c r="J17" s="33" t="s">
        <v>48</v>
      </c>
      <c r="K17" s="33" t="s">
        <v>20</v>
      </c>
      <c r="L17" s="34">
        <v>52.629370629999997</v>
      </c>
      <c r="M17" s="38" t="str">
        <f>IFERROR(RIGHT(Tabla226[[#This Row],[Unidades indicador producción]], LEN(Tabla226[[#This Row],[Unidades indicador producción]])-FIND("/", Tabla226[[#This Row],[Unidades indicador producción]])), "")</f>
        <v>Ha</v>
      </c>
      <c r="N17" s="39">
        <f>IF(Tabla226[[#This Row],[Parámetro]]="Tn",Tabla226[[#This Row],[Indicador]]*$B$6,Tabla226[[#This Row],[Indicador]])</f>
        <v>52.629370629999997</v>
      </c>
      <c r="O17" s="38" t="str">
        <f t="shared" si="1"/>
        <v>MJ/Ha</v>
      </c>
      <c r="P17" s="36">
        <f>(Tabla226[[#This Row],[Indicador área]]*$B$5)</f>
        <v>1044850.89511739</v>
      </c>
      <c r="Q17" s="101">
        <f>+Tabla226[[#This Row],[Consumo energía '[MJ/año']]]/$P$9</f>
        <v>4.3760959729667653E-3</v>
      </c>
      <c r="R17" s="36">
        <f>IF(Tabla226[[#This Row],[Energético]]="Energía Eléctrica",((Tabla226[[#This Row],[Participación]]*$D$29)/SUMIF(Tabla226[Energético],"Energía Eléctrica",Tabla226[Participación]))*$B$32,Tabla226[[#This Row],[Consumo energía '[MJ/año']]])</f>
        <v>1044850.89511739</v>
      </c>
    </row>
    <row r="18" spans="1:18" x14ac:dyDescent="0.2">
      <c r="F18" s="32" t="s">
        <v>45</v>
      </c>
      <c r="G18" s="33" t="s">
        <v>13</v>
      </c>
      <c r="H18" s="33" t="s">
        <v>115</v>
      </c>
      <c r="I18" s="33" t="s">
        <v>4</v>
      </c>
      <c r="J18" s="33" t="s">
        <v>21</v>
      </c>
      <c r="K18" s="33" t="s">
        <v>20</v>
      </c>
      <c r="L18" s="34">
        <v>293.71778920000003</v>
      </c>
      <c r="M18" s="38" t="str">
        <f>IFERROR(RIGHT(Tabla226[[#This Row],[Unidades indicador producción]], LEN(Tabla226[[#This Row],[Unidades indicador producción]])-FIND("/", Tabla226[[#This Row],[Unidades indicador producción]])), "")</f>
        <v>Ha</v>
      </c>
      <c r="N18" s="39">
        <f>IF(Tabla226[[#This Row],[Parámetro]]="Tn",Tabla226[[#This Row],[Indicador]]*$B$6,Tabla226[[#This Row],[Indicador]])</f>
        <v>293.71778920000003</v>
      </c>
      <c r="O18" s="38" t="str">
        <f t="shared" si="1"/>
        <v>MJ/Ha</v>
      </c>
      <c r="P18" s="36">
        <f>(Tabla226[[#This Row],[Indicador área]]*$B$5)</f>
        <v>5831179.2689876007</v>
      </c>
      <c r="Q18" s="101">
        <f>+Tabla226[[#This Row],[Consumo energía '[MJ/año']]]/$P$9</f>
        <v>2.4422432172771385E-2</v>
      </c>
      <c r="R18" s="36">
        <f>IF(Tabla226[[#This Row],[Energético]]="Energía Eléctrica",((Tabla226[[#This Row],[Participación]]*$D$29)/SUMIF(Tabla226[Energético],"Energía Eléctrica",Tabla226[Participación]))*$B$32,Tabla226[[#This Row],[Consumo energía '[MJ/año']]])</f>
        <v>5831179.2689876007</v>
      </c>
    </row>
    <row r="19" spans="1:18" x14ac:dyDescent="0.2">
      <c r="F19" s="32" t="s">
        <v>45</v>
      </c>
      <c r="G19" s="33" t="s">
        <v>49</v>
      </c>
      <c r="H19" s="33" t="s">
        <v>115</v>
      </c>
      <c r="I19" s="33" t="s">
        <v>4</v>
      </c>
      <c r="J19" s="33" t="s">
        <v>50</v>
      </c>
      <c r="K19" s="33" t="s">
        <v>20</v>
      </c>
      <c r="L19" s="34">
        <v>2125.346438</v>
      </c>
      <c r="M19" s="38" t="str">
        <f>IFERROR(RIGHT(Tabla226[[#This Row],[Unidades indicador producción]], LEN(Tabla226[[#This Row],[Unidades indicador producción]])-FIND("/", Tabla226[[#This Row],[Unidades indicador producción]])), "")</f>
        <v>Ha</v>
      </c>
      <c r="N19" s="39">
        <f>IF(Tabla226[[#This Row],[Parámetro]]="Tn",Tabla226[[#This Row],[Indicador]]*$B$6,Tabla226[[#This Row],[Indicador]])</f>
        <v>2125.346438</v>
      </c>
      <c r="O19" s="38" t="str">
        <f t="shared" si="1"/>
        <v>MJ/Ha</v>
      </c>
      <c r="P19" s="36">
        <f>(Tabla226[[#This Row],[Indicador área]]*$B$5)</f>
        <v>42194502.833613999</v>
      </c>
      <c r="Q19" s="101">
        <f>+Tabla226[[#This Row],[Consumo energía '[MJ/año']]]/$P$9</f>
        <v>0.1767210946503211</v>
      </c>
      <c r="R19" s="36">
        <f>IF(Tabla226[[#This Row],[Energético]]="Energía Eléctrica",((Tabla226[[#This Row],[Participación]]*$D$29)/SUMIF(Tabla226[Energético],"Energía Eléctrica",Tabla226[Participación]))*$B$32,Tabla226[[#This Row],[Consumo energía '[MJ/año']]])</f>
        <v>42194502.833613999</v>
      </c>
    </row>
    <row r="20" spans="1:18" x14ac:dyDescent="0.2">
      <c r="F20" s="32" t="s">
        <v>45</v>
      </c>
      <c r="G20" s="33" t="s">
        <v>51</v>
      </c>
      <c r="H20" s="33" t="s">
        <v>115</v>
      </c>
      <c r="I20" s="33" t="s">
        <v>3</v>
      </c>
      <c r="J20" s="33" t="s">
        <v>52</v>
      </c>
      <c r="K20" s="33" t="s">
        <v>20</v>
      </c>
      <c r="L20" s="34">
        <v>578.92307689999996</v>
      </c>
      <c r="M20" s="38" t="str">
        <f>IFERROR(RIGHT(Tabla226[[#This Row],[Unidades indicador producción]], LEN(Tabla226[[#This Row],[Unidades indicador producción]])-FIND("/", Tabla226[[#This Row],[Unidades indicador producción]])), "")</f>
        <v>Ha</v>
      </c>
      <c r="N20" s="39">
        <f>IF(Tabla226[[#This Row],[Parámetro]]="Tn",Tabla226[[#This Row],[Indicador]]*$B$6,Tabla226[[#This Row],[Indicador]])</f>
        <v>578.92307689999996</v>
      </c>
      <c r="O20" s="38" t="str">
        <f t="shared" si="1"/>
        <v>MJ/Ha</v>
      </c>
      <c r="P20" s="36">
        <f>(Tabla226[[#This Row],[Indicador área]]*$B$5)</f>
        <v>11493359.845695699</v>
      </c>
      <c r="Q20" s="101">
        <f>+Tabla226[[#This Row],[Consumo energía '[MJ/año']]]/$P$9</f>
        <v>4.813705570013993E-2</v>
      </c>
      <c r="R20" s="36">
        <f>IF(Tabla226[[#This Row],[Energético]]="Energía Eléctrica",((Tabla226[[#This Row],[Participación]]*$D$29)/SUMIF(Tabla226[Energético],"Energía Eléctrica",Tabla226[Participación]))*$B$32,Tabla226[[#This Row],[Consumo energía '[MJ/año']]])</f>
        <v>11493359.845695699</v>
      </c>
    </row>
    <row r="21" spans="1:18" x14ac:dyDescent="0.2">
      <c r="F21" s="32" t="s">
        <v>45</v>
      </c>
      <c r="G21" s="33" t="s">
        <v>14</v>
      </c>
      <c r="H21" s="33" t="s">
        <v>115</v>
      </c>
      <c r="I21" s="33" t="s">
        <v>3</v>
      </c>
      <c r="J21" s="33" t="s">
        <v>52</v>
      </c>
      <c r="K21" s="33" t="s">
        <v>20</v>
      </c>
      <c r="L21" s="34">
        <v>845.43540780000001</v>
      </c>
      <c r="M21" s="38" t="str">
        <f>IFERROR(RIGHT(Tabla226[[#This Row],[Unidades indicador producción]], LEN(Tabla226[[#This Row],[Unidades indicador producción]])-FIND("/", Tabla226[[#This Row],[Unidades indicador producción]])), "")</f>
        <v>Ha</v>
      </c>
      <c r="N21" s="39">
        <f>IF(Tabla226[[#This Row],[Parámetro]]="Tn",Tabla226[[#This Row],[Indicador]]*$B$6,Tabla226[[#This Row],[Indicador]])</f>
        <v>845.43540780000001</v>
      </c>
      <c r="O21" s="38" t="str">
        <f t="shared" si="1"/>
        <v>MJ/Ha</v>
      </c>
      <c r="P21" s="36">
        <f>(Tabla226[[#This Row],[Indicador área]]*$B$5)</f>
        <v>16784429.151053399</v>
      </c>
      <c r="Q21" s="101">
        <f>+Tabla226[[#This Row],[Consumo energía '[MJ/año']]]/$P$9</f>
        <v>7.0297372725338536E-2</v>
      </c>
      <c r="R21" s="36">
        <f>IF(Tabla226[[#This Row],[Energético]]="Energía Eléctrica",((Tabla226[[#This Row],[Participación]]*$D$29)/SUMIF(Tabla226[Energético],"Energía Eléctrica",Tabla226[Participación]))*$B$32,Tabla226[[#This Row],[Consumo energía '[MJ/año']]])</f>
        <v>16784429.151053399</v>
      </c>
    </row>
    <row r="22" spans="1:18" x14ac:dyDescent="0.2">
      <c r="F22" s="32" t="s">
        <v>45</v>
      </c>
      <c r="G22" s="33" t="s">
        <v>14</v>
      </c>
      <c r="H22" s="33" t="s">
        <v>115</v>
      </c>
      <c r="I22" s="33" t="s">
        <v>3</v>
      </c>
      <c r="J22" s="33" t="s">
        <v>22</v>
      </c>
      <c r="K22" s="33" t="s">
        <v>20</v>
      </c>
      <c r="L22" s="34">
        <v>539.45104900000001</v>
      </c>
      <c r="M22" s="38" t="str">
        <f>IFERROR(RIGHT(Tabla226[[#This Row],[Unidades indicador producción]], LEN(Tabla226[[#This Row],[Unidades indicador producción]])-FIND("/", Tabla226[[#This Row],[Unidades indicador producción]])), "")</f>
        <v>Ha</v>
      </c>
      <c r="N22" s="39">
        <f>IF(Tabla226[[#This Row],[Parámetro]]="Tn",Tabla226[[#This Row],[Indicador]]*$B$6,Tabla226[[#This Row],[Indicador]])</f>
        <v>539.45104900000001</v>
      </c>
      <c r="O22" s="38" t="str">
        <f t="shared" si="1"/>
        <v>MJ/Ha</v>
      </c>
      <c r="P22" s="36">
        <f>(Tabla226[[#This Row],[Indicador área]]*$B$5)</f>
        <v>10709721.675797001</v>
      </c>
      <c r="Q22" s="101">
        <f>+Tabla226[[#This Row],[Consumo energía '[MJ/año']]]/$P$9</f>
        <v>4.4854983726443191E-2</v>
      </c>
      <c r="R22" s="36">
        <f>IF(Tabla226[[#This Row],[Energético]]="Energía Eléctrica",((Tabla226[[#This Row],[Participación]]*$D$29)/SUMIF(Tabla226[Energético],"Energía Eléctrica",Tabla226[Participación]))*$B$32,Tabla226[[#This Row],[Consumo energía '[MJ/año']]])</f>
        <v>10709721.675797001</v>
      </c>
    </row>
    <row r="23" spans="1:18" x14ac:dyDescent="0.2">
      <c r="F23" s="32" t="s">
        <v>45</v>
      </c>
      <c r="G23" s="33" t="s">
        <v>14</v>
      </c>
      <c r="H23" s="33" t="s">
        <v>115</v>
      </c>
      <c r="I23" s="33" t="s">
        <v>3</v>
      </c>
      <c r="J23" s="33" t="s">
        <v>53</v>
      </c>
      <c r="K23" s="33" t="s">
        <v>20</v>
      </c>
      <c r="L23" s="34">
        <v>456.45857990000002</v>
      </c>
      <c r="M23" s="38" t="str">
        <f>IFERROR(RIGHT(Tabla226[[#This Row],[Unidades indicador producción]], LEN(Tabla226[[#This Row],[Unidades indicador producción]])-FIND("/", Tabla226[[#This Row],[Unidades indicador producción]])), "")</f>
        <v>Ha</v>
      </c>
      <c r="N23" s="39">
        <f>IF(Tabla226[[#This Row],[Parámetro]]="Tn",Tabla226[[#This Row],[Indicador]]*$B$6,Tabla226[[#This Row],[Indicador]])</f>
        <v>456.45857990000002</v>
      </c>
      <c r="O23" s="38" t="str">
        <f t="shared" si="1"/>
        <v>MJ/Ha</v>
      </c>
      <c r="P23" s="36">
        <f>(Tabla226[[#This Row],[Indicador área]]*$B$5)</f>
        <v>9062072.1867546998</v>
      </c>
      <c r="Q23" s="101">
        <f>+Tabla226[[#This Row],[Consumo energía '[MJ/año']]]/$P$9</f>
        <v>3.7954216997379255E-2</v>
      </c>
      <c r="R23" s="36">
        <f>IF(Tabla226[[#This Row],[Energético]]="Energía Eléctrica",((Tabla226[[#This Row],[Participación]]*$D$29)/SUMIF(Tabla226[Energético],"Energía Eléctrica",Tabla226[Participación]))*$B$32,Tabla226[[#This Row],[Consumo energía '[MJ/año']]])</f>
        <v>9062072.1867546998</v>
      </c>
    </row>
    <row r="24" spans="1:18" x14ac:dyDescent="0.2">
      <c r="F24" s="32" t="s">
        <v>45</v>
      </c>
      <c r="G24" s="33" t="s">
        <v>14</v>
      </c>
      <c r="H24" s="33" t="s">
        <v>115</v>
      </c>
      <c r="I24" s="33" t="s">
        <v>3</v>
      </c>
      <c r="J24" s="33" t="s">
        <v>54</v>
      </c>
      <c r="K24" s="33" t="s">
        <v>20</v>
      </c>
      <c r="L24" s="34">
        <v>379.9182692</v>
      </c>
      <c r="M24" s="38" t="str">
        <f>IFERROR(RIGHT(Tabla226[[#This Row],[Unidades indicador producción]], LEN(Tabla226[[#This Row],[Unidades indicador producción]])-FIND("/", Tabla226[[#This Row],[Unidades indicador producción]])), "")</f>
        <v>Ha</v>
      </c>
      <c r="N24" s="39">
        <f>IF(Tabla226[[#This Row],[Parámetro]]="Tn",Tabla226[[#This Row],[Indicador]]*$B$6,Tabla226[[#This Row],[Indicador]])</f>
        <v>379.9182692</v>
      </c>
      <c r="O24" s="38" t="str">
        <f t="shared" si="1"/>
        <v>MJ/Ha</v>
      </c>
      <c r="P24" s="36">
        <f>(Tabla226[[#This Row],[Indicador área]]*$B$5)</f>
        <v>7542517.3984276</v>
      </c>
      <c r="Q24" s="101">
        <f>+Tabla226[[#This Row],[Consumo energía '[MJ/año']]]/$P$9</f>
        <v>3.1589942801917625E-2</v>
      </c>
      <c r="R24" s="36">
        <f>IF(Tabla226[[#This Row],[Energético]]="Energía Eléctrica",((Tabla226[[#This Row],[Participación]]*$D$29)/SUMIF(Tabla226[Energético],"Energía Eléctrica",Tabla226[Participación]))*$B$32,Tabla226[[#This Row],[Consumo energía '[MJ/año']]])</f>
        <v>7542517.3984276</v>
      </c>
    </row>
    <row r="25" spans="1:18" x14ac:dyDescent="0.2">
      <c r="F25" s="32" t="s">
        <v>45</v>
      </c>
      <c r="G25" s="33" t="s">
        <v>14</v>
      </c>
      <c r="H25" s="33" t="s">
        <v>115</v>
      </c>
      <c r="I25" s="33" t="s">
        <v>3</v>
      </c>
      <c r="J25" s="33" t="s">
        <v>55</v>
      </c>
      <c r="K25" s="33" t="s">
        <v>20</v>
      </c>
      <c r="L25" s="34">
        <v>379.9182692</v>
      </c>
      <c r="M25" s="38" t="str">
        <f>IFERROR(RIGHT(Tabla226[[#This Row],[Unidades indicador producción]], LEN(Tabla226[[#This Row],[Unidades indicador producción]])-FIND("/", Tabla226[[#This Row],[Unidades indicador producción]])), "")</f>
        <v>Ha</v>
      </c>
      <c r="N25" s="39">
        <f>IF(Tabla226[[#This Row],[Parámetro]]="Tn",Tabla226[[#This Row],[Indicador]]*$B$6,Tabla226[[#This Row],[Indicador]])</f>
        <v>379.9182692</v>
      </c>
      <c r="O25" s="38" t="str">
        <f t="shared" si="1"/>
        <v>MJ/Ha</v>
      </c>
      <c r="P25" s="36">
        <f>(Tabla226[[#This Row],[Indicador área]]*$B$5)</f>
        <v>7542517.3984276</v>
      </c>
      <c r="Q25" s="101">
        <f>+Tabla226[[#This Row],[Consumo energía '[MJ/año']]]/$P$9</f>
        <v>3.1589942801917625E-2</v>
      </c>
      <c r="R25" s="36">
        <f>IF(Tabla226[[#This Row],[Energético]]="Energía Eléctrica",((Tabla226[[#This Row],[Participación]]*$D$29)/SUMIF(Tabla226[Energético],"Energía Eléctrica",Tabla226[Participación]))*$B$32,Tabla226[[#This Row],[Consumo energía '[MJ/año']]])</f>
        <v>7542517.3984276</v>
      </c>
    </row>
    <row r="26" spans="1:18" ht="15.75" x14ac:dyDescent="0.25">
      <c r="A26" s="57" t="s">
        <v>28</v>
      </c>
      <c r="B26" s="57"/>
      <c r="C26" s="57"/>
      <c r="D26" s="57"/>
      <c r="F26" s="32" t="s">
        <v>45</v>
      </c>
      <c r="G26" s="33" t="s">
        <v>14</v>
      </c>
      <c r="H26" s="33" t="s">
        <v>115</v>
      </c>
      <c r="I26" s="33" t="s">
        <v>4</v>
      </c>
      <c r="J26" s="33" t="s">
        <v>61</v>
      </c>
      <c r="K26" s="33" t="s">
        <v>20</v>
      </c>
      <c r="L26" s="34">
        <v>723.13090420000003</v>
      </c>
      <c r="M26" s="38" t="str">
        <f>IFERROR(RIGHT(Tabla226[[#This Row],[Unidades indicador producción]], LEN(Tabla226[[#This Row],[Unidades indicador producción]])-FIND("/", Tabla226[[#This Row],[Unidades indicador producción]])), "")</f>
        <v>Ha</v>
      </c>
      <c r="N26" s="39">
        <f>IF(Tabla226[[#This Row],[Parámetro]]="Tn",Tabla226[[#This Row],[Indicador]]*$B$6,Tabla226[[#This Row],[Indicador]])</f>
        <v>723.13090420000003</v>
      </c>
      <c r="O26" s="38" t="str">
        <f t="shared" si="1"/>
        <v>MJ/Ha</v>
      </c>
      <c r="P26" s="36">
        <f>(Tabla226[[#This Row],[Indicador área]]*$B$5)</f>
        <v>14356317.841082601</v>
      </c>
      <c r="Q26" s="101">
        <f>+Tabla226[[#This Row],[Consumo energía '[MJ/año']]]/$P$9</f>
        <v>6.0127837363755224E-2</v>
      </c>
      <c r="R26" s="36">
        <f>IF(Tabla226[[#This Row],[Energético]]="Energía Eléctrica",((Tabla226[[#This Row],[Participación]]*$D$29)/SUMIF(Tabla226[Energético],"Energía Eléctrica",Tabla226[Participación]))*$B$32,Tabla226[[#This Row],[Consumo energía '[MJ/año']]])</f>
        <v>14356317.841082601</v>
      </c>
    </row>
    <row r="27" spans="1:18" x14ac:dyDescent="0.2">
      <c r="F27" s="32" t="s">
        <v>45</v>
      </c>
      <c r="G27" s="33" t="s">
        <v>14</v>
      </c>
      <c r="H27" s="33" t="s">
        <v>115</v>
      </c>
      <c r="I27" s="33" t="s">
        <v>4</v>
      </c>
      <c r="J27" s="33" t="s">
        <v>47</v>
      </c>
      <c r="K27" s="33" t="s">
        <v>20</v>
      </c>
      <c r="L27" s="34">
        <v>2930.1866850000001</v>
      </c>
      <c r="M27" s="38" t="str">
        <f>IFERROR(RIGHT(Tabla226[[#This Row],[Unidades indicador producción]], LEN(Tabla226[[#This Row],[Unidades indicador producción]])-FIND("/", Tabla226[[#This Row],[Unidades indicador producción]])), "")</f>
        <v>Ha</v>
      </c>
      <c r="N27" s="39">
        <f>IF(Tabla226[[#This Row],[Parámetro]]="Tn",Tabla226[[#This Row],[Indicador]]*$B$6,Tabla226[[#This Row],[Indicador]])</f>
        <v>2930.1866850000001</v>
      </c>
      <c r="O27" s="38" t="str">
        <f t="shared" si="1"/>
        <v>MJ/Ha</v>
      </c>
      <c r="P27" s="36">
        <f>(Tabla226[[#This Row],[Indicador área]]*$B$5)</f>
        <v>58172996.257305004</v>
      </c>
      <c r="Q27" s="101">
        <f>+Tabla226[[#This Row],[Consumo energía '[MJ/año']]]/$P$9</f>
        <v>0.24364300767374267</v>
      </c>
      <c r="R27" s="36">
        <f>IF(Tabla226[[#This Row],[Energético]]="Energía Eléctrica",((Tabla226[[#This Row],[Participación]]*$D$29)/SUMIF(Tabla226[Energético],"Energía Eléctrica",Tabla226[Participación]))*$B$32,Tabla226[[#This Row],[Consumo energía '[MJ/año']]])</f>
        <v>58172996.257305004</v>
      </c>
    </row>
    <row r="28" spans="1:18" x14ac:dyDescent="0.2">
      <c r="A28" s="9" t="s">
        <v>0</v>
      </c>
      <c r="B28" s="9" t="s">
        <v>32</v>
      </c>
      <c r="C28" s="9" t="s">
        <v>33</v>
      </c>
      <c r="D28" s="9" t="s">
        <v>1</v>
      </c>
      <c r="F28" s="32" t="s">
        <v>45</v>
      </c>
      <c r="G28" s="33" t="s">
        <v>15</v>
      </c>
      <c r="H28" s="33" t="s">
        <v>115</v>
      </c>
      <c r="I28" s="33" t="s">
        <v>3</v>
      </c>
      <c r="J28" s="33" t="s">
        <v>23</v>
      </c>
      <c r="K28" s="33" t="s">
        <v>20</v>
      </c>
      <c r="L28" s="34">
        <v>111.08721319999999</v>
      </c>
      <c r="M28" s="38" t="str">
        <f>IFERROR(RIGHT(Tabla226[[#This Row],[Unidades indicador producción]], LEN(Tabla226[[#This Row],[Unidades indicador producción]])-FIND("/", Tabla226[[#This Row],[Unidades indicador producción]])), "")</f>
        <v>Ha</v>
      </c>
      <c r="N28" s="39">
        <f>IF(Tabla226[[#This Row],[Parámetro]]="Tn",Tabla226[[#This Row],[Indicador]]*$B$6,Tabla226[[#This Row],[Indicador]])</f>
        <v>111.08721319999999</v>
      </c>
      <c r="O28" s="38" t="str">
        <f t="shared" si="1"/>
        <v>MJ/Ha</v>
      </c>
      <c r="P28" s="36">
        <f>(Tabla226[[#This Row],[Indicador área]]*$B$5)</f>
        <v>2205414.4436595999</v>
      </c>
      <c r="Q28" s="101">
        <f>+Tabla226[[#This Row],[Consumo energía '[MJ/año']]]/$P$9</f>
        <v>9.2368253793161589E-3</v>
      </c>
      <c r="R28" s="36">
        <f>IF(Tabla226[[#This Row],[Energético]]="Energía Eléctrica",((Tabla226[[#This Row],[Participación]]*$D$29)/SUMIF(Tabla226[Energético],"Energía Eléctrica",Tabla226[Participación]))*$B$32,Tabla226[[#This Row],[Consumo energía '[MJ/año']]])</f>
        <v>2205414.4436595999</v>
      </c>
    </row>
    <row r="29" spans="1:18" x14ac:dyDescent="0.2">
      <c r="A29" s="40" t="s">
        <v>2</v>
      </c>
      <c r="B29" s="27">
        <f>+B8</f>
        <v>316596.8431909174</v>
      </c>
      <c r="C29" s="41">
        <f>B29/1000000</f>
        <v>0.31659684319091741</v>
      </c>
      <c r="D29" s="10">
        <f>B29/$B$32</f>
        <v>1.3472290376977719E-3</v>
      </c>
      <c r="F29" s="32" t="s">
        <v>45</v>
      </c>
      <c r="G29" s="33" t="s">
        <v>15</v>
      </c>
      <c r="H29" s="33" t="s">
        <v>115</v>
      </c>
      <c r="I29" s="33" t="s">
        <v>3</v>
      </c>
      <c r="J29" s="33" t="s">
        <v>56</v>
      </c>
      <c r="K29" s="33" t="s">
        <v>20</v>
      </c>
      <c r="L29" s="34">
        <v>113.0709135</v>
      </c>
      <c r="M29" s="38" t="str">
        <f>IFERROR(RIGHT(Tabla226[[#This Row],[Unidades indicador producción]], LEN(Tabla226[[#This Row],[Unidades indicador producción]])-FIND("/", Tabla226[[#This Row],[Unidades indicador producción]])), "")</f>
        <v>Ha</v>
      </c>
      <c r="N29" s="39">
        <f>IF(Tabla226[[#This Row],[Parámetro]]="Tn",Tabla226[[#This Row],[Indicador]]*$B$6,Tabla226[[#This Row],[Indicador]])</f>
        <v>113.0709135</v>
      </c>
      <c r="O29" s="38" t="str">
        <f t="shared" si="1"/>
        <v>MJ/Ha</v>
      </c>
      <c r="P29" s="36">
        <f>(Tabla226[[#This Row],[Indicador área]]*$B$5)</f>
        <v>2244796.8457154999</v>
      </c>
      <c r="Q29" s="101">
        <f>+Tabla226[[#This Row],[Consumo energía '[MJ/año']]]/$P$9</f>
        <v>9.4017686950064027E-3</v>
      </c>
      <c r="R29" s="36">
        <f>IF(Tabla226[[#This Row],[Energético]]="Energía Eléctrica",((Tabla226[[#This Row],[Participación]]*$D$29)/SUMIF(Tabla226[Energético],"Energía Eléctrica",Tabla226[Participación]))*$B$32,Tabla226[[#This Row],[Consumo energía '[MJ/año']]])</f>
        <v>2244796.8457154999</v>
      </c>
    </row>
    <row r="30" spans="1:18" x14ac:dyDescent="0.2">
      <c r="A30" s="40" t="s">
        <v>3</v>
      </c>
      <c r="B30" s="27">
        <f>SUMIF(Tabla226[Energético],A30,Tabla226[Consumo energía '[MJ/año']])</f>
        <v>72406380.472692356</v>
      </c>
      <c r="C30" s="41">
        <f>B30/1000000</f>
        <v>72.406380472692362</v>
      </c>
      <c r="D30" s="10">
        <f>B30/$B$32</f>
        <v>0.30811418491807169</v>
      </c>
      <c r="F30" s="32" t="s">
        <v>45</v>
      </c>
      <c r="G30" s="33" t="s">
        <v>15</v>
      </c>
      <c r="H30" s="33" t="s">
        <v>115</v>
      </c>
      <c r="I30" s="33" t="s">
        <v>2</v>
      </c>
      <c r="J30" s="33" t="s">
        <v>23</v>
      </c>
      <c r="K30" s="33" t="s">
        <v>20</v>
      </c>
      <c r="L30" s="34">
        <v>97.576821330000001</v>
      </c>
      <c r="M30" s="38" t="str">
        <f>IFERROR(RIGHT(Tabla226[[#This Row],[Unidades indicador producción]], LEN(Tabla226[[#This Row],[Unidades indicador producción]])-FIND("/", Tabla226[[#This Row],[Unidades indicador producción]])), "")</f>
        <v>Ha</v>
      </c>
      <c r="N30" s="39">
        <f>IF(Tabla226[[#This Row],[Parámetro]]="Tn",Tabla226[[#This Row],[Indicador]]*$B$6,Tabla226[[#This Row],[Indicador]])</f>
        <v>97.576821330000001</v>
      </c>
      <c r="O30" s="38" t="str">
        <f t="shared" si="1"/>
        <v>MJ/Ha</v>
      </c>
      <c r="P30" s="36">
        <f>(Tabla226[[#This Row],[Indicador área]]*$B$5)</f>
        <v>1937192.6338644901</v>
      </c>
      <c r="Q30" s="101">
        <f>+Tabla226[[#This Row],[Consumo energía '[MJ/año']]]/$P$9</f>
        <v>8.1134455868584372E-3</v>
      </c>
      <c r="R30" s="36">
        <f>IF(Tabla226[[#This Row],[Energético]]="Energía Eléctrica",((Tabla226[[#This Row],[Participación]]*$D$29)/SUMIF(Tabla226[Energético],"Energía Eléctrica",Tabla226[Participación]))*$B$32,Tabla226[[#This Row],[Consumo energía '[MJ/año']]])</f>
        <v>150272.35756356159</v>
      </c>
    </row>
    <row r="31" spans="1:18" x14ac:dyDescent="0.2">
      <c r="A31" s="40" t="s">
        <v>4</v>
      </c>
      <c r="B31" s="27">
        <f>SUMIF(Tabla226[Energético],A31,Tabla226[Consumo energía '[MJ/año']])</f>
        <v>162275552.50495371</v>
      </c>
      <c r="C31" s="41">
        <f>B31/1000000</f>
        <v>162.27555250495371</v>
      </c>
      <c r="D31" s="10">
        <f>B31/$B$32</f>
        <v>0.69053858604423046</v>
      </c>
    </row>
    <row r="32" spans="1:18" x14ac:dyDescent="0.2">
      <c r="A32" s="65" t="s">
        <v>107</v>
      </c>
      <c r="B32" s="66">
        <f>SUM(B29:B31)</f>
        <v>234998529.82083699</v>
      </c>
      <c r="C32" s="66">
        <f t="shared" ref="C32:D32" si="2">SUM(C29:C31)</f>
        <v>234.99852982083701</v>
      </c>
      <c r="D32" s="67">
        <f t="shared" si="2"/>
        <v>1</v>
      </c>
    </row>
    <row r="33" spans="1:4" x14ac:dyDescent="0.2">
      <c r="C33" s="1"/>
      <c r="D33" s="1"/>
    </row>
    <row r="34" spans="1:4" x14ac:dyDescent="0.2">
      <c r="C34" s="23"/>
      <c r="D34" s="23"/>
    </row>
    <row r="36" spans="1:4" ht="18" x14ac:dyDescent="0.25">
      <c r="A36" s="58" t="s">
        <v>35</v>
      </c>
      <c r="B36" s="58"/>
      <c r="C36" s="58"/>
    </row>
    <row r="37" spans="1:4" x14ac:dyDescent="0.2">
      <c r="A37" s="5" t="str">
        <f>+A4</f>
        <v>Grupo Homogeneo</v>
      </c>
      <c r="B37" s="5" t="s">
        <v>29</v>
      </c>
      <c r="C37" s="5" t="s">
        <v>30</v>
      </c>
    </row>
    <row r="38" spans="1:4" x14ac:dyDescent="0.2">
      <c r="A38" s="42" t="str">
        <f>+$B$4</f>
        <v>Pasifloras</v>
      </c>
      <c r="B38" s="41">
        <f>B32/B5</f>
        <v>11836.92791118909</v>
      </c>
      <c r="C38" s="41">
        <f>B38/$B$6</f>
        <v>889.99457978865337</v>
      </c>
    </row>
  </sheetData>
  <mergeCells count="4">
    <mergeCell ref="A3:B3"/>
    <mergeCell ref="F8:L8"/>
    <mergeCell ref="A26:D26"/>
    <mergeCell ref="A36:C36"/>
  </mergeCells>
  <phoneticPr fontId="15" type="noConversion"/>
  <pageMargins left="0.7" right="0.7" top="0.75" bottom="0.75" header="0.3" footer="0.3"/>
  <pageSetup paperSize="9"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F2F8A1D-B747-4C55-8D8F-46D76491C877}">
          <x14:formula1>
            <xm:f>Participación!$A$1:$A$11</xm:f>
          </x14:formula1>
          <xm:sqref>A29:A31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984864-E5A2-438C-8FBF-CEFE976F1B63}">
  <dimension ref="A1:R38"/>
  <sheetViews>
    <sheetView showGridLines="0" workbookViewId="0">
      <selection activeCell="D22" sqref="D22"/>
    </sheetView>
  </sheetViews>
  <sheetFormatPr baseColWidth="10" defaultRowHeight="12.75" x14ac:dyDescent="0.2"/>
  <cols>
    <col min="1" max="1" width="28.28515625" style="26" customWidth="1"/>
    <col min="2" max="4" width="16.42578125" style="26" customWidth="1"/>
    <col min="5" max="5" width="11.42578125" style="26"/>
    <col min="6" max="6" width="29.140625" style="26" customWidth="1"/>
    <col min="7" max="8" width="24.5703125" style="26" customWidth="1"/>
    <col min="9" max="9" width="26.5703125" style="26" customWidth="1"/>
    <col min="10" max="10" width="17.7109375" style="26" bestFit="1" customWidth="1"/>
    <col min="11" max="11" width="19.7109375" style="26" customWidth="1"/>
    <col min="12" max="12" width="11.7109375" style="26" customWidth="1"/>
    <col min="13" max="13" width="11.42578125" style="26"/>
    <col min="14" max="14" width="15" style="26" customWidth="1"/>
    <col min="15" max="15" width="11.42578125" style="26"/>
    <col min="16" max="16" width="24.5703125" style="26" customWidth="1"/>
    <col min="17" max="17" width="16.5703125" style="26" customWidth="1"/>
    <col min="18" max="18" width="17.7109375" style="26" customWidth="1"/>
    <col min="19" max="16384" width="11.42578125" style="26"/>
  </cols>
  <sheetData>
    <row r="1" spans="1:18" ht="18" x14ac:dyDescent="0.25">
      <c r="A1" s="8"/>
    </row>
    <row r="3" spans="1:18" ht="18" x14ac:dyDescent="0.2">
      <c r="A3" s="68" t="s">
        <v>119</v>
      </c>
      <c r="B3" s="69"/>
    </row>
    <row r="4" spans="1:18" x14ac:dyDescent="0.2">
      <c r="A4" s="3" t="s">
        <v>31</v>
      </c>
      <c r="B4" s="33" t="s">
        <v>59</v>
      </c>
    </row>
    <row r="5" spans="1:18" x14ac:dyDescent="0.2">
      <c r="A5" s="3" t="s">
        <v>5</v>
      </c>
      <c r="B5" s="34">
        <v>13779</v>
      </c>
      <c r="C5" s="11" t="s">
        <v>116</v>
      </c>
    </row>
    <row r="6" spans="1:18" x14ac:dyDescent="0.2">
      <c r="A6" s="3" t="s">
        <v>6</v>
      </c>
      <c r="B6" s="34">
        <v>25</v>
      </c>
      <c r="C6" s="11" t="s">
        <v>117</v>
      </c>
    </row>
    <row r="7" spans="1:18" ht="25.5" x14ac:dyDescent="0.2">
      <c r="A7" s="4" t="s">
        <v>7</v>
      </c>
      <c r="B7" s="34">
        <f>B13</f>
        <v>61037.345354013807</v>
      </c>
      <c r="C7" s="11" t="s">
        <v>118</v>
      </c>
    </row>
    <row r="8" spans="1:18" ht="26.25" x14ac:dyDescent="0.25">
      <c r="A8" s="4" t="s">
        <v>123</v>
      </c>
      <c r="B8" s="36">
        <f>+B7*3.6</f>
        <v>219734.4432744497</v>
      </c>
      <c r="C8" s="1"/>
      <c r="F8" s="57" t="s">
        <v>124</v>
      </c>
      <c r="G8" s="57"/>
      <c r="H8" s="57"/>
      <c r="I8" s="57"/>
      <c r="J8" s="57"/>
      <c r="K8" s="57"/>
      <c r="L8" s="57"/>
      <c r="P8" s="25"/>
      <c r="R8" s="6" t="s">
        <v>130</v>
      </c>
    </row>
    <row r="9" spans="1:18" ht="35.25" customHeight="1" x14ac:dyDescent="0.25">
      <c r="B9" s="46"/>
      <c r="K9" s="2" t="s">
        <v>27</v>
      </c>
      <c r="P9" s="7">
        <f>SUM(Tabla2267[Consumo energía '[MJ/año']])</f>
        <v>165713938.26610607</v>
      </c>
      <c r="Q9" s="7"/>
      <c r="R9" s="102">
        <f>+SUM(Tabla2267[Consumo energía corregida '[MJ/año']])</f>
        <v>163101029.68827447</v>
      </c>
    </row>
    <row r="10" spans="1:18" s="28" customFormat="1" ht="51" x14ac:dyDescent="0.2">
      <c r="A10" s="19" t="s">
        <v>122</v>
      </c>
      <c r="B10" s="47">
        <v>453310</v>
      </c>
      <c r="F10" s="29" t="s">
        <v>8</v>
      </c>
      <c r="G10" s="30" t="s">
        <v>9</v>
      </c>
      <c r="H10" s="30" t="s">
        <v>114</v>
      </c>
      <c r="I10" s="30" t="s">
        <v>10</v>
      </c>
      <c r="J10" s="30" t="s">
        <v>16</v>
      </c>
      <c r="K10" s="31" t="s">
        <v>17</v>
      </c>
      <c r="L10" s="30" t="s">
        <v>18</v>
      </c>
      <c r="M10" s="30" t="s">
        <v>24</v>
      </c>
      <c r="N10" s="30" t="s">
        <v>25</v>
      </c>
      <c r="O10" s="30" t="s">
        <v>26</v>
      </c>
      <c r="P10" s="78" t="s">
        <v>128</v>
      </c>
      <c r="Q10" s="78" t="s">
        <v>1</v>
      </c>
      <c r="R10" s="78" t="s">
        <v>129</v>
      </c>
    </row>
    <row r="11" spans="1:18" x14ac:dyDescent="0.2">
      <c r="F11" s="32" t="s">
        <v>45</v>
      </c>
      <c r="G11" s="33" t="s">
        <v>11</v>
      </c>
      <c r="H11" s="33" t="s">
        <v>115</v>
      </c>
      <c r="I11" s="33" t="s">
        <v>3</v>
      </c>
      <c r="J11" s="33" t="s">
        <v>46</v>
      </c>
      <c r="K11" s="33" t="s">
        <v>20</v>
      </c>
      <c r="L11" s="34">
        <v>13.157342659999999</v>
      </c>
      <c r="M11" s="35" t="str">
        <f>IFERROR(RIGHT(Tabla2267[[#This Row],[Unidades indicador producción]], LEN(Tabla2267[[#This Row],[Unidades indicador producción]])-FIND("/", Tabla2267[[#This Row],[Unidades indicador producción]])), "")</f>
        <v>Ha</v>
      </c>
      <c r="N11" s="36">
        <f>IF(Tabla2267[[#This Row],[Parámetro]]="Tn",Tabla2267[[#This Row],[Indicador]]*$B$6,Tabla2267[[#This Row],[Indicador]])</f>
        <v>13.157342659999999</v>
      </c>
      <c r="O11" s="35" t="str">
        <f t="shared" ref="O11" si="0">"MJ/Ha"</f>
        <v>MJ/Ha</v>
      </c>
      <c r="P11" s="36">
        <f>(Tabla2267[[#This Row],[Indicador área]]*$B$5)</f>
        <v>181295.02451213999</v>
      </c>
      <c r="Q11" s="101">
        <f>+Tabla2267[[#This Row],[Consumo energía '[MJ/año']]]/$P$9</f>
        <v>1.0940239934495648E-3</v>
      </c>
      <c r="R11" s="36">
        <f>IF(Tabla2267[[#This Row],[Energético]]="Energía Eléctrica",((Tabla2267[[#This Row],[Participación]]*$D$29)/SUMIF(Tabla2267[Energético],"Energía Eléctrica",Tabla2267[Participación]))*$B$32,Tabla2267[[#This Row],[Consumo energía '[MJ/año']]])</f>
        <v>181295.02451213999</v>
      </c>
    </row>
    <row r="12" spans="1:18" ht="25.5" x14ac:dyDescent="0.2">
      <c r="A12" s="60" t="s">
        <v>120</v>
      </c>
      <c r="B12" s="20">
        <v>689752</v>
      </c>
      <c r="F12" s="32" t="s">
        <v>45</v>
      </c>
      <c r="G12" s="33" t="s">
        <v>11</v>
      </c>
      <c r="H12" s="33" t="s">
        <v>115</v>
      </c>
      <c r="I12" s="33" t="s">
        <v>4</v>
      </c>
      <c r="J12" s="33" t="s">
        <v>47</v>
      </c>
      <c r="K12" s="33" t="s">
        <v>20</v>
      </c>
      <c r="L12" s="34">
        <v>1908.2621079999999</v>
      </c>
      <c r="M12" s="38" t="str">
        <f>IFERROR(RIGHT(Tabla2267[[#This Row],[Unidades indicador producción]], LEN(Tabla2267[[#This Row],[Unidades indicador producción]])-FIND("/", Tabla2267[[#This Row],[Unidades indicador producción]])), "")</f>
        <v>Ha</v>
      </c>
      <c r="N12" s="39">
        <f>IF(Tabla2267[[#This Row],[Parámetro]]="Tn",Tabla2267[[#This Row],[Indicador]]*$B$6,Tabla2267[[#This Row],[Indicador]])</f>
        <v>1908.2621079999999</v>
      </c>
      <c r="O12" s="38" t="str">
        <f t="shared" ref="O12:O24" si="1">"MJ/Ha"</f>
        <v>MJ/Ha</v>
      </c>
      <c r="P12" s="36">
        <f>(Tabla2267[[#This Row],[Indicador área]]*$B$5)</f>
        <v>26293943.586131997</v>
      </c>
      <c r="Q12" s="101">
        <f>+Tabla2267[[#This Row],[Consumo energía '[MJ/año']]]/$P$9</f>
        <v>0.15867068190672512</v>
      </c>
      <c r="R12" s="36">
        <f>IF(Tabla2267[[#This Row],[Energético]]="Energía Eléctrica",((Tabla2267[[#This Row],[Participación]]*$D$29)/SUMIF(Tabla2267[Energético],"Energía Eléctrica",Tabla2267[Participación]))*$B$32,Tabla2267[[#This Row],[Consumo energía '[MJ/año']]])</f>
        <v>26293943.586131997</v>
      </c>
    </row>
    <row r="13" spans="1:18" ht="25.5" x14ac:dyDescent="0.2">
      <c r="A13" s="61" t="s">
        <v>132</v>
      </c>
      <c r="B13" s="20">
        <f>B12*Participación!J19</f>
        <v>61037.345354013807</v>
      </c>
      <c r="F13" s="32" t="s">
        <v>45</v>
      </c>
      <c r="G13" s="33" t="s">
        <v>12</v>
      </c>
      <c r="H13" s="33" t="s">
        <v>115</v>
      </c>
      <c r="I13" s="33" t="s">
        <v>3</v>
      </c>
      <c r="J13" s="33" t="s">
        <v>19</v>
      </c>
      <c r="K13" s="33" t="s">
        <v>20</v>
      </c>
      <c r="L13" s="34">
        <v>113.0709135</v>
      </c>
      <c r="M13" s="38" t="str">
        <f>IFERROR(RIGHT(Tabla2267[[#This Row],[Unidades indicador producción]], LEN(Tabla2267[[#This Row],[Unidades indicador producción]])-FIND("/", Tabla2267[[#This Row],[Unidades indicador producción]])), "")</f>
        <v>Ha</v>
      </c>
      <c r="N13" s="39">
        <f>IF(Tabla2267[[#This Row],[Parámetro]]="Tn",Tabla2267[[#This Row],[Indicador]]*$B$6,Tabla2267[[#This Row],[Indicador]])</f>
        <v>113.0709135</v>
      </c>
      <c r="O13" s="38" t="str">
        <f t="shared" si="1"/>
        <v>MJ/Ha</v>
      </c>
      <c r="P13" s="36">
        <f>(Tabla2267[[#This Row],[Indicador área]]*$B$5)</f>
        <v>1558004.1171165002</v>
      </c>
      <c r="Q13" s="101">
        <f>+Tabla2267[[#This Row],[Consumo energía '[MJ/año']]]/$P$9</f>
        <v>9.4017686950064062E-3</v>
      </c>
      <c r="R13" s="36">
        <f>IF(Tabla2267[[#This Row],[Energético]]="Energía Eléctrica",((Tabla2267[[#This Row],[Participación]]*$D$29)/SUMIF(Tabla2267[Energético],"Energía Eléctrica",Tabla2267[Participación]))*$B$32,Tabla2267[[#This Row],[Consumo energía '[MJ/año']]])</f>
        <v>1558004.1171165002</v>
      </c>
    </row>
    <row r="14" spans="1:18" x14ac:dyDescent="0.2">
      <c r="F14" s="32" t="s">
        <v>45</v>
      </c>
      <c r="G14" s="33" t="s">
        <v>12</v>
      </c>
      <c r="H14" s="33" t="s">
        <v>115</v>
      </c>
      <c r="I14" s="33" t="s">
        <v>2</v>
      </c>
      <c r="J14" s="33" t="s">
        <v>19</v>
      </c>
      <c r="K14" s="33" t="s">
        <v>20</v>
      </c>
      <c r="L14" s="34">
        <v>108</v>
      </c>
      <c r="M14" s="38" t="str">
        <f>IFERROR(RIGHT(Tabla2267[[#This Row],[Unidades indicador producción]], LEN(Tabla2267[[#This Row],[Unidades indicador producción]])-FIND("/", Tabla2267[[#This Row],[Unidades indicador producción]])), "")</f>
        <v>Ha</v>
      </c>
      <c r="N14" s="39">
        <f>IF(Tabla2267[[#This Row],[Parámetro]]="Tn",Tabla2267[[#This Row],[Indicador]]*$B$6,Tabla2267[[#This Row],[Indicador]])</f>
        <v>108</v>
      </c>
      <c r="O14" s="38" t="str">
        <f t="shared" si="1"/>
        <v>MJ/Ha</v>
      </c>
      <c r="P14" s="36">
        <f>(Tabla2267[[#This Row],[Indicador área]]*$B$5)</f>
        <v>1488132</v>
      </c>
      <c r="Q14" s="101">
        <f>+Tabla2267[[#This Row],[Consumo energía '[MJ/año']]]/$P$9</f>
        <v>8.9801257249123734E-3</v>
      </c>
      <c r="R14" s="36">
        <f>IF(Tabla2267[[#This Row],[Energético]]="Energía Eléctrica",((Tabla2267[[#This Row],[Participación]]*$D$29)/SUMIF(Tabla2267[Energético],"Energía Eléctrica",Tabla2267[Participación]))*$B$32,Tabla2267[[#This Row],[Consumo energía '[MJ/año']]])</f>
        <v>115437.72162692466</v>
      </c>
    </row>
    <row r="15" spans="1:18" x14ac:dyDescent="0.2">
      <c r="F15" s="32" t="s">
        <v>45</v>
      </c>
      <c r="G15" s="33" t="s">
        <v>12</v>
      </c>
      <c r="H15" s="33" t="s">
        <v>115</v>
      </c>
      <c r="I15" s="33" t="s">
        <v>4</v>
      </c>
      <c r="J15" s="33" t="s">
        <v>19</v>
      </c>
      <c r="K15" s="33" t="s">
        <v>20</v>
      </c>
      <c r="L15" s="34">
        <v>193.21153849999999</v>
      </c>
      <c r="M15" s="38" t="str">
        <f>IFERROR(RIGHT(Tabla2267[[#This Row],[Unidades indicador producción]], LEN(Tabla2267[[#This Row],[Unidades indicador producción]])-FIND("/", Tabla2267[[#This Row],[Unidades indicador producción]])), "")</f>
        <v>Ha</v>
      </c>
      <c r="N15" s="39">
        <f>IF(Tabla2267[[#This Row],[Parámetro]]="Tn",Tabla2267[[#This Row],[Indicador]]*$B$6,Tabla2267[[#This Row],[Indicador]])</f>
        <v>193.21153849999999</v>
      </c>
      <c r="O15" s="38" t="str">
        <f t="shared" si="1"/>
        <v>MJ/Ha</v>
      </c>
      <c r="P15" s="36">
        <f>(Tabla2267[[#This Row],[Indicador área]]*$B$5)</f>
        <v>2662261.7889914997</v>
      </c>
      <c r="Q15" s="101">
        <f>+Tabla2267[[#This Row],[Consumo energía '[MJ/año']]]/$P$9</f>
        <v>1.6065406548460621E-2</v>
      </c>
      <c r="R15" s="36">
        <f>IF(Tabla2267[[#This Row],[Energético]]="Energía Eléctrica",((Tabla2267[[#This Row],[Participación]]*$D$29)/SUMIF(Tabla2267[Energético],"Energía Eléctrica",Tabla2267[Participación]))*$B$32,Tabla2267[[#This Row],[Consumo energía '[MJ/año']]])</f>
        <v>2662261.7889914997</v>
      </c>
    </row>
    <row r="16" spans="1:18" x14ac:dyDescent="0.2">
      <c r="F16" s="32" t="s">
        <v>45</v>
      </c>
      <c r="G16" s="33" t="s">
        <v>13</v>
      </c>
      <c r="H16" s="33" t="s">
        <v>115</v>
      </c>
      <c r="I16" s="33" t="s">
        <v>3</v>
      </c>
      <c r="J16" s="33" t="s">
        <v>21</v>
      </c>
      <c r="K16" s="33" t="s">
        <v>20</v>
      </c>
      <c r="L16" s="34">
        <v>64.004989800000004</v>
      </c>
      <c r="M16" s="38" t="str">
        <f>IFERROR(RIGHT(Tabla2267[[#This Row],[Unidades indicador producción]], LEN(Tabla2267[[#This Row],[Unidades indicador producción]])-FIND("/", Tabla2267[[#This Row],[Unidades indicador producción]])), "")</f>
        <v>Ha</v>
      </c>
      <c r="N16" s="39">
        <f>IF(Tabla2267[[#This Row],[Parámetro]]="Tn",Tabla2267[[#This Row],[Indicador]]*$B$6,Tabla2267[[#This Row],[Indicador]])</f>
        <v>64.004989800000004</v>
      </c>
      <c r="O16" s="38" t="str">
        <f t="shared" si="1"/>
        <v>MJ/Ha</v>
      </c>
      <c r="P16" s="36">
        <f>(Tabla2267[[#This Row],[Indicador área]]*$B$5)</f>
        <v>881924.75445420004</v>
      </c>
      <c r="Q16" s="101">
        <f>+Tabla2267[[#This Row],[Consumo energía '[MJ/año']]]/$P$9</f>
        <v>5.3219708835716114E-3</v>
      </c>
      <c r="R16" s="36">
        <f>IF(Tabla2267[[#This Row],[Energético]]="Energía Eléctrica",((Tabla2267[[#This Row],[Participación]]*$D$29)/SUMIF(Tabla2267[Energético],"Energía Eléctrica",Tabla2267[Participación]))*$B$32,Tabla2267[[#This Row],[Consumo energía '[MJ/año']]])</f>
        <v>881924.75445420004</v>
      </c>
    </row>
    <row r="17" spans="1:18" x14ac:dyDescent="0.2">
      <c r="F17" s="32" t="s">
        <v>45</v>
      </c>
      <c r="G17" s="33" t="s">
        <v>13</v>
      </c>
      <c r="H17" s="33" t="s">
        <v>115</v>
      </c>
      <c r="I17" s="33" t="s">
        <v>3</v>
      </c>
      <c r="J17" s="33" t="s">
        <v>48</v>
      </c>
      <c r="K17" s="33" t="s">
        <v>20</v>
      </c>
      <c r="L17" s="34">
        <v>52.629370629999997</v>
      </c>
      <c r="M17" s="38" t="str">
        <f>IFERROR(RIGHT(Tabla2267[[#This Row],[Unidades indicador producción]], LEN(Tabla2267[[#This Row],[Unidades indicador producción]])-FIND("/", Tabla2267[[#This Row],[Unidades indicador producción]])), "")</f>
        <v>Ha</v>
      </c>
      <c r="N17" s="39">
        <f>IF(Tabla2267[[#This Row],[Parámetro]]="Tn",Tabla2267[[#This Row],[Indicador]]*$B$6,Tabla2267[[#This Row],[Indicador]])</f>
        <v>52.629370629999997</v>
      </c>
      <c r="O17" s="38" t="str">
        <f t="shared" si="1"/>
        <v>MJ/Ha</v>
      </c>
      <c r="P17" s="36">
        <f>(Tabla2267[[#This Row],[Indicador área]]*$B$5)</f>
        <v>725180.09791076998</v>
      </c>
      <c r="Q17" s="101">
        <f>+Tabla2267[[#This Row],[Consumo energía '[MJ/año']]]/$P$9</f>
        <v>4.3760959729667653E-3</v>
      </c>
      <c r="R17" s="36">
        <f>IF(Tabla2267[[#This Row],[Energético]]="Energía Eléctrica",((Tabla2267[[#This Row],[Participación]]*$D$29)/SUMIF(Tabla2267[Energético],"Energía Eléctrica",Tabla2267[Participación]))*$B$32,Tabla2267[[#This Row],[Consumo energía '[MJ/año']]])</f>
        <v>725180.09791076998</v>
      </c>
    </row>
    <row r="18" spans="1:18" x14ac:dyDescent="0.2">
      <c r="F18" s="32" t="s">
        <v>45</v>
      </c>
      <c r="G18" s="33" t="s">
        <v>13</v>
      </c>
      <c r="H18" s="33" t="s">
        <v>115</v>
      </c>
      <c r="I18" s="33" t="s">
        <v>4</v>
      </c>
      <c r="J18" s="33" t="s">
        <v>21</v>
      </c>
      <c r="K18" s="33" t="s">
        <v>20</v>
      </c>
      <c r="L18" s="34">
        <v>293.71778920000003</v>
      </c>
      <c r="M18" s="38" t="str">
        <f>IFERROR(RIGHT(Tabla2267[[#This Row],[Unidades indicador producción]], LEN(Tabla2267[[#This Row],[Unidades indicador producción]])-FIND("/", Tabla2267[[#This Row],[Unidades indicador producción]])), "")</f>
        <v>Ha</v>
      </c>
      <c r="N18" s="39">
        <f>IF(Tabla2267[[#This Row],[Parámetro]]="Tn",Tabla2267[[#This Row],[Indicador]]*$B$6,Tabla2267[[#This Row],[Indicador]])</f>
        <v>293.71778920000003</v>
      </c>
      <c r="O18" s="38" t="str">
        <f t="shared" si="1"/>
        <v>MJ/Ha</v>
      </c>
      <c r="P18" s="36">
        <f>(Tabla2267[[#This Row],[Indicador área]]*$B$5)</f>
        <v>4047137.4173868005</v>
      </c>
      <c r="Q18" s="101">
        <f>+Tabla2267[[#This Row],[Consumo energía '[MJ/año']]]/$P$9</f>
        <v>2.4422432172771388E-2</v>
      </c>
      <c r="R18" s="36">
        <f>IF(Tabla2267[[#This Row],[Energético]]="Energía Eléctrica",((Tabla2267[[#This Row],[Participación]]*$D$29)/SUMIF(Tabla2267[Energético],"Energía Eléctrica",Tabla2267[Participación]))*$B$32,Tabla2267[[#This Row],[Consumo energía '[MJ/año']]])</f>
        <v>4047137.4173868005</v>
      </c>
    </row>
    <row r="19" spans="1:18" x14ac:dyDescent="0.2">
      <c r="F19" s="32" t="s">
        <v>45</v>
      </c>
      <c r="G19" s="33" t="s">
        <v>49</v>
      </c>
      <c r="H19" s="33" t="s">
        <v>115</v>
      </c>
      <c r="I19" s="33" t="s">
        <v>4</v>
      </c>
      <c r="J19" s="33" t="s">
        <v>50</v>
      </c>
      <c r="K19" s="33" t="s">
        <v>20</v>
      </c>
      <c r="L19" s="34">
        <v>2125.346438</v>
      </c>
      <c r="M19" s="38" t="str">
        <f>IFERROR(RIGHT(Tabla2267[[#This Row],[Unidades indicador producción]], LEN(Tabla2267[[#This Row],[Unidades indicador producción]])-FIND("/", Tabla2267[[#This Row],[Unidades indicador producción]])), "")</f>
        <v>Ha</v>
      </c>
      <c r="N19" s="39">
        <f>IF(Tabla2267[[#This Row],[Parámetro]]="Tn",Tabla2267[[#This Row],[Indicador]]*$B$6,Tabla2267[[#This Row],[Indicador]])</f>
        <v>2125.346438</v>
      </c>
      <c r="O19" s="38" t="str">
        <f t="shared" si="1"/>
        <v>MJ/Ha</v>
      </c>
      <c r="P19" s="36">
        <f>(Tabla2267[[#This Row],[Indicador área]]*$B$5)</f>
        <v>29285148.569202002</v>
      </c>
      <c r="Q19" s="101">
        <f>+Tabla2267[[#This Row],[Consumo energía '[MJ/año']]]/$P$9</f>
        <v>0.17672109465032113</v>
      </c>
      <c r="R19" s="36">
        <f>IF(Tabla2267[[#This Row],[Energético]]="Energía Eléctrica",((Tabla2267[[#This Row],[Participación]]*$D$29)/SUMIF(Tabla2267[Energético],"Energía Eléctrica",Tabla2267[Participación]))*$B$32,Tabla2267[[#This Row],[Consumo energía '[MJ/año']]])</f>
        <v>29285148.569202002</v>
      </c>
    </row>
    <row r="20" spans="1:18" x14ac:dyDescent="0.2">
      <c r="F20" s="32" t="s">
        <v>45</v>
      </c>
      <c r="G20" s="33" t="s">
        <v>51</v>
      </c>
      <c r="H20" s="33" t="s">
        <v>115</v>
      </c>
      <c r="I20" s="33" t="s">
        <v>3</v>
      </c>
      <c r="J20" s="33" t="s">
        <v>52</v>
      </c>
      <c r="K20" s="33" t="s">
        <v>20</v>
      </c>
      <c r="L20" s="34">
        <v>578.92307689999996</v>
      </c>
      <c r="M20" s="38" t="str">
        <f>IFERROR(RIGHT(Tabla2267[[#This Row],[Unidades indicador producción]], LEN(Tabla2267[[#This Row],[Unidades indicador producción]])-FIND("/", Tabla2267[[#This Row],[Unidades indicador producción]])), "")</f>
        <v>Ha</v>
      </c>
      <c r="N20" s="39">
        <f>IF(Tabla2267[[#This Row],[Parámetro]]="Tn",Tabla2267[[#This Row],[Indicador]]*$B$6,Tabla2267[[#This Row],[Indicador]])</f>
        <v>578.92307689999996</v>
      </c>
      <c r="O20" s="38" t="str">
        <f t="shared" si="1"/>
        <v>MJ/Ha</v>
      </c>
      <c r="P20" s="36">
        <f>(Tabla2267[[#This Row],[Indicador área]]*$B$5)</f>
        <v>7976981.0766050993</v>
      </c>
      <c r="Q20" s="101">
        <f>+Tabla2267[[#This Row],[Consumo energía '[MJ/año']]]/$P$9</f>
        <v>4.8137055700139937E-2</v>
      </c>
      <c r="R20" s="36">
        <f>IF(Tabla2267[[#This Row],[Energético]]="Energía Eléctrica",((Tabla2267[[#This Row],[Participación]]*$D$29)/SUMIF(Tabla2267[Energético],"Energía Eléctrica",Tabla2267[Participación]))*$B$32,Tabla2267[[#This Row],[Consumo energía '[MJ/año']]])</f>
        <v>7976981.0766050993</v>
      </c>
    </row>
    <row r="21" spans="1:18" x14ac:dyDescent="0.2">
      <c r="F21" s="32" t="s">
        <v>45</v>
      </c>
      <c r="G21" s="33" t="s">
        <v>14</v>
      </c>
      <c r="H21" s="33" t="s">
        <v>115</v>
      </c>
      <c r="I21" s="33" t="s">
        <v>3</v>
      </c>
      <c r="J21" s="33" t="s">
        <v>52</v>
      </c>
      <c r="K21" s="33" t="s">
        <v>20</v>
      </c>
      <c r="L21" s="34">
        <v>845.43540780000001</v>
      </c>
      <c r="M21" s="38" t="str">
        <f>IFERROR(RIGHT(Tabla2267[[#This Row],[Unidades indicador producción]], LEN(Tabla2267[[#This Row],[Unidades indicador producción]])-FIND("/", Tabla2267[[#This Row],[Unidades indicador producción]])), "")</f>
        <v>Ha</v>
      </c>
      <c r="N21" s="39">
        <f>IF(Tabla2267[[#This Row],[Parámetro]]="Tn",Tabla2267[[#This Row],[Indicador]]*$B$6,Tabla2267[[#This Row],[Indicador]])</f>
        <v>845.43540780000001</v>
      </c>
      <c r="O21" s="38" t="str">
        <f t="shared" si="1"/>
        <v>MJ/Ha</v>
      </c>
      <c r="P21" s="36">
        <f>(Tabla2267[[#This Row],[Indicador área]]*$B$5)</f>
        <v>11649254.4840762</v>
      </c>
      <c r="Q21" s="101">
        <f>+Tabla2267[[#This Row],[Consumo energía '[MJ/año']]]/$P$9</f>
        <v>7.029737272533855E-2</v>
      </c>
      <c r="R21" s="36">
        <f>IF(Tabla2267[[#This Row],[Energético]]="Energía Eléctrica",((Tabla2267[[#This Row],[Participación]]*$D$29)/SUMIF(Tabla2267[Energético],"Energía Eléctrica",Tabla2267[Participación]))*$B$32,Tabla2267[[#This Row],[Consumo energía '[MJ/año']]])</f>
        <v>11649254.4840762</v>
      </c>
    </row>
    <row r="22" spans="1:18" x14ac:dyDescent="0.2">
      <c r="F22" s="32" t="s">
        <v>45</v>
      </c>
      <c r="G22" s="33" t="s">
        <v>14</v>
      </c>
      <c r="H22" s="33" t="s">
        <v>115</v>
      </c>
      <c r="I22" s="33" t="s">
        <v>3</v>
      </c>
      <c r="J22" s="33" t="s">
        <v>22</v>
      </c>
      <c r="K22" s="33" t="s">
        <v>20</v>
      </c>
      <c r="L22" s="34">
        <v>539.45104900000001</v>
      </c>
      <c r="M22" s="38" t="str">
        <f>IFERROR(RIGHT(Tabla2267[[#This Row],[Unidades indicador producción]], LEN(Tabla2267[[#This Row],[Unidades indicador producción]])-FIND("/", Tabla2267[[#This Row],[Unidades indicador producción]])), "")</f>
        <v>Ha</v>
      </c>
      <c r="N22" s="39">
        <f>IF(Tabla2267[[#This Row],[Parámetro]]="Tn",Tabla2267[[#This Row],[Indicador]]*$B$6,Tabla2267[[#This Row],[Indicador]])</f>
        <v>539.45104900000001</v>
      </c>
      <c r="O22" s="38" t="str">
        <f t="shared" si="1"/>
        <v>MJ/Ha</v>
      </c>
      <c r="P22" s="36">
        <f>(Tabla2267[[#This Row],[Indicador área]]*$B$5)</f>
        <v>7433096.0041709999</v>
      </c>
      <c r="Q22" s="101">
        <f>+Tabla2267[[#This Row],[Consumo energía '[MJ/año']]]/$P$9</f>
        <v>4.4854983726443191E-2</v>
      </c>
      <c r="R22" s="36">
        <f>IF(Tabla2267[[#This Row],[Energético]]="Energía Eléctrica",((Tabla2267[[#This Row],[Participación]]*$D$29)/SUMIF(Tabla2267[Energético],"Energía Eléctrica",Tabla2267[Participación]))*$B$32,Tabla2267[[#This Row],[Consumo energía '[MJ/año']]])</f>
        <v>7433096.0041709999</v>
      </c>
    </row>
    <row r="23" spans="1:18" x14ac:dyDescent="0.2">
      <c r="F23" s="32" t="s">
        <v>45</v>
      </c>
      <c r="G23" s="33" t="s">
        <v>14</v>
      </c>
      <c r="H23" s="33" t="s">
        <v>115</v>
      </c>
      <c r="I23" s="33" t="s">
        <v>3</v>
      </c>
      <c r="J23" s="33" t="s">
        <v>53</v>
      </c>
      <c r="K23" s="33" t="s">
        <v>20</v>
      </c>
      <c r="L23" s="34">
        <v>456.45857990000002</v>
      </c>
      <c r="M23" s="38" t="str">
        <f>IFERROR(RIGHT(Tabla2267[[#This Row],[Unidades indicador producción]], LEN(Tabla2267[[#This Row],[Unidades indicador producción]])-FIND("/", Tabla2267[[#This Row],[Unidades indicador producción]])), "")</f>
        <v>Ha</v>
      </c>
      <c r="N23" s="39">
        <f>IF(Tabla2267[[#This Row],[Parámetro]]="Tn",Tabla2267[[#This Row],[Indicador]]*$B$6,Tabla2267[[#This Row],[Indicador]])</f>
        <v>456.45857990000002</v>
      </c>
      <c r="O23" s="38" t="str">
        <f t="shared" si="1"/>
        <v>MJ/Ha</v>
      </c>
      <c r="P23" s="36">
        <f>(Tabla2267[[#This Row],[Indicador área]]*$B$5)</f>
        <v>6289542.7724421006</v>
      </c>
      <c r="Q23" s="101">
        <f>+Tabla2267[[#This Row],[Consumo energía '[MJ/año']]]/$P$9</f>
        <v>3.7954216997379261E-2</v>
      </c>
      <c r="R23" s="36">
        <f>IF(Tabla2267[[#This Row],[Energético]]="Energía Eléctrica",((Tabla2267[[#This Row],[Participación]]*$D$29)/SUMIF(Tabla2267[Energético],"Energía Eléctrica",Tabla2267[Participación]))*$B$32,Tabla2267[[#This Row],[Consumo energía '[MJ/año']]])</f>
        <v>6289542.7724421006</v>
      </c>
    </row>
    <row r="24" spans="1:18" x14ac:dyDescent="0.2">
      <c r="F24" s="32" t="s">
        <v>45</v>
      </c>
      <c r="G24" s="33" t="s">
        <v>14</v>
      </c>
      <c r="H24" s="33" t="s">
        <v>115</v>
      </c>
      <c r="I24" s="33" t="s">
        <v>3</v>
      </c>
      <c r="J24" s="33" t="s">
        <v>54</v>
      </c>
      <c r="K24" s="33" t="s">
        <v>20</v>
      </c>
      <c r="L24" s="34">
        <v>379.9182692</v>
      </c>
      <c r="M24" s="38" t="str">
        <f>IFERROR(RIGHT(Tabla2267[[#This Row],[Unidades indicador producción]], LEN(Tabla2267[[#This Row],[Unidades indicador producción]])-FIND("/", Tabla2267[[#This Row],[Unidades indicador producción]])), "")</f>
        <v>Ha</v>
      </c>
      <c r="N24" s="39">
        <f>IF(Tabla2267[[#This Row],[Parámetro]]="Tn",Tabla2267[[#This Row],[Indicador]]*$B$6,Tabla2267[[#This Row],[Indicador]])</f>
        <v>379.9182692</v>
      </c>
      <c r="O24" s="38" t="str">
        <f t="shared" si="1"/>
        <v>MJ/Ha</v>
      </c>
      <c r="P24" s="36">
        <f>(Tabla2267[[#This Row],[Indicador área]]*$B$5)</f>
        <v>5234893.8313068002</v>
      </c>
      <c r="Q24" s="101">
        <f>+Tabla2267[[#This Row],[Consumo energía '[MJ/año']]]/$P$9</f>
        <v>3.1589942801917632E-2</v>
      </c>
      <c r="R24" s="36">
        <f>IF(Tabla2267[[#This Row],[Energético]]="Energía Eléctrica",((Tabla2267[[#This Row],[Participación]]*$D$29)/SUMIF(Tabla2267[Energético],"Energía Eléctrica",Tabla2267[Participación]))*$B$32,Tabla2267[[#This Row],[Consumo energía '[MJ/año']]])</f>
        <v>5234893.8313068002</v>
      </c>
    </row>
    <row r="25" spans="1:18" x14ac:dyDescent="0.2">
      <c r="F25" s="32" t="s">
        <v>45</v>
      </c>
      <c r="G25" s="33" t="s">
        <v>14</v>
      </c>
      <c r="H25" s="33" t="s">
        <v>115</v>
      </c>
      <c r="I25" s="33" t="s">
        <v>3</v>
      </c>
      <c r="J25" s="33" t="s">
        <v>55</v>
      </c>
      <c r="K25" s="33" t="s">
        <v>20</v>
      </c>
      <c r="L25" s="34">
        <v>379.9182692</v>
      </c>
      <c r="M25" s="38" t="str">
        <f>IFERROR(RIGHT(Tabla2267[[#This Row],[Unidades indicador producción]], LEN(Tabla2267[[#This Row],[Unidades indicador producción]])-FIND("/", Tabla2267[[#This Row],[Unidades indicador producción]])), "")</f>
        <v>Ha</v>
      </c>
      <c r="N25" s="39">
        <f>IF(Tabla2267[[#This Row],[Parámetro]]="Tn",Tabla2267[[#This Row],[Indicador]]*$B$6,Tabla2267[[#This Row],[Indicador]])</f>
        <v>379.9182692</v>
      </c>
      <c r="O25" s="38" t="str">
        <f t="shared" ref="O25:O30" si="2">"MJ/Ha"</f>
        <v>MJ/Ha</v>
      </c>
      <c r="P25" s="36">
        <f>(Tabla2267[[#This Row],[Indicador área]]*$B$5)</f>
        <v>5234893.8313068002</v>
      </c>
      <c r="Q25" s="101">
        <f>+Tabla2267[[#This Row],[Consumo energía '[MJ/año']]]/$P$9</f>
        <v>3.1589942801917632E-2</v>
      </c>
      <c r="R25" s="36">
        <f>IF(Tabla2267[[#This Row],[Energético]]="Energía Eléctrica",((Tabla2267[[#This Row],[Participación]]*$D$29)/SUMIF(Tabla2267[Energético],"Energía Eléctrica",Tabla2267[Participación]))*$B$32,Tabla2267[[#This Row],[Consumo energía '[MJ/año']]])</f>
        <v>5234893.8313068002</v>
      </c>
    </row>
    <row r="26" spans="1:18" ht="15.75" x14ac:dyDescent="0.25">
      <c r="A26" s="57" t="s">
        <v>28</v>
      </c>
      <c r="B26" s="57"/>
      <c r="C26" s="57"/>
      <c r="D26" s="57"/>
      <c r="F26" s="32" t="s">
        <v>45</v>
      </c>
      <c r="G26" s="33" t="s">
        <v>14</v>
      </c>
      <c r="H26" s="33" t="s">
        <v>115</v>
      </c>
      <c r="I26" s="33" t="s">
        <v>4</v>
      </c>
      <c r="J26" s="33" t="s">
        <v>61</v>
      </c>
      <c r="K26" s="33" t="s">
        <v>20</v>
      </c>
      <c r="L26" s="34">
        <v>723.13090420000003</v>
      </c>
      <c r="M26" s="38" t="str">
        <f>IFERROR(RIGHT(Tabla2267[[#This Row],[Unidades indicador producción]], LEN(Tabla2267[[#This Row],[Unidades indicador producción]])-FIND("/", Tabla2267[[#This Row],[Unidades indicador producción]])), "")</f>
        <v>Ha</v>
      </c>
      <c r="N26" s="39">
        <f>IF(Tabla2267[[#This Row],[Parámetro]]="Tn",Tabla2267[[#This Row],[Indicador]]*$B$6,Tabla2267[[#This Row],[Indicador]])</f>
        <v>723.13090420000003</v>
      </c>
      <c r="O26" s="38" t="str">
        <f t="shared" si="2"/>
        <v>MJ/Ha</v>
      </c>
      <c r="P26" s="36">
        <f>(Tabla2267[[#This Row],[Indicador área]]*$B$5)</f>
        <v>9964020.7289717998</v>
      </c>
      <c r="Q26" s="101">
        <f>+Tabla2267[[#This Row],[Consumo energía '[MJ/año']]]/$P$9</f>
        <v>6.0127837363755231E-2</v>
      </c>
      <c r="R26" s="36">
        <f>IF(Tabla2267[[#This Row],[Energético]]="Energía Eléctrica",((Tabla2267[[#This Row],[Participación]]*$D$29)/SUMIF(Tabla2267[Energético],"Energía Eléctrica",Tabla2267[Participación]))*$B$32,Tabla2267[[#This Row],[Consumo energía '[MJ/año']]])</f>
        <v>9964020.7289717998</v>
      </c>
    </row>
    <row r="27" spans="1:18" x14ac:dyDescent="0.2">
      <c r="F27" s="32" t="s">
        <v>45</v>
      </c>
      <c r="G27" s="33" t="s">
        <v>14</v>
      </c>
      <c r="H27" s="33" t="s">
        <v>115</v>
      </c>
      <c r="I27" s="33" t="s">
        <v>4</v>
      </c>
      <c r="J27" s="33" t="s">
        <v>47</v>
      </c>
      <c r="K27" s="33" t="s">
        <v>20</v>
      </c>
      <c r="L27" s="34">
        <v>2930.1866850000001</v>
      </c>
      <c r="M27" s="38" t="str">
        <f>IFERROR(RIGHT(Tabla2267[[#This Row],[Unidades indicador producción]], LEN(Tabla2267[[#This Row],[Unidades indicador producción]])-FIND("/", Tabla2267[[#This Row],[Unidades indicador producción]])), "")</f>
        <v>Ha</v>
      </c>
      <c r="N27" s="39">
        <f>IF(Tabla2267[[#This Row],[Parámetro]]="Tn",Tabla2267[[#This Row],[Indicador]]*$B$6,Tabla2267[[#This Row],[Indicador]])</f>
        <v>2930.1866850000001</v>
      </c>
      <c r="O27" s="38" t="str">
        <f t="shared" si="2"/>
        <v>MJ/Ha</v>
      </c>
      <c r="P27" s="36">
        <f>(Tabla2267[[#This Row],[Indicador área]]*$B$5)</f>
        <v>40375042.332615003</v>
      </c>
      <c r="Q27" s="101">
        <f>+Tabla2267[[#This Row],[Consumo energía '[MJ/año']]]/$P$9</f>
        <v>0.2436430076737427</v>
      </c>
      <c r="R27" s="36">
        <f>IF(Tabla2267[[#This Row],[Energético]]="Energía Eléctrica",((Tabla2267[[#This Row],[Participación]]*$D$29)/SUMIF(Tabla2267[Energético],"Energía Eléctrica",Tabla2267[Participación]))*$B$32,Tabla2267[[#This Row],[Consumo energía '[MJ/año']]])</f>
        <v>40375042.332615003</v>
      </c>
    </row>
    <row r="28" spans="1:18" x14ac:dyDescent="0.2">
      <c r="A28" s="9" t="s">
        <v>0</v>
      </c>
      <c r="B28" s="9" t="s">
        <v>32</v>
      </c>
      <c r="C28" s="9" t="s">
        <v>33</v>
      </c>
      <c r="D28" s="9" t="s">
        <v>1</v>
      </c>
      <c r="F28" s="32" t="s">
        <v>45</v>
      </c>
      <c r="G28" s="33" t="s">
        <v>15</v>
      </c>
      <c r="H28" s="33" t="s">
        <v>115</v>
      </c>
      <c r="I28" s="33" t="s">
        <v>3</v>
      </c>
      <c r="J28" s="33" t="s">
        <v>23</v>
      </c>
      <c r="K28" s="33" t="s">
        <v>20</v>
      </c>
      <c r="L28" s="34">
        <v>111.08721319999999</v>
      </c>
      <c r="M28" s="38" t="str">
        <f>IFERROR(RIGHT(Tabla2267[[#This Row],[Unidades indicador producción]], LEN(Tabla2267[[#This Row],[Unidades indicador producción]])-FIND("/", Tabla2267[[#This Row],[Unidades indicador producción]])), "")</f>
        <v>Ha</v>
      </c>
      <c r="N28" s="39">
        <f>IF(Tabla2267[[#This Row],[Parámetro]]="Tn",Tabla2267[[#This Row],[Indicador]]*$B$6,Tabla2267[[#This Row],[Indicador]])</f>
        <v>111.08721319999999</v>
      </c>
      <c r="O28" s="38" t="str">
        <f t="shared" si="2"/>
        <v>MJ/Ha</v>
      </c>
      <c r="P28" s="36">
        <f>(Tabla2267[[#This Row],[Indicador área]]*$B$5)</f>
        <v>1530670.7106827998</v>
      </c>
      <c r="Q28" s="101">
        <f>+Tabla2267[[#This Row],[Consumo energía '[MJ/año']]]/$P$9</f>
        <v>9.2368253793161589E-3</v>
      </c>
      <c r="R28" s="36">
        <f>IF(Tabla2267[[#This Row],[Energético]]="Energía Eléctrica",((Tabla2267[[#This Row],[Participación]]*$D$29)/SUMIF(Tabla2267[Energético],"Energía Eléctrica",Tabla2267[Participación]))*$B$32,Tabla2267[[#This Row],[Consumo energía '[MJ/año']]])</f>
        <v>1530670.7106827998</v>
      </c>
    </row>
    <row r="29" spans="1:18" x14ac:dyDescent="0.2">
      <c r="A29" s="40" t="s">
        <v>2</v>
      </c>
      <c r="B29" s="27">
        <f>+B8</f>
        <v>219734.4432744497</v>
      </c>
      <c r="C29" s="41">
        <f>B29/1000000</f>
        <v>0.21973444327444971</v>
      </c>
      <c r="D29" s="10">
        <f>B29/$B$32</f>
        <v>1.3472290376977717E-3</v>
      </c>
      <c r="F29" s="32" t="s">
        <v>45</v>
      </c>
      <c r="G29" s="33" t="s">
        <v>15</v>
      </c>
      <c r="H29" s="33" t="s">
        <v>115</v>
      </c>
      <c r="I29" s="33" t="s">
        <v>3</v>
      </c>
      <c r="J29" s="33" t="s">
        <v>56</v>
      </c>
      <c r="K29" s="33" t="s">
        <v>20</v>
      </c>
      <c r="L29" s="34">
        <v>113.0709135</v>
      </c>
      <c r="M29" s="38" t="str">
        <f>IFERROR(RIGHT(Tabla2267[[#This Row],[Unidades indicador producción]], LEN(Tabla2267[[#This Row],[Unidades indicador producción]])-FIND("/", Tabla2267[[#This Row],[Unidades indicador producción]])), "")</f>
        <v>Ha</v>
      </c>
      <c r="N29" s="39">
        <f>IF(Tabla2267[[#This Row],[Parámetro]]="Tn",Tabla2267[[#This Row],[Indicador]]*$B$6,Tabla2267[[#This Row],[Indicador]])</f>
        <v>113.0709135</v>
      </c>
      <c r="O29" s="38" t="str">
        <f t="shared" si="2"/>
        <v>MJ/Ha</v>
      </c>
      <c r="P29" s="36">
        <f>(Tabla2267[[#This Row],[Indicador área]]*$B$5)</f>
        <v>1558004.1171165002</v>
      </c>
      <c r="Q29" s="101">
        <f>+Tabla2267[[#This Row],[Consumo energía '[MJ/año']]]/$P$9</f>
        <v>9.4017686950064062E-3</v>
      </c>
      <c r="R29" s="36">
        <f>IF(Tabla2267[[#This Row],[Energético]]="Energía Eléctrica",((Tabla2267[[#This Row],[Participación]]*$D$29)/SUMIF(Tabla2267[Energético],"Energía Eléctrica",Tabla2267[Participación]))*$B$32,Tabla2267[[#This Row],[Consumo energía '[MJ/año']]])</f>
        <v>1558004.1171165002</v>
      </c>
    </row>
    <row r="30" spans="1:18" x14ac:dyDescent="0.2">
      <c r="A30" s="40" t="s">
        <v>3</v>
      </c>
      <c r="B30" s="27">
        <f>SUMIF(Tabla2267[Energético],A30,Tabla2267[Consumo energía '[MJ/año']])</f>
        <v>50253740.821700916</v>
      </c>
      <c r="C30" s="41">
        <f t="shared" ref="C30:C31" si="3">B30/1000000</f>
        <v>50.253740821700916</v>
      </c>
      <c r="D30" s="10">
        <f>B30/$B$32</f>
        <v>0.3081141849180718</v>
      </c>
      <c r="F30" s="32" t="s">
        <v>45</v>
      </c>
      <c r="G30" s="33" t="s">
        <v>15</v>
      </c>
      <c r="H30" s="33" t="s">
        <v>115</v>
      </c>
      <c r="I30" s="33" t="s">
        <v>2</v>
      </c>
      <c r="J30" s="33" t="s">
        <v>23</v>
      </c>
      <c r="K30" s="33" t="s">
        <v>20</v>
      </c>
      <c r="L30" s="34">
        <v>97.576821330000001</v>
      </c>
      <c r="M30" s="38" t="str">
        <f>IFERROR(RIGHT(Tabla2267[[#This Row],[Unidades indicador producción]], LEN(Tabla2267[[#This Row],[Unidades indicador producción]])-FIND("/", Tabla2267[[#This Row],[Unidades indicador producción]])), "")</f>
        <v>Ha</v>
      </c>
      <c r="N30" s="39">
        <f>IF(Tabla2267[[#This Row],[Parámetro]]="Tn",Tabla2267[[#This Row],[Indicador]]*$B$6,Tabla2267[[#This Row],[Indicador]])</f>
        <v>97.576821330000001</v>
      </c>
      <c r="O30" s="38" t="str">
        <f t="shared" si="2"/>
        <v>MJ/Ha</v>
      </c>
      <c r="P30" s="36">
        <f>(Tabla2267[[#This Row],[Indicador área]]*$B$5)</f>
        <v>1344511.0211060699</v>
      </c>
      <c r="Q30" s="101">
        <f>+Tabla2267[[#This Row],[Consumo energía '[MJ/año']]]/$P$9</f>
        <v>8.1134455868584372E-3</v>
      </c>
      <c r="R30" s="36">
        <f>IF(Tabla2267[[#This Row],[Energético]]="Energía Eléctrica",((Tabla2267[[#This Row],[Participación]]*$D$29)/SUMIF(Tabla2267[Energético],"Energía Eléctrica",Tabla2267[Participación]))*$B$32,Tabla2267[[#This Row],[Consumo energía '[MJ/año']]])</f>
        <v>104296.72164752503</v>
      </c>
    </row>
    <row r="31" spans="1:18" x14ac:dyDescent="0.2">
      <c r="A31" s="40" t="s">
        <v>4</v>
      </c>
      <c r="B31" s="27">
        <f>SUMIF(Tabla2267[Energético],A31,Tabla2267[Consumo energía '[MJ/año']])</f>
        <v>112627554.4232991</v>
      </c>
      <c r="C31" s="41">
        <f t="shared" si="3"/>
        <v>112.6275544232991</v>
      </c>
      <c r="D31" s="10">
        <f>B31/$B$32</f>
        <v>0.69053858604423046</v>
      </c>
    </row>
    <row r="32" spans="1:18" x14ac:dyDescent="0.2">
      <c r="A32" s="65" t="s">
        <v>107</v>
      </c>
      <c r="B32" s="66">
        <f>SUM(B29:B31)</f>
        <v>163101029.68827447</v>
      </c>
      <c r="C32" s="66">
        <f t="shared" ref="C32:D32" si="4">SUM(C29:C31)</f>
        <v>163.10102968827448</v>
      </c>
      <c r="D32" s="67">
        <f t="shared" si="4"/>
        <v>1</v>
      </c>
    </row>
    <row r="34" spans="1:4" x14ac:dyDescent="0.2">
      <c r="C34" s="37"/>
      <c r="D34" s="37"/>
    </row>
    <row r="36" spans="1:4" ht="18" x14ac:dyDescent="0.25">
      <c r="A36" s="58" t="s">
        <v>35</v>
      </c>
      <c r="B36" s="58"/>
      <c r="C36" s="58"/>
    </row>
    <row r="37" spans="1:4" x14ac:dyDescent="0.2">
      <c r="A37" s="5" t="str">
        <f>+A4</f>
        <v>Grupo Homogeneo</v>
      </c>
      <c r="B37" s="5" t="s">
        <v>29</v>
      </c>
      <c r="C37" s="5" t="s">
        <v>30</v>
      </c>
    </row>
    <row r="38" spans="1:4" x14ac:dyDescent="0.2">
      <c r="A38" s="22" t="s">
        <v>59</v>
      </c>
      <c r="B38" s="21">
        <f>+B32/B5</f>
        <v>11836.92791118909</v>
      </c>
      <c r="C38" s="21">
        <f>B38/$B$6</f>
        <v>473.47711644756362</v>
      </c>
    </row>
  </sheetData>
  <mergeCells count="4">
    <mergeCell ref="A3:B3"/>
    <mergeCell ref="F8:L8"/>
    <mergeCell ref="A26:D26"/>
    <mergeCell ref="A36:C36"/>
  </mergeCells>
  <phoneticPr fontId="15" type="noConversion"/>
  <pageMargins left="0.7" right="0.7" top="0.75" bottom="0.75" header="0.3" footer="0.3"/>
  <pageSetup paperSize="9"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6DC7670-07FE-41FE-BA36-33D9734D60DA}">
          <x14:formula1>
            <xm:f>Participación!$A$1:$A$11</xm:f>
          </x14:formula1>
          <xm:sqref>A29:A31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FB5B92-2423-4C99-85EA-3C0F1D031F35}">
  <dimension ref="A1:R38"/>
  <sheetViews>
    <sheetView showGridLines="0" workbookViewId="0">
      <selection activeCell="A12" sqref="A12"/>
    </sheetView>
  </sheetViews>
  <sheetFormatPr baseColWidth="10" defaultRowHeight="12.75" x14ac:dyDescent="0.2"/>
  <cols>
    <col min="1" max="1" width="28.28515625" style="26" customWidth="1"/>
    <col min="2" max="4" width="16.42578125" style="26" customWidth="1"/>
    <col min="5" max="5" width="11.42578125" style="26"/>
    <col min="6" max="6" width="22.85546875" style="26" bestFit="1" customWidth="1"/>
    <col min="7" max="8" width="24.5703125" style="26" customWidth="1"/>
    <col min="9" max="9" width="26.5703125" style="26" customWidth="1"/>
    <col min="10" max="10" width="17.7109375" style="26" bestFit="1" customWidth="1"/>
    <col min="11" max="11" width="19.7109375" style="26" customWidth="1"/>
    <col min="12" max="12" width="11.7109375" style="26" customWidth="1"/>
    <col min="13" max="13" width="11.42578125" style="26"/>
    <col min="14" max="14" width="15" style="26" customWidth="1"/>
    <col min="15" max="15" width="11.42578125" style="26"/>
    <col min="16" max="16" width="24.5703125" style="26" customWidth="1"/>
    <col min="17" max="17" width="11.42578125" style="26"/>
    <col min="18" max="18" width="23.7109375" style="26" customWidth="1"/>
    <col min="19" max="16384" width="11.42578125" style="26"/>
  </cols>
  <sheetData>
    <row r="1" spans="1:18" ht="18" x14ac:dyDescent="0.25">
      <c r="A1" s="8"/>
    </row>
    <row r="3" spans="1:18" ht="18" x14ac:dyDescent="0.2">
      <c r="A3" s="68" t="s">
        <v>119</v>
      </c>
      <c r="B3" s="69"/>
    </row>
    <row r="4" spans="1:18" x14ac:dyDescent="0.2">
      <c r="A4" s="3" t="s">
        <v>31</v>
      </c>
      <c r="B4" s="33" t="s">
        <v>58</v>
      </c>
    </row>
    <row r="5" spans="1:18" x14ac:dyDescent="0.2">
      <c r="A5" s="3" t="s">
        <v>5</v>
      </c>
      <c r="B5" s="34">
        <v>7347</v>
      </c>
      <c r="C5" s="11" t="s">
        <v>116</v>
      </c>
    </row>
    <row r="6" spans="1:18" x14ac:dyDescent="0.2">
      <c r="A6" s="3" t="s">
        <v>6</v>
      </c>
      <c r="B6" s="34">
        <v>31.53</v>
      </c>
      <c r="C6" s="11" t="s">
        <v>117</v>
      </c>
    </row>
    <row r="7" spans="1:18" ht="25.5" x14ac:dyDescent="0.2">
      <c r="A7" s="4" t="s">
        <v>7</v>
      </c>
      <c r="B7" s="34">
        <f>B13</f>
        <v>32545.277328974491</v>
      </c>
      <c r="C7" s="11" t="s">
        <v>118</v>
      </c>
    </row>
    <row r="8" spans="1:18" ht="26.25" x14ac:dyDescent="0.25">
      <c r="A8" s="4" t="s">
        <v>7</v>
      </c>
      <c r="B8" s="36">
        <f>+B7*3.6</f>
        <v>117162.99838430817</v>
      </c>
      <c r="C8" s="1"/>
      <c r="F8" s="57" t="s">
        <v>124</v>
      </c>
      <c r="G8" s="57"/>
      <c r="H8" s="57"/>
      <c r="I8" s="57"/>
      <c r="J8" s="57"/>
      <c r="K8" s="57"/>
      <c r="L8" s="57"/>
      <c r="P8" s="25"/>
      <c r="R8" s="6" t="s">
        <v>133</v>
      </c>
    </row>
    <row r="9" spans="1:18" ht="35.25" customHeight="1" x14ac:dyDescent="0.25">
      <c r="B9" s="46"/>
      <c r="K9" s="2" t="s">
        <v>27</v>
      </c>
      <c r="P9" s="7">
        <f>SUM(Tabla225[Consumo energía '[MJ/año']])</f>
        <v>88359119.271433458</v>
      </c>
      <c r="Q9" s="7"/>
      <c r="R9" s="102">
        <f>SUM(Tabla225[Consumo energía corregida '[MJ/año']])</f>
        <v>86965909.363506243</v>
      </c>
    </row>
    <row r="10" spans="1:18" s="28" customFormat="1" ht="25.5" x14ac:dyDescent="0.2">
      <c r="A10" s="19" t="s">
        <v>122</v>
      </c>
      <c r="B10" s="41">
        <v>170604</v>
      </c>
      <c r="F10" s="29" t="s">
        <v>8</v>
      </c>
      <c r="G10" s="30" t="s">
        <v>9</v>
      </c>
      <c r="H10" s="30" t="s">
        <v>114</v>
      </c>
      <c r="I10" s="30" t="s">
        <v>10</v>
      </c>
      <c r="J10" s="30" t="s">
        <v>16</v>
      </c>
      <c r="K10" s="31" t="s">
        <v>17</v>
      </c>
      <c r="L10" s="30" t="s">
        <v>18</v>
      </c>
      <c r="M10" s="30" t="s">
        <v>24</v>
      </c>
      <c r="N10" s="30" t="s">
        <v>25</v>
      </c>
      <c r="O10" s="30" t="s">
        <v>26</v>
      </c>
      <c r="P10" s="78" t="s">
        <v>128</v>
      </c>
      <c r="Q10" s="78" t="s">
        <v>1</v>
      </c>
      <c r="R10" s="78" t="s">
        <v>129</v>
      </c>
    </row>
    <row r="11" spans="1:18" x14ac:dyDescent="0.2">
      <c r="F11" s="32" t="s">
        <v>45</v>
      </c>
      <c r="G11" s="33" t="s">
        <v>11</v>
      </c>
      <c r="H11" s="33" t="s">
        <v>115</v>
      </c>
      <c r="I11" s="33" t="s">
        <v>3</v>
      </c>
      <c r="J11" s="33" t="s">
        <v>46</v>
      </c>
      <c r="K11" s="33" t="s">
        <v>20</v>
      </c>
      <c r="L11" s="34">
        <v>13.157342659999999</v>
      </c>
      <c r="M11" s="35" t="str">
        <f>IFERROR(RIGHT(Tabla225[[#This Row],[Unidades indicador producción]], LEN(Tabla225[[#This Row],[Unidades indicador producción]])-FIND("/", Tabla225[[#This Row],[Unidades indicador producción]])), "")</f>
        <v>Ha</v>
      </c>
      <c r="N11" s="36">
        <f>IF(Tabla225[[#This Row],[Parámetro]]="Tn",Tabla225[[#This Row],[Indicador]]*$B$6,Tabla225[[#This Row],[Indicador]])</f>
        <v>13.157342659999999</v>
      </c>
      <c r="O11" s="35" t="str">
        <f t="shared" ref="O11" si="0">"MJ/Ha"</f>
        <v>MJ/Ha</v>
      </c>
      <c r="P11" s="36">
        <f>(Tabla225[[#This Row],[Indicador área]]*$B$5)</f>
        <v>96666.996523019989</v>
      </c>
      <c r="Q11" s="101">
        <f>+Tabla225[[#This Row],[Consumo energía '[MJ/año']]]/$P$9</f>
        <v>1.0940239934495643E-3</v>
      </c>
      <c r="R11" s="36">
        <f>IF(Tabla225[[#This Row],[Energético]]="Energía Eléctrica",((Tabla225[[#This Row],[Participación]]*$D$29)/SUMIF(Tabla225[Energético],"Energía Eléctrica",Tabla225[Participación]))*$B$32,Tabla225[[#This Row],[Consumo energía '[MJ/año']]])</f>
        <v>96666.996523019989</v>
      </c>
    </row>
    <row r="12" spans="1:18" ht="25.5" x14ac:dyDescent="0.2">
      <c r="A12" s="60" t="s">
        <v>120</v>
      </c>
      <c r="B12" s="20">
        <v>689752</v>
      </c>
      <c r="F12" s="32" t="s">
        <v>45</v>
      </c>
      <c r="G12" s="33" t="s">
        <v>11</v>
      </c>
      <c r="H12" s="33" t="s">
        <v>115</v>
      </c>
      <c r="I12" s="33" t="s">
        <v>4</v>
      </c>
      <c r="J12" s="33" t="s">
        <v>47</v>
      </c>
      <c r="K12" s="33" t="s">
        <v>20</v>
      </c>
      <c r="L12" s="34">
        <v>1908.2621079999999</v>
      </c>
      <c r="M12" s="38" t="str">
        <f>IFERROR(RIGHT(Tabla225[[#This Row],[Unidades indicador producción]], LEN(Tabla225[[#This Row],[Unidades indicador producción]])-FIND("/", Tabla225[[#This Row],[Unidades indicador producción]])), "")</f>
        <v>Ha</v>
      </c>
      <c r="N12" s="39">
        <f>IF(Tabla225[[#This Row],[Parámetro]]="Tn",Tabla225[[#This Row],[Indicador]]*$B$6,Tabla225[[#This Row],[Indicador]])</f>
        <v>1908.2621079999999</v>
      </c>
      <c r="O12" s="38" t="str">
        <f t="shared" ref="O12:O30" si="1">"MJ/Ha"</f>
        <v>MJ/Ha</v>
      </c>
      <c r="P12" s="36">
        <f>(Tabla225[[#This Row],[Indicador área]]*$B$5)</f>
        <v>14020001.707475999</v>
      </c>
      <c r="Q12" s="101">
        <f>+Tabla225[[#This Row],[Consumo energía '[MJ/año']]]/$P$9</f>
        <v>0.15867068190672506</v>
      </c>
      <c r="R12" s="36">
        <f>IF(Tabla225[[#This Row],[Energético]]="Energía Eléctrica",((Tabla225[[#This Row],[Participación]]*$D$29)/SUMIF(Tabla225[Energético],"Energía Eléctrica",Tabla225[Participación]))*$B$32,Tabla225[[#This Row],[Consumo energía '[MJ/año']]])</f>
        <v>14020001.707475999</v>
      </c>
    </row>
    <row r="13" spans="1:18" ht="25.5" x14ac:dyDescent="0.2">
      <c r="A13" s="61" t="s">
        <v>134</v>
      </c>
      <c r="B13" s="20">
        <f>B12*Participación!J21</f>
        <v>32545.277328974491</v>
      </c>
      <c r="F13" s="32" t="s">
        <v>45</v>
      </c>
      <c r="G13" s="33" t="s">
        <v>12</v>
      </c>
      <c r="H13" s="33" t="s">
        <v>115</v>
      </c>
      <c r="I13" s="33" t="s">
        <v>3</v>
      </c>
      <c r="J13" s="33" t="s">
        <v>19</v>
      </c>
      <c r="K13" s="33" t="s">
        <v>20</v>
      </c>
      <c r="L13" s="34">
        <v>113.0709135</v>
      </c>
      <c r="M13" s="38" t="str">
        <f>IFERROR(RIGHT(Tabla225[[#This Row],[Unidades indicador producción]], LEN(Tabla225[[#This Row],[Unidades indicador producción]])-FIND("/", Tabla225[[#This Row],[Unidades indicador producción]])), "")</f>
        <v>Ha</v>
      </c>
      <c r="N13" s="39">
        <f>IF(Tabla225[[#This Row],[Parámetro]]="Tn",Tabla225[[#This Row],[Indicador]]*$B$6,Tabla225[[#This Row],[Indicador]])</f>
        <v>113.0709135</v>
      </c>
      <c r="O13" s="38" t="str">
        <f t="shared" si="1"/>
        <v>MJ/Ha</v>
      </c>
      <c r="P13" s="36">
        <f>(Tabla225[[#This Row],[Indicador área]]*$B$5)</f>
        <v>830732.00148450001</v>
      </c>
      <c r="Q13" s="101">
        <f>+Tabla225[[#This Row],[Consumo energía '[MJ/año']]]/$P$9</f>
        <v>9.4017686950064027E-3</v>
      </c>
      <c r="R13" s="36">
        <f>IF(Tabla225[[#This Row],[Energético]]="Energía Eléctrica",((Tabla225[[#This Row],[Participación]]*$D$29)/SUMIF(Tabla225[Energético],"Energía Eléctrica",Tabla225[Participación]))*$B$32,Tabla225[[#This Row],[Consumo energía '[MJ/año']]])</f>
        <v>830732.00148450001</v>
      </c>
    </row>
    <row r="14" spans="1:18" x14ac:dyDescent="0.2">
      <c r="F14" s="32" t="s">
        <v>45</v>
      </c>
      <c r="G14" s="33" t="s">
        <v>12</v>
      </c>
      <c r="H14" s="33" t="s">
        <v>115</v>
      </c>
      <c r="I14" s="33" t="s">
        <v>2</v>
      </c>
      <c r="J14" s="33" t="s">
        <v>19</v>
      </c>
      <c r="K14" s="33" t="s">
        <v>20</v>
      </c>
      <c r="L14" s="34">
        <v>108</v>
      </c>
      <c r="M14" s="38" t="str">
        <f>IFERROR(RIGHT(Tabla225[[#This Row],[Unidades indicador producción]], LEN(Tabla225[[#This Row],[Unidades indicador producción]])-FIND("/", Tabla225[[#This Row],[Unidades indicador producción]])), "")</f>
        <v>Ha</v>
      </c>
      <c r="N14" s="39">
        <f>IF(Tabla225[[#This Row],[Parámetro]]="Tn",Tabla225[[#This Row],[Indicador]]*$B$6,Tabla225[[#This Row],[Indicador]])</f>
        <v>108</v>
      </c>
      <c r="O14" s="38" t="str">
        <f t="shared" si="1"/>
        <v>MJ/Ha</v>
      </c>
      <c r="P14" s="36">
        <f>(Tabla225[[#This Row],[Indicador área]]*$B$5)</f>
        <v>793476</v>
      </c>
      <c r="Q14" s="101">
        <f>+Tabla225[[#This Row],[Consumo energía '[MJ/año']]]/$P$9</f>
        <v>8.98012572491237E-3</v>
      </c>
      <c r="R14" s="36">
        <f>IF(Tabla225[[#This Row],[Energético]]="Energía Eléctrica",((Tabla225[[#This Row],[Participación]]*$D$29)/SUMIF(Tabla225[Energético],"Energía Eléctrica",Tabla225[Participación]))*$B$32,Tabla225[[#This Row],[Consumo energía '[MJ/año']]])</f>
        <v>61551.704825677887</v>
      </c>
    </row>
    <row r="15" spans="1:18" x14ac:dyDescent="0.2">
      <c r="F15" s="32" t="s">
        <v>45</v>
      </c>
      <c r="G15" s="33" t="s">
        <v>12</v>
      </c>
      <c r="H15" s="33" t="s">
        <v>115</v>
      </c>
      <c r="I15" s="33" t="s">
        <v>4</v>
      </c>
      <c r="J15" s="33" t="s">
        <v>19</v>
      </c>
      <c r="K15" s="33" t="s">
        <v>20</v>
      </c>
      <c r="L15" s="34">
        <v>193.21153849999999</v>
      </c>
      <c r="M15" s="38" t="str">
        <f>IFERROR(RIGHT(Tabla225[[#This Row],[Unidades indicador producción]], LEN(Tabla225[[#This Row],[Unidades indicador producción]])-FIND("/", Tabla225[[#This Row],[Unidades indicador producción]])), "")</f>
        <v>Ha</v>
      </c>
      <c r="N15" s="39">
        <f>IF(Tabla225[[#This Row],[Parámetro]]="Tn",Tabla225[[#This Row],[Indicador]]*$B$6,Tabla225[[#This Row],[Indicador]])</f>
        <v>193.21153849999999</v>
      </c>
      <c r="O15" s="38" t="str">
        <f t="shared" si="1"/>
        <v>MJ/Ha</v>
      </c>
      <c r="P15" s="36">
        <f>(Tabla225[[#This Row],[Indicador área]]*$B$5)</f>
        <v>1419525.1733595</v>
      </c>
      <c r="Q15" s="101">
        <f>+Tabla225[[#This Row],[Consumo energía '[MJ/año']]]/$P$9</f>
        <v>1.6065406548460618E-2</v>
      </c>
      <c r="R15" s="36">
        <f>IF(Tabla225[[#This Row],[Energético]]="Energía Eléctrica",((Tabla225[[#This Row],[Participación]]*$D$29)/SUMIF(Tabla225[Energético],"Energía Eléctrica",Tabla225[Participación]))*$B$32,Tabla225[[#This Row],[Consumo energía '[MJ/año']]])</f>
        <v>1419525.1733595</v>
      </c>
    </row>
    <row r="16" spans="1:18" x14ac:dyDescent="0.2">
      <c r="F16" s="32" t="s">
        <v>45</v>
      </c>
      <c r="G16" s="33" t="s">
        <v>13</v>
      </c>
      <c r="H16" s="33" t="s">
        <v>115</v>
      </c>
      <c r="I16" s="33" t="s">
        <v>3</v>
      </c>
      <c r="J16" s="33" t="s">
        <v>21</v>
      </c>
      <c r="K16" s="33" t="s">
        <v>20</v>
      </c>
      <c r="L16" s="34">
        <v>64.004989800000004</v>
      </c>
      <c r="M16" s="38" t="str">
        <f>IFERROR(RIGHT(Tabla225[[#This Row],[Unidades indicador producción]], LEN(Tabla225[[#This Row],[Unidades indicador producción]])-FIND("/", Tabla225[[#This Row],[Unidades indicador producción]])), "")</f>
        <v>Ha</v>
      </c>
      <c r="N16" s="39">
        <f>IF(Tabla225[[#This Row],[Parámetro]]="Tn",Tabla225[[#This Row],[Indicador]]*$B$6,Tabla225[[#This Row],[Indicador]])</f>
        <v>64.004989800000004</v>
      </c>
      <c r="O16" s="38" t="str">
        <f t="shared" si="1"/>
        <v>MJ/Ha</v>
      </c>
      <c r="P16" s="36">
        <f>(Tabla225[[#This Row],[Indicador área]]*$B$5)</f>
        <v>470244.66006060003</v>
      </c>
      <c r="Q16" s="101">
        <f>+Tabla225[[#This Row],[Consumo energía '[MJ/año']]]/$P$9</f>
        <v>5.3219708835716105E-3</v>
      </c>
      <c r="R16" s="36">
        <f>IF(Tabla225[[#This Row],[Energético]]="Energía Eléctrica",((Tabla225[[#This Row],[Participación]]*$D$29)/SUMIF(Tabla225[Energético],"Energía Eléctrica",Tabla225[Participación]))*$B$32,Tabla225[[#This Row],[Consumo energía '[MJ/año']]])</f>
        <v>470244.66006060003</v>
      </c>
    </row>
    <row r="17" spans="1:18" x14ac:dyDescent="0.2">
      <c r="F17" s="32" t="s">
        <v>45</v>
      </c>
      <c r="G17" s="33" t="s">
        <v>13</v>
      </c>
      <c r="H17" s="33" t="s">
        <v>115</v>
      </c>
      <c r="I17" s="33" t="s">
        <v>3</v>
      </c>
      <c r="J17" s="33" t="s">
        <v>48</v>
      </c>
      <c r="K17" s="33" t="s">
        <v>20</v>
      </c>
      <c r="L17" s="34">
        <v>52.629370629999997</v>
      </c>
      <c r="M17" s="38" t="str">
        <f>IFERROR(RIGHT(Tabla225[[#This Row],[Unidades indicador producción]], LEN(Tabla225[[#This Row],[Unidades indicador producción]])-FIND("/", Tabla225[[#This Row],[Unidades indicador producción]])), "")</f>
        <v>Ha</v>
      </c>
      <c r="N17" s="39">
        <f>IF(Tabla225[[#This Row],[Parámetro]]="Tn",Tabla225[[#This Row],[Indicador]]*$B$6,Tabla225[[#This Row],[Indicador]])</f>
        <v>52.629370629999997</v>
      </c>
      <c r="O17" s="38" t="str">
        <f t="shared" si="1"/>
        <v>MJ/Ha</v>
      </c>
      <c r="P17" s="36">
        <f>(Tabla225[[#This Row],[Indicador área]]*$B$5)</f>
        <v>386667.98601860995</v>
      </c>
      <c r="Q17" s="101">
        <f>+Tabla225[[#This Row],[Consumo energía '[MJ/año']]]/$P$9</f>
        <v>4.3760959729667644E-3</v>
      </c>
      <c r="R17" s="36">
        <f>IF(Tabla225[[#This Row],[Energético]]="Energía Eléctrica",((Tabla225[[#This Row],[Participación]]*$D$29)/SUMIF(Tabla225[Energético],"Energía Eléctrica",Tabla225[Participación]))*$B$32,Tabla225[[#This Row],[Consumo energía '[MJ/año']]])</f>
        <v>386667.98601860995</v>
      </c>
    </row>
    <row r="18" spans="1:18" x14ac:dyDescent="0.2">
      <c r="F18" s="32" t="s">
        <v>45</v>
      </c>
      <c r="G18" s="33" t="s">
        <v>13</v>
      </c>
      <c r="H18" s="33" t="s">
        <v>115</v>
      </c>
      <c r="I18" s="33" t="s">
        <v>4</v>
      </c>
      <c r="J18" s="33" t="s">
        <v>21</v>
      </c>
      <c r="K18" s="33" t="s">
        <v>20</v>
      </c>
      <c r="L18" s="34">
        <v>293.71778920000003</v>
      </c>
      <c r="M18" s="38" t="str">
        <f>IFERROR(RIGHT(Tabla225[[#This Row],[Unidades indicador producción]], LEN(Tabla225[[#This Row],[Unidades indicador producción]])-FIND("/", Tabla225[[#This Row],[Unidades indicador producción]])), "")</f>
        <v>Ha</v>
      </c>
      <c r="N18" s="39">
        <f>IF(Tabla225[[#This Row],[Parámetro]]="Tn",Tabla225[[#This Row],[Indicador]]*$B$6,Tabla225[[#This Row],[Indicador]])</f>
        <v>293.71778920000003</v>
      </c>
      <c r="O18" s="38" t="str">
        <f t="shared" si="1"/>
        <v>MJ/Ha</v>
      </c>
      <c r="P18" s="36">
        <f>(Tabla225[[#This Row],[Indicador área]]*$B$5)</f>
        <v>2157944.5972524001</v>
      </c>
      <c r="Q18" s="101">
        <f>+Tabla225[[#This Row],[Consumo energía '[MJ/año']]]/$P$9</f>
        <v>2.4422432172771381E-2</v>
      </c>
      <c r="R18" s="36">
        <f>IF(Tabla225[[#This Row],[Energético]]="Energía Eléctrica",((Tabla225[[#This Row],[Participación]]*$D$29)/SUMIF(Tabla225[Energético],"Energía Eléctrica",Tabla225[Participación]))*$B$32,Tabla225[[#This Row],[Consumo energía '[MJ/año']]])</f>
        <v>2157944.5972524001</v>
      </c>
    </row>
    <row r="19" spans="1:18" x14ac:dyDescent="0.2">
      <c r="F19" s="32" t="s">
        <v>45</v>
      </c>
      <c r="G19" s="33" t="s">
        <v>49</v>
      </c>
      <c r="H19" s="33" t="s">
        <v>115</v>
      </c>
      <c r="I19" s="33" t="s">
        <v>4</v>
      </c>
      <c r="J19" s="33" t="s">
        <v>50</v>
      </c>
      <c r="K19" s="33" t="s">
        <v>20</v>
      </c>
      <c r="L19" s="34">
        <v>2125.346438</v>
      </c>
      <c r="M19" s="38" t="str">
        <f>IFERROR(RIGHT(Tabla225[[#This Row],[Unidades indicador producción]], LEN(Tabla225[[#This Row],[Unidades indicador producción]])-FIND("/", Tabla225[[#This Row],[Unidades indicador producción]])), "")</f>
        <v>Ha</v>
      </c>
      <c r="N19" s="39">
        <f>IF(Tabla225[[#This Row],[Parámetro]]="Tn",Tabla225[[#This Row],[Indicador]]*$B$6,Tabla225[[#This Row],[Indicador]])</f>
        <v>2125.346438</v>
      </c>
      <c r="O19" s="38" t="str">
        <f t="shared" si="1"/>
        <v>MJ/Ha</v>
      </c>
      <c r="P19" s="36">
        <f>(Tabla225[[#This Row],[Indicador área]]*$B$5)</f>
        <v>15614920.279986</v>
      </c>
      <c r="Q19" s="101">
        <f>+Tabla225[[#This Row],[Consumo energía '[MJ/año']]]/$P$9</f>
        <v>0.17672109465032107</v>
      </c>
      <c r="R19" s="36">
        <f>IF(Tabla225[[#This Row],[Energético]]="Energía Eléctrica",((Tabla225[[#This Row],[Participación]]*$D$29)/SUMIF(Tabla225[Energético],"Energía Eléctrica",Tabla225[Participación]))*$B$32,Tabla225[[#This Row],[Consumo energía '[MJ/año']]])</f>
        <v>15614920.279986</v>
      </c>
    </row>
    <row r="20" spans="1:18" x14ac:dyDescent="0.2">
      <c r="F20" s="32" t="s">
        <v>45</v>
      </c>
      <c r="G20" s="33" t="s">
        <v>51</v>
      </c>
      <c r="H20" s="33" t="s">
        <v>115</v>
      </c>
      <c r="I20" s="33" t="s">
        <v>3</v>
      </c>
      <c r="J20" s="33" t="s">
        <v>52</v>
      </c>
      <c r="K20" s="33" t="s">
        <v>20</v>
      </c>
      <c r="L20" s="34">
        <v>578.92307689999996</v>
      </c>
      <c r="M20" s="38" t="str">
        <f>IFERROR(RIGHT(Tabla225[[#This Row],[Unidades indicador producción]], LEN(Tabla225[[#This Row],[Unidades indicador producción]])-FIND("/", Tabla225[[#This Row],[Unidades indicador producción]])), "")</f>
        <v>Ha</v>
      </c>
      <c r="N20" s="39">
        <f>IF(Tabla225[[#This Row],[Parámetro]]="Tn",Tabla225[[#This Row],[Indicador]]*$B$6,Tabla225[[#This Row],[Indicador]])</f>
        <v>578.92307689999996</v>
      </c>
      <c r="O20" s="38" t="str">
        <f t="shared" si="1"/>
        <v>MJ/Ha</v>
      </c>
      <c r="P20" s="36">
        <f>(Tabla225[[#This Row],[Indicador área]]*$B$5)</f>
        <v>4253347.8459842997</v>
      </c>
      <c r="Q20" s="101">
        <f>+Tabla225[[#This Row],[Consumo energía '[MJ/año']]]/$P$9</f>
        <v>4.813705570013993E-2</v>
      </c>
      <c r="R20" s="36">
        <f>IF(Tabla225[[#This Row],[Energético]]="Energía Eléctrica",((Tabla225[[#This Row],[Participación]]*$D$29)/SUMIF(Tabla225[Energético],"Energía Eléctrica",Tabla225[Participación]))*$B$32,Tabla225[[#This Row],[Consumo energía '[MJ/año']]])</f>
        <v>4253347.8459842997</v>
      </c>
    </row>
    <row r="21" spans="1:18" x14ac:dyDescent="0.2">
      <c r="F21" s="32" t="s">
        <v>45</v>
      </c>
      <c r="G21" s="33" t="s">
        <v>14</v>
      </c>
      <c r="H21" s="33" t="s">
        <v>115</v>
      </c>
      <c r="I21" s="33" t="s">
        <v>3</v>
      </c>
      <c r="J21" s="33" t="s">
        <v>52</v>
      </c>
      <c r="K21" s="33" t="s">
        <v>20</v>
      </c>
      <c r="L21" s="34">
        <v>845.43540780000001</v>
      </c>
      <c r="M21" s="38" t="str">
        <f>IFERROR(RIGHT(Tabla225[[#This Row],[Unidades indicador producción]], LEN(Tabla225[[#This Row],[Unidades indicador producción]])-FIND("/", Tabla225[[#This Row],[Unidades indicador producción]])), "")</f>
        <v>Ha</v>
      </c>
      <c r="N21" s="39">
        <f>IF(Tabla225[[#This Row],[Parámetro]]="Tn",Tabla225[[#This Row],[Indicador]]*$B$6,Tabla225[[#This Row],[Indicador]])</f>
        <v>845.43540780000001</v>
      </c>
      <c r="O21" s="38" t="str">
        <f t="shared" si="1"/>
        <v>MJ/Ha</v>
      </c>
      <c r="P21" s="36">
        <f>(Tabla225[[#This Row],[Indicador área]]*$B$5)</f>
        <v>6211413.9411065998</v>
      </c>
      <c r="Q21" s="101">
        <f>+Tabla225[[#This Row],[Consumo energía '[MJ/año']]]/$P$9</f>
        <v>7.0297372725338522E-2</v>
      </c>
      <c r="R21" s="36">
        <f>IF(Tabla225[[#This Row],[Energético]]="Energía Eléctrica",((Tabla225[[#This Row],[Participación]]*$D$29)/SUMIF(Tabla225[Energético],"Energía Eléctrica",Tabla225[Participación]))*$B$32,Tabla225[[#This Row],[Consumo energía '[MJ/año']]])</f>
        <v>6211413.9411065998</v>
      </c>
    </row>
    <row r="22" spans="1:18" x14ac:dyDescent="0.2">
      <c r="F22" s="32" t="s">
        <v>45</v>
      </c>
      <c r="G22" s="33" t="s">
        <v>14</v>
      </c>
      <c r="H22" s="33" t="s">
        <v>115</v>
      </c>
      <c r="I22" s="33" t="s">
        <v>3</v>
      </c>
      <c r="J22" s="33" t="s">
        <v>22</v>
      </c>
      <c r="K22" s="33" t="s">
        <v>20</v>
      </c>
      <c r="L22" s="34">
        <v>539.45104900000001</v>
      </c>
      <c r="M22" s="38" t="str">
        <f>IFERROR(RIGHT(Tabla225[[#This Row],[Unidades indicador producción]], LEN(Tabla225[[#This Row],[Unidades indicador producción]])-FIND("/", Tabla225[[#This Row],[Unidades indicador producción]])), "")</f>
        <v>Ha</v>
      </c>
      <c r="N22" s="39">
        <f>IF(Tabla225[[#This Row],[Parámetro]]="Tn",Tabla225[[#This Row],[Indicador]]*$B$6,Tabla225[[#This Row],[Indicador]])</f>
        <v>539.45104900000001</v>
      </c>
      <c r="O22" s="38" t="str">
        <f t="shared" si="1"/>
        <v>MJ/Ha</v>
      </c>
      <c r="P22" s="36">
        <f>(Tabla225[[#This Row],[Indicador área]]*$B$5)</f>
        <v>3963346.8570030001</v>
      </c>
      <c r="Q22" s="101">
        <f>+Tabla225[[#This Row],[Consumo energía '[MJ/año']]]/$P$9</f>
        <v>4.4854983726443184E-2</v>
      </c>
      <c r="R22" s="36">
        <f>IF(Tabla225[[#This Row],[Energético]]="Energía Eléctrica",((Tabla225[[#This Row],[Participación]]*$D$29)/SUMIF(Tabla225[Energético],"Energía Eléctrica",Tabla225[Participación]))*$B$32,Tabla225[[#This Row],[Consumo energía '[MJ/año']]])</f>
        <v>3963346.8570030001</v>
      </c>
    </row>
    <row r="23" spans="1:18" x14ac:dyDescent="0.2">
      <c r="F23" s="32" t="s">
        <v>45</v>
      </c>
      <c r="G23" s="33" t="s">
        <v>14</v>
      </c>
      <c r="H23" s="33" t="s">
        <v>115</v>
      </c>
      <c r="I23" s="33" t="s">
        <v>3</v>
      </c>
      <c r="J23" s="33" t="s">
        <v>53</v>
      </c>
      <c r="K23" s="33" t="s">
        <v>20</v>
      </c>
      <c r="L23" s="34">
        <v>456.45857990000002</v>
      </c>
      <c r="M23" s="38" t="str">
        <f>IFERROR(RIGHT(Tabla225[[#This Row],[Unidades indicador producción]], LEN(Tabla225[[#This Row],[Unidades indicador producción]])-FIND("/", Tabla225[[#This Row],[Unidades indicador producción]])), "")</f>
        <v>Ha</v>
      </c>
      <c r="N23" s="39">
        <f>IF(Tabla225[[#This Row],[Parámetro]]="Tn",Tabla225[[#This Row],[Indicador]]*$B$6,Tabla225[[#This Row],[Indicador]])</f>
        <v>456.45857990000002</v>
      </c>
      <c r="O23" s="38" t="str">
        <f t="shared" si="1"/>
        <v>MJ/Ha</v>
      </c>
      <c r="P23" s="36">
        <f>(Tabla225[[#This Row],[Indicador área]]*$B$5)</f>
        <v>3353601.1865253001</v>
      </c>
      <c r="Q23" s="101">
        <f>+Tabla225[[#This Row],[Consumo energía '[MJ/año']]]/$P$9</f>
        <v>3.7954216997379248E-2</v>
      </c>
      <c r="R23" s="36">
        <f>IF(Tabla225[[#This Row],[Energético]]="Energía Eléctrica",((Tabla225[[#This Row],[Participación]]*$D$29)/SUMIF(Tabla225[Energético],"Energía Eléctrica",Tabla225[Participación]))*$B$32,Tabla225[[#This Row],[Consumo energía '[MJ/año']]])</f>
        <v>3353601.1865253001</v>
      </c>
    </row>
    <row r="24" spans="1:18" x14ac:dyDescent="0.2">
      <c r="F24" s="32" t="s">
        <v>45</v>
      </c>
      <c r="G24" s="33" t="s">
        <v>14</v>
      </c>
      <c r="H24" s="33" t="s">
        <v>115</v>
      </c>
      <c r="I24" s="33" t="s">
        <v>3</v>
      </c>
      <c r="J24" s="33" t="s">
        <v>54</v>
      </c>
      <c r="K24" s="33" t="s">
        <v>20</v>
      </c>
      <c r="L24" s="34">
        <v>379.9182692</v>
      </c>
      <c r="M24" s="38" t="str">
        <f>IFERROR(RIGHT(Tabla225[[#This Row],[Unidades indicador producción]], LEN(Tabla225[[#This Row],[Unidades indicador producción]])-FIND("/", Tabla225[[#This Row],[Unidades indicador producción]])), "")</f>
        <v>Ha</v>
      </c>
      <c r="N24" s="39">
        <f>IF(Tabla225[[#This Row],[Parámetro]]="Tn",Tabla225[[#This Row],[Indicador]]*$B$6,Tabla225[[#This Row],[Indicador]])</f>
        <v>379.9182692</v>
      </c>
      <c r="O24" s="38" t="str">
        <f t="shared" si="1"/>
        <v>MJ/Ha</v>
      </c>
      <c r="P24" s="36">
        <f>(Tabla225[[#This Row],[Indicador área]]*$B$5)</f>
        <v>2791259.5238124002</v>
      </c>
      <c r="Q24" s="101">
        <f>+Tabla225[[#This Row],[Consumo energía '[MJ/año']]]/$P$9</f>
        <v>3.1589942801917625E-2</v>
      </c>
      <c r="R24" s="36">
        <f>IF(Tabla225[[#This Row],[Energético]]="Energía Eléctrica",((Tabla225[[#This Row],[Participación]]*$D$29)/SUMIF(Tabla225[Energético],"Energía Eléctrica",Tabla225[Participación]))*$B$32,Tabla225[[#This Row],[Consumo energía '[MJ/año']]])</f>
        <v>2791259.5238124002</v>
      </c>
    </row>
    <row r="25" spans="1:18" x14ac:dyDescent="0.2">
      <c r="F25" s="32" t="s">
        <v>45</v>
      </c>
      <c r="G25" s="33" t="s">
        <v>14</v>
      </c>
      <c r="H25" s="33" t="s">
        <v>115</v>
      </c>
      <c r="I25" s="33" t="s">
        <v>3</v>
      </c>
      <c r="J25" s="33" t="s">
        <v>55</v>
      </c>
      <c r="K25" s="33" t="s">
        <v>20</v>
      </c>
      <c r="L25" s="34">
        <v>379.9182692</v>
      </c>
      <c r="M25" s="38" t="str">
        <f>IFERROR(RIGHT(Tabla225[[#This Row],[Unidades indicador producción]], LEN(Tabla225[[#This Row],[Unidades indicador producción]])-FIND("/", Tabla225[[#This Row],[Unidades indicador producción]])), "")</f>
        <v>Ha</v>
      </c>
      <c r="N25" s="39">
        <f>IF(Tabla225[[#This Row],[Parámetro]]="Tn",Tabla225[[#This Row],[Indicador]]*$B$6,Tabla225[[#This Row],[Indicador]])</f>
        <v>379.9182692</v>
      </c>
      <c r="O25" s="38" t="str">
        <f t="shared" si="1"/>
        <v>MJ/Ha</v>
      </c>
      <c r="P25" s="36">
        <f>(Tabla225[[#This Row],[Indicador área]]*$B$5)</f>
        <v>2791259.5238124002</v>
      </c>
      <c r="Q25" s="101">
        <f>+Tabla225[[#This Row],[Consumo energía '[MJ/año']]]/$P$9</f>
        <v>3.1589942801917625E-2</v>
      </c>
      <c r="R25" s="36">
        <f>IF(Tabla225[[#This Row],[Energético]]="Energía Eléctrica",((Tabla225[[#This Row],[Participación]]*$D$29)/SUMIF(Tabla225[Energético],"Energía Eléctrica",Tabla225[Participación]))*$B$32,Tabla225[[#This Row],[Consumo energía '[MJ/año']]])</f>
        <v>2791259.5238124002</v>
      </c>
    </row>
    <row r="26" spans="1:18" ht="15.75" x14ac:dyDescent="0.25">
      <c r="A26" s="57" t="s">
        <v>28</v>
      </c>
      <c r="B26" s="57"/>
      <c r="C26" s="57"/>
      <c r="D26" s="57"/>
      <c r="F26" s="32" t="s">
        <v>45</v>
      </c>
      <c r="G26" s="33" t="s">
        <v>14</v>
      </c>
      <c r="H26" s="33" t="s">
        <v>115</v>
      </c>
      <c r="I26" s="33" t="s">
        <v>4</v>
      </c>
      <c r="J26" s="33" t="s">
        <v>61</v>
      </c>
      <c r="K26" s="33" t="s">
        <v>20</v>
      </c>
      <c r="L26" s="34">
        <v>723.13090420000003</v>
      </c>
      <c r="M26" s="38" t="str">
        <f>IFERROR(RIGHT(Tabla225[[#This Row],[Unidades indicador producción]], LEN(Tabla225[[#This Row],[Unidades indicador producción]])-FIND("/", Tabla225[[#This Row],[Unidades indicador producción]])), "")</f>
        <v>Ha</v>
      </c>
      <c r="N26" s="39">
        <f>IF(Tabla225[[#This Row],[Parámetro]]="Tn",Tabla225[[#This Row],[Indicador]]*$B$6,Tabla225[[#This Row],[Indicador]])</f>
        <v>723.13090420000003</v>
      </c>
      <c r="O26" s="38" t="str">
        <f t="shared" si="1"/>
        <v>MJ/Ha</v>
      </c>
      <c r="P26" s="36">
        <f>(Tabla225[[#This Row],[Indicador área]]*$B$5)</f>
        <v>5312842.7531574005</v>
      </c>
      <c r="Q26" s="101">
        <f>+Tabla225[[#This Row],[Consumo energía '[MJ/año']]]/$P$9</f>
        <v>6.0127837363755217E-2</v>
      </c>
      <c r="R26" s="36">
        <f>IF(Tabla225[[#This Row],[Energético]]="Energía Eléctrica",((Tabla225[[#This Row],[Participación]]*$D$29)/SUMIF(Tabla225[Energético],"Energía Eléctrica",Tabla225[Participación]))*$B$32,Tabla225[[#This Row],[Consumo energía '[MJ/año']]])</f>
        <v>5312842.7531574005</v>
      </c>
    </row>
    <row r="27" spans="1:18" x14ac:dyDescent="0.2">
      <c r="F27" s="32" t="s">
        <v>45</v>
      </c>
      <c r="G27" s="33" t="s">
        <v>14</v>
      </c>
      <c r="H27" s="33" t="s">
        <v>115</v>
      </c>
      <c r="I27" s="33" t="s">
        <v>4</v>
      </c>
      <c r="J27" s="33" t="s">
        <v>47</v>
      </c>
      <c r="K27" s="33" t="s">
        <v>20</v>
      </c>
      <c r="L27" s="34">
        <v>2930.1866850000001</v>
      </c>
      <c r="M27" s="38" t="str">
        <f>IFERROR(RIGHT(Tabla225[[#This Row],[Unidades indicador producción]], LEN(Tabla225[[#This Row],[Unidades indicador producción]])-FIND("/", Tabla225[[#This Row],[Unidades indicador producción]])), "")</f>
        <v>Ha</v>
      </c>
      <c r="N27" s="39">
        <f>IF(Tabla225[[#This Row],[Parámetro]]="Tn",Tabla225[[#This Row],[Indicador]]*$B$6,Tabla225[[#This Row],[Indicador]])</f>
        <v>2930.1866850000001</v>
      </c>
      <c r="O27" s="38" t="str">
        <f t="shared" si="1"/>
        <v>MJ/Ha</v>
      </c>
      <c r="P27" s="36">
        <f>(Tabla225[[#This Row],[Indicador área]]*$B$5)</f>
        <v>21528081.574695002</v>
      </c>
      <c r="Q27" s="101">
        <f>+Tabla225[[#This Row],[Consumo energía '[MJ/año']]]/$P$9</f>
        <v>0.24364300767374264</v>
      </c>
      <c r="R27" s="36">
        <f>IF(Tabla225[[#This Row],[Energético]]="Energía Eléctrica",((Tabla225[[#This Row],[Participación]]*$D$29)/SUMIF(Tabla225[Energético],"Energía Eléctrica",Tabla225[Participación]))*$B$32,Tabla225[[#This Row],[Consumo energía '[MJ/año']]])</f>
        <v>21528081.574695002</v>
      </c>
    </row>
    <row r="28" spans="1:18" x14ac:dyDescent="0.2">
      <c r="A28" s="9" t="s">
        <v>0</v>
      </c>
      <c r="B28" s="9" t="s">
        <v>32</v>
      </c>
      <c r="C28" s="9" t="s">
        <v>33</v>
      </c>
      <c r="D28" s="9" t="s">
        <v>1</v>
      </c>
      <c r="F28" s="32" t="s">
        <v>45</v>
      </c>
      <c r="G28" s="33" t="s">
        <v>15</v>
      </c>
      <c r="H28" s="33" t="s">
        <v>115</v>
      </c>
      <c r="I28" s="33" t="s">
        <v>3</v>
      </c>
      <c r="J28" s="33" t="s">
        <v>23</v>
      </c>
      <c r="K28" s="33" t="s">
        <v>20</v>
      </c>
      <c r="L28" s="34">
        <v>111.08721319999999</v>
      </c>
      <c r="M28" s="38" t="str">
        <f>IFERROR(RIGHT(Tabla225[[#This Row],[Unidades indicador producción]], LEN(Tabla225[[#This Row],[Unidades indicador producción]])-FIND("/", Tabla225[[#This Row],[Unidades indicador producción]])), "")</f>
        <v>Ha</v>
      </c>
      <c r="N28" s="39">
        <f>IF(Tabla225[[#This Row],[Parámetro]]="Tn",Tabla225[[#This Row],[Indicador]]*$B$6,Tabla225[[#This Row],[Indicador]])</f>
        <v>111.08721319999999</v>
      </c>
      <c r="O28" s="38" t="str">
        <f t="shared" si="1"/>
        <v>MJ/Ha</v>
      </c>
      <c r="P28" s="36">
        <f>(Tabla225[[#This Row],[Indicador área]]*$B$5)</f>
        <v>816157.75538039999</v>
      </c>
      <c r="Q28" s="101">
        <f>+Tabla225[[#This Row],[Consumo energía '[MJ/año']]]/$P$9</f>
        <v>9.2368253793161572E-3</v>
      </c>
      <c r="R28" s="36">
        <f>IF(Tabla225[[#This Row],[Energético]]="Energía Eléctrica",((Tabla225[[#This Row],[Participación]]*$D$29)/SUMIF(Tabla225[Energético],"Energía Eléctrica",Tabla225[Participación]))*$B$32,Tabla225[[#This Row],[Consumo energía '[MJ/año']]])</f>
        <v>816157.75538039999</v>
      </c>
    </row>
    <row r="29" spans="1:18" x14ac:dyDescent="0.2">
      <c r="A29" s="40" t="s">
        <v>2</v>
      </c>
      <c r="B29" s="27">
        <f>+B8</f>
        <v>117162.99838430817</v>
      </c>
      <c r="C29" s="41">
        <f>B29/1000000</f>
        <v>0.11716299838430817</v>
      </c>
      <c r="D29" s="10">
        <f>B29/$B$32</f>
        <v>1.3472290376977721E-3</v>
      </c>
      <c r="F29" s="32" t="s">
        <v>45</v>
      </c>
      <c r="G29" s="33" t="s">
        <v>15</v>
      </c>
      <c r="H29" s="33" t="s">
        <v>115</v>
      </c>
      <c r="I29" s="33" t="s">
        <v>3</v>
      </c>
      <c r="J29" s="33" t="s">
        <v>56</v>
      </c>
      <c r="K29" s="33" t="s">
        <v>20</v>
      </c>
      <c r="L29" s="34">
        <v>113.0709135</v>
      </c>
      <c r="M29" s="38" t="str">
        <f>IFERROR(RIGHT(Tabla225[[#This Row],[Unidades indicador producción]], LEN(Tabla225[[#This Row],[Unidades indicador producción]])-FIND("/", Tabla225[[#This Row],[Unidades indicador producción]])), "")</f>
        <v>Ha</v>
      </c>
      <c r="N29" s="39">
        <f>IF(Tabla225[[#This Row],[Parámetro]]="Tn",Tabla225[[#This Row],[Indicador]]*$B$6,Tabla225[[#This Row],[Indicador]])</f>
        <v>113.0709135</v>
      </c>
      <c r="O29" s="38" t="str">
        <f t="shared" si="1"/>
        <v>MJ/Ha</v>
      </c>
      <c r="P29" s="36">
        <f>(Tabla225[[#This Row],[Indicador área]]*$B$5)</f>
        <v>830732.00148450001</v>
      </c>
      <c r="Q29" s="101">
        <f>+Tabla225[[#This Row],[Consumo energía '[MJ/año']]]/$P$9</f>
        <v>9.4017686950064027E-3</v>
      </c>
      <c r="R29" s="36">
        <f>IF(Tabla225[[#This Row],[Energético]]="Energía Eléctrica",((Tabla225[[#This Row],[Participación]]*$D$29)/SUMIF(Tabla225[Energético],"Energía Eléctrica",Tabla225[Participación]))*$B$32,Tabla225[[#This Row],[Consumo energía '[MJ/año']]])</f>
        <v>830732.00148450001</v>
      </c>
    </row>
    <row r="30" spans="1:18" x14ac:dyDescent="0.2">
      <c r="A30" s="40" t="s">
        <v>3</v>
      </c>
      <c r="B30" s="27">
        <f>SUMIF(Tabla225[Energético],A30,Tabla225[Consumo energía '[MJ/año']])</f>
        <v>26795430.279195622</v>
      </c>
      <c r="C30" s="41">
        <f>B30/1000000</f>
        <v>26.795430279195621</v>
      </c>
      <c r="D30" s="10">
        <f>B30/$B$32</f>
        <v>0.30811418491807169</v>
      </c>
      <c r="F30" s="32" t="s">
        <v>45</v>
      </c>
      <c r="G30" s="33" t="s">
        <v>15</v>
      </c>
      <c r="H30" s="33" t="s">
        <v>115</v>
      </c>
      <c r="I30" s="33" t="s">
        <v>2</v>
      </c>
      <c r="J30" s="33" t="s">
        <v>23</v>
      </c>
      <c r="K30" s="33" t="s">
        <v>20</v>
      </c>
      <c r="L30" s="34">
        <v>97.576821330000001</v>
      </c>
      <c r="M30" s="38" t="str">
        <f>IFERROR(RIGHT(Tabla225[[#This Row],[Unidades indicador producción]], LEN(Tabla225[[#This Row],[Unidades indicador producción]])-FIND("/", Tabla225[[#This Row],[Unidades indicador producción]])), "")</f>
        <v>Ha</v>
      </c>
      <c r="N30" s="39">
        <f>IF(Tabla225[[#This Row],[Parámetro]]="Tn",Tabla225[[#This Row],[Indicador]]*$B$6,Tabla225[[#This Row],[Indicador]])</f>
        <v>97.576821330000001</v>
      </c>
      <c r="O30" s="38" t="str">
        <f t="shared" si="1"/>
        <v>MJ/Ha</v>
      </c>
      <c r="P30" s="36">
        <f>(Tabla225[[#This Row],[Indicador área]]*$B$5)</f>
        <v>716896.90631151001</v>
      </c>
      <c r="Q30" s="101">
        <f>+Tabla225[[#This Row],[Consumo energía '[MJ/año']]]/$P$9</f>
        <v>8.1134455868584372E-3</v>
      </c>
      <c r="R30" s="36">
        <f>IF(Tabla225[[#This Row],[Energético]]="Energía Eléctrica",((Tabla225[[#This Row],[Participación]]*$D$29)/SUMIF(Tabla225[Energético],"Energía Eléctrica",Tabla225[Participación]))*$B$32,Tabla225[[#This Row],[Consumo energía '[MJ/año']]])</f>
        <v>55611.293558630292</v>
      </c>
    </row>
    <row r="31" spans="1:18" x14ac:dyDescent="0.2">
      <c r="A31" s="40" t="s">
        <v>4</v>
      </c>
      <c r="B31" s="27">
        <f>SUMIF(Tabla225[Energético],A31,Tabla225[Consumo energía '[MJ/año']])</f>
        <v>60053316.085926294</v>
      </c>
      <c r="C31" s="41">
        <f>B31/1000000</f>
        <v>60.053316085926298</v>
      </c>
      <c r="D31" s="10">
        <f>B31/$B$32</f>
        <v>0.69053858604423046</v>
      </c>
    </row>
    <row r="32" spans="1:18" x14ac:dyDescent="0.2">
      <c r="A32" s="63" t="s">
        <v>107</v>
      </c>
      <c r="B32" s="64">
        <f>SUM(B29:B31)</f>
        <v>86965909.363506228</v>
      </c>
      <c r="C32" s="64">
        <f t="shared" ref="C32:D32" si="2">SUM(C29:C31)</f>
        <v>86.965909363506228</v>
      </c>
      <c r="D32" s="103">
        <f t="shared" si="2"/>
        <v>1</v>
      </c>
    </row>
    <row r="34" spans="1:4" x14ac:dyDescent="0.2">
      <c r="C34" s="37"/>
      <c r="D34" s="37"/>
    </row>
    <row r="36" spans="1:4" ht="18" x14ac:dyDescent="0.25">
      <c r="A36" s="58" t="s">
        <v>35</v>
      </c>
      <c r="B36" s="58"/>
      <c r="C36" s="58"/>
    </row>
    <row r="37" spans="1:4" x14ac:dyDescent="0.2">
      <c r="A37" s="5" t="str">
        <f>+A4</f>
        <v>Grupo Homogeneo</v>
      </c>
      <c r="B37" s="5" t="s">
        <v>29</v>
      </c>
      <c r="C37" s="5" t="s">
        <v>30</v>
      </c>
    </row>
    <row r="38" spans="1:4" x14ac:dyDescent="0.2">
      <c r="A38" s="42" t="str">
        <f>+$B$4</f>
        <v>Papaya</v>
      </c>
      <c r="B38" s="41">
        <f>B32/B5</f>
        <v>11836.927911189088</v>
      </c>
      <c r="C38" s="41">
        <f>B38/$B$6</f>
        <v>375.41794834091621</v>
      </c>
    </row>
  </sheetData>
  <mergeCells count="4">
    <mergeCell ref="A3:B3"/>
    <mergeCell ref="F8:L8"/>
    <mergeCell ref="A26:D26"/>
    <mergeCell ref="A36:C36"/>
  </mergeCells>
  <phoneticPr fontId="15" type="noConversion"/>
  <pageMargins left="0.7" right="0.7" top="0.75" bottom="0.75" header="0.3" footer="0.3"/>
  <pageSetup paperSize="9"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38ADB7B-914F-472B-8816-6084B4CFBB95}">
          <x14:formula1>
            <xm:f>Participación!$A$1:$A$11</xm:f>
          </x14:formula1>
          <xm:sqref>A29:A31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133EB8-B88A-432A-A586-277E86CF4CEA}">
  <dimension ref="A1:R36"/>
  <sheetViews>
    <sheetView showGridLines="0" tabSelected="1" workbookViewId="0">
      <selection activeCell="B18" sqref="B18"/>
    </sheetView>
  </sheetViews>
  <sheetFormatPr baseColWidth="10" defaultRowHeight="12.75" x14ac:dyDescent="0.2"/>
  <cols>
    <col min="1" max="1" width="28.28515625" style="26" customWidth="1"/>
    <col min="2" max="4" width="16.42578125" style="26" customWidth="1"/>
    <col min="5" max="5" width="11.42578125" style="26"/>
    <col min="6" max="6" width="22.85546875" style="26" bestFit="1" customWidth="1"/>
    <col min="7" max="8" width="24.5703125" style="26" customWidth="1"/>
    <col min="9" max="9" width="26.5703125" style="26" customWidth="1"/>
    <col min="10" max="10" width="17.7109375" style="26" bestFit="1" customWidth="1"/>
    <col min="11" max="11" width="19.7109375" style="26" customWidth="1"/>
    <col min="12" max="12" width="11.7109375" style="26" customWidth="1"/>
    <col min="13" max="13" width="11.42578125" style="26"/>
    <col min="14" max="14" width="15" style="26" customWidth="1"/>
    <col min="15" max="15" width="11.42578125" style="26"/>
    <col min="16" max="16" width="17.140625" style="26" bestFit="1" customWidth="1"/>
    <col min="17" max="17" width="14" style="26" customWidth="1"/>
    <col min="18" max="18" width="19.5703125" style="26" customWidth="1"/>
    <col min="19" max="16384" width="11.42578125" style="26"/>
  </cols>
  <sheetData>
    <row r="1" spans="1:18" ht="18" x14ac:dyDescent="0.25">
      <c r="A1" s="8"/>
    </row>
    <row r="3" spans="1:18" ht="18" x14ac:dyDescent="0.2">
      <c r="A3" s="68" t="s">
        <v>119</v>
      </c>
      <c r="B3" s="69"/>
    </row>
    <row r="4" spans="1:18" x14ac:dyDescent="0.2">
      <c r="A4" s="3" t="s">
        <v>31</v>
      </c>
      <c r="B4" s="33" t="s">
        <v>42</v>
      </c>
    </row>
    <row r="5" spans="1:18" x14ac:dyDescent="0.2">
      <c r="A5" s="3" t="s">
        <v>5</v>
      </c>
      <c r="B5" s="34">
        <v>1713</v>
      </c>
      <c r="C5" s="11" t="s">
        <v>116</v>
      </c>
    </row>
    <row r="6" spans="1:18" x14ac:dyDescent="0.2">
      <c r="A6" s="3" t="s">
        <v>6</v>
      </c>
      <c r="B6" s="34">
        <v>12.4</v>
      </c>
      <c r="C6" s="11" t="s">
        <v>117</v>
      </c>
    </row>
    <row r="7" spans="1:18" ht="25.5" x14ac:dyDescent="0.2">
      <c r="A7" s="4" t="s">
        <v>7</v>
      </c>
      <c r="B7" s="34">
        <f>B13</f>
        <v>7588.1393853999325</v>
      </c>
      <c r="C7" s="11" t="s">
        <v>118</v>
      </c>
    </row>
    <row r="8" spans="1:18" ht="26.25" x14ac:dyDescent="0.25">
      <c r="A8" s="4" t="s">
        <v>123</v>
      </c>
      <c r="B8" s="36">
        <f>+B7*3.6</f>
        <v>27317.301787439759</v>
      </c>
      <c r="C8" s="1"/>
      <c r="F8" s="57" t="s">
        <v>124</v>
      </c>
      <c r="G8" s="57"/>
      <c r="H8" s="57"/>
      <c r="I8" s="57"/>
      <c r="J8" s="57"/>
      <c r="K8" s="57"/>
      <c r="L8" s="57"/>
      <c r="P8" s="25"/>
      <c r="R8" s="6" t="s">
        <v>130</v>
      </c>
    </row>
    <row r="9" spans="1:18" ht="35.25" customHeight="1" x14ac:dyDescent="0.25">
      <c r="B9" s="46"/>
      <c r="K9" s="2" t="s">
        <v>27</v>
      </c>
      <c r="P9" s="7">
        <f>SUM(Tabla225910[Consumo energía '[MJ/año']])</f>
        <v>20601493.305017762</v>
      </c>
      <c r="Q9" s="7"/>
      <c r="R9" s="102">
        <f>+SUM(Tabla225910[Consumo energía corregida '[MJ/año']])</f>
        <v>20276657.511866912</v>
      </c>
    </row>
    <row r="10" spans="1:18" s="28" customFormat="1" ht="51" x14ac:dyDescent="0.2">
      <c r="A10" s="19" t="s">
        <v>122</v>
      </c>
      <c r="B10" s="41">
        <v>16377</v>
      </c>
      <c r="F10" s="29" t="s">
        <v>8</v>
      </c>
      <c r="G10" s="30" t="s">
        <v>9</v>
      </c>
      <c r="H10" s="30" t="s">
        <v>114</v>
      </c>
      <c r="I10" s="30" t="s">
        <v>10</v>
      </c>
      <c r="J10" s="30" t="s">
        <v>16</v>
      </c>
      <c r="K10" s="31" t="s">
        <v>17</v>
      </c>
      <c r="L10" s="30" t="s">
        <v>18</v>
      </c>
      <c r="M10" s="30" t="s">
        <v>24</v>
      </c>
      <c r="N10" s="30" t="s">
        <v>25</v>
      </c>
      <c r="O10" s="30" t="s">
        <v>26</v>
      </c>
      <c r="P10" s="78" t="s">
        <v>128</v>
      </c>
      <c r="Q10" s="78" t="s">
        <v>1</v>
      </c>
      <c r="R10" s="78" t="s">
        <v>129</v>
      </c>
    </row>
    <row r="11" spans="1:18" x14ac:dyDescent="0.2">
      <c r="F11" s="32" t="s">
        <v>45</v>
      </c>
      <c r="G11" s="33" t="s">
        <v>11</v>
      </c>
      <c r="H11" s="33" t="s">
        <v>115</v>
      </c>
      <c r="I11" s="33" t="s">
        <v>3</v>
      </c>
      <c r="J11" s="33" t="s">
        <v>46</v>
      </c>
      <c r="K11" s="33" t="s">
        <v>20</v>
      </c>
      <c r="L11" s="34">
        <v>13.157342659999999</v>
      </c>
      <c r="M11" s="35" t="str">
        <f>IFERROR(RIGHT(Tabla225910[[#This Row],[Unidades indicador producción]], LEN(Tabla225910[[#This Row],[Unidades indicador producción]])-FIND("/", Tabla225910[[#This Row],[Unidades indicador producción]])), "")</f>
        <v>Ha</v>
      </c>
      <c r="N11" s="36">
        <f>IF(Tabla225910[[#This Row],[Parámetro]]="Tn",Tabla225910[[#This Row],[Indicador]]*$B$6,Tabla225910[[#This Row],[Indicador]])</f>
        <v>13.157342659999999</v>
      </c>
      <c r="O11" s="35" t="str">
        <f t="shared" ref="O11" si="0">"MJ/Ha"</f>
        <v>MJ/Ha</v>
      </c>
      <c r="P11" s="36">
        <f>(Tabla225910[[#This Row],[Indicador área]]*$B$5)</f>
        <v>22538.527976580001</v>
      </c>
      <c r="Q11" s="101">
        <f>+Tabla225910[[#This Row],[Consumo energía '[MJ/año']]]/$P$9</f>
        <v>1.0940239934495645E-3</v>
      </c>
      <c r="R11" s="36">
        <f>IF(Tabla225910[[#This Row],[Energético]]="Energía Eléctrica",((Tabla225910[[#This Row],[Participación]]*$D$29)/SUMIF(Tabla225910[Energético],"Energía Eléctrica",Tabla225910[Participación]))*$B$32,Tabla225910[[#This Row],[Consumo energía '[MJ/año']]])</f>
        <v>22538.527976580001</v>
      </c>
    </row>
    <row r="12" spans="1:18" ht="25.5" x14ac:dyDescent="0.2">
      <c r="A12" s="60" t="s">
        <v>120</v>
      </c>
      <c r="B12" s="20">
        <v>689752</v>
      </c>
      <c r="F12" s="32" t="s">
        <v>45</v>
      </c>
      <c r="G12" s="33" t="s">
        <v>11</v>
      </c>
      <c r="H12" s="33" t="s">
        <v>115</v>
      </c>
      <c r="I12" s="33" t="s">
        <v>4</v>
      </c>
      <c r="J12" s="33" t="s">
        <v>47</v>
      </c>
      <c r="K12" s="33" t="s">
        <v>20</v>
      </c>
      <c r="L12" s="34">
        <v>1908.2621079999999</v>
      </c>
      <c r="M12" s="38" t="str">
        <f>IFERROR(RIGHT(Tabla225910[[#This Row],[Unidades indicador producción]], LEN(Tabla225910[[#This Row],[Unidades indicador producción]])-FIND("/", Tabla225910[[#This Row],[Unidades indicador producción]])), "")</f>
        <v>Ha</v>
      </c>
      <c r="N12" s="39">
        <f>IF(Tabla225910[[#This Row],[Parámetro]]="Tn",Tabla225910[[#This Row],[Indicador]]*$B$6,Tabla225910[[#This Row],[Indicador]])</f>
        <v>1908.2621079999999</v>
      </c>
      <c r="O12" s="38" t="str">
        <f t="shared" ref="O12:O30" si="1">"MJ/Ha"</f>
        <v>MJ/Ha</v>
      </c>
      <c r="P12" s="36">
        <f>(Tabla225910[[#This Row],[Indicador área]]*$B$5)</f>
        <v>3268852.991004</v>
      </c>
      <c r="Q12" s="101">
        <f>+Tabla225910[[#This Row],[Consumo energía '[MJ/año']]]/$P$9</f>
        <v>0.15867068190672509</v>
      </c>
      <c r="R12" s="36">
        <f>IF(Tabla225910[[#This Row],[Energético]]="Energía Eléctrica",((Tabla225910[[#This Row],[Participación]]*$D$29)/SUMIF(Tabla225910[Energético],"Energía Eléctrica",Tabla225910[Participación]))*$B$32,Tabla225910[[#This Row],[Consumo energía '[MJ/año']]])</f>
        <v>3268852.991004</v>
      </c>
    </row>
    <row r="13" spans="1:18" ht="25.5" x14ac:dyDescent="0.2">
      <c r="A13" s="61" t="s">
        <v>135</v>
      </c>
      <c r="B13" s="20">
        <f>B12*Participación!J23</f>
        <v>7588.1393853999325</v>
      </c>
      <c r="F13" s="32" t="s">
        <v>45</v>
      </c>
      <c r="G13" s="33" t="s">
        <v>12</v>
      </c>
      <c r="H13" s="33" t="s">
        <v>115</v>
      </c>
      <c r="I13" s="33" t="s">
        <v>3</v>
      </c>
      <c r="J13" s="33" t="s">
        <v>19</v>
      </c>
      <c r="K13" s="33" t="s">
        <v>20</v>
      </c>
      <c r="L13" s="34">
        <v>113.0709135</v>
      </c>
      <c r="M13" s="38" t="str">
        <f>IFERROR(RIGHT(Tabla225910[[#This Row],[Unidades indicador producción]], LEN(Tabla225910[[#This Row],[Unidades indicador producción]])-FIND("/", Tabla225910[[#This Row],[Unidades indicador producción]])), "")</f>
        <v>Ha</v>
      </c>
      <c r="N13" s="39">
        <f>IF(Tabla225910[[#This Row],[Parámetro]]="Tn",Tabla225910[[#This Row],[Indicador]]*$B$6,Tabla225910[[#This Row],[Indicador]])</f>
        <v>113.0709135</v>
      </c>
      <c r="O13" s="38" t="str">
        <f t="shared" si="1"/>
        <v>MJ/Ha</v>
      </c>
      <c r="P13" s="36">
        <f>(Tabla225910[[#This Row],[Indicador área]]*$B$5)</f>
        <v>193690.47482550002</v>
      </c>
      <c r="Q13" s="101">
        <f>+Tabla225910[[#This Row],[Consumo energía '[MJ/año']]]/$P$9</f>
        <v>9.4017686950064044E-3</v>
      </c>
      <c r="R13" s="36">
        <f>IF(Tabla225910[[#This Row],[Energético]]="Energía Eléctrica",((Tabla225910[[#This Row],[Participación]]*$D$29)/SUMIF(Tabla225910[Energético],"Energía Eléctrica",Tabla225910[Participación]))*$B$32,Tabla225910[[#This Row],[Consumo energía '[MJ/año']]])</f>
        <v>193690.47482550002</v>
      </c>
    </row>
    <row r="14" spans="1:18" x14ac:dyDescent="0.2">
      <c r="F14" s="32" t="s">
        <v>45</v>
      </c>
      <c r="G14" s="33" t="s">
        <v>12</v>
      </c>
      <c r="H14" s="33" t="s">
        <v>115</v>
      </c>
      <c r="I14" s="33" t="s">
        <v>2</v>
      </c>
      <c r="J14" s="33" t="s">
        <v>19</v>
      </c>
      <c r="K14" s="33" t="s">
        <v>20</v>
      </c>
      <c r="L14" s="34">
        <v>108</v>
      </c>
      <c r="M14" s="38" t="str">
        <f>IFERROR(RIGHT(Tabla225910[[#This Row],[Unidades indicador producción]], LEN(Tabla225910[[#This Row],[Unidades indicador producción]])-FIND("/", Tabla225910[[#This Row],[Unidades indicador producción]])), "")</f>
        <v>Ha</v>
      </c>
      <c r="N14" s="39">
        <f>IF(Tabla225910[[#This Row],[Parámetro]]="Tn",Tabla225910[[#This Row],[Indicador]]*$B$6,Tabla225910[[#This Row],[Indicador]])</f>
        <v>108</v>
      </c>
      <c r="O14" s="38" t="str">
        <f t="shared" si="1"/>
        <v>MJ/Ha</v>
      </c>
      <c r="P14" s="36">
        <f>(Tabla225910[[#This Row],[Indicador área]]*$B$5)</f>
        <v>185004</v>
      </c>
      <c r="Q14" s="101">
        <f>+Tabla225910[[#This Row],[Consumo energía '[MJ/año']]]/$P$9</f>
        <v>8.9801257249123717E-3</v>
      </c>
      <c r="R14" s="36">
        <f>IF(Tabla225910[[#This Row],[Energético]]="Energía Eléctrica",((Tabla225910[[#This Row],[Participación]]*$D$29)/SUMIF(Tabla225910[Energético],"Energía Eléctrica",Tabla225910[Participación]))*$B$32,Tabla225910[[#This Row],[Consumo energía '[MJ/año']]])</f>
        <v>14351.173317869365</v>
      </c>
    </row>
    <row r="15" spans="1:18" x14ac:dyDescent="0.2">
      <c r="F15" s="32" t="s">
        <v>45</v>
      </c>
      <c r="G15" s="33" t="s">
        <v>12</v>
      </c>
      <c r="H15" s="33" t="s">
        <v>115</v>
      </c>
      <c r="I15" s="33" t="s">
        <v>4</v>
      </c>
      <c r="J15" s="33" t="s">
        <v>19</v>
      </c>
      <c r="K15" s="33" t="s">
        <v>20</v>
      </c>
      <c r="L15" s="34">
        <v>193.21153849999999</v>
      </c>
      <c r="M15" s="38" t="str">
        <f>IFERROR(RIGHT(Tabla225910[[#This Row],[Unidades indicador producción]], LEN(Tabla225910[[#This Row],[Unidades indicador producción]])-FIND("/", Tabla225910[[#This Row],[Unidades indicador producción]])), "")</f>
        <v>Ha</v>
      </c>
      <c r="N15" s="39">
        <f>IF(Tabla225910[[#This Row],[Parámetro]]="Tn",Tabla225910[[#This Row],[Indicador]]*$B$6,Tabla225910[[#This Row],[Indicador]])</f>
        <v>193.21153849999999</v>
      </c>
      <c r="O15" s="38" t="str">
        <f t="shared" si="1"/>
        <v>MJ/Ha</v>
      </c>
      <c r="P15" s="36">
        <f>(Tabla225910[[#This Row],[Indicador área]]*$B$5)</f>
        <v>330971.36545049999</v>
      </c>
      <c r="Q15" s="101">
        <f>+Tabla225910[[#This Row],[Consumo energía '[MJ/año']]]/$P$9</f>
        <v>1.6065406548460621E-2</v>
      </c>
      <c r="R15" s="36">
        <f>IF(Tabla225910[[#This Row],[Energético]]="Energía Eléctrica",((Tabla225910[[#This Row],[Participación]]*$D$29)/SUMIF(Tabla225910[Energético],"Energía Eléctrica",Tabla225910[Participación]))*$B$32,Tabla225910[[#This Row],[Consumo energía '[MJ/año']]])</f>
        <v>330971.36545049999</v>
      </c>
    </row>
    <row r="16" spans="1:18" x14ac:dyDescent="0.2">
      <c r="F16" s="32" t="s">
        <v>45</v>
      </c>
      <c r="G16" s="33" t="s">
        <v>13</v>
      </c>
      <c r="H16" s="33" t="s">
        <v>115</v>
      </c>
      <c r="I16" s="33" t="s">
        <v>3</v>
      </c>
      <c r="J16" s="33" t="s">
        <v>21</v>
      </c>
      <c r="K16" s="33" t="s">
        <v>20</v>
      </c>
      <c r="L16" s="34">
        <v>64.004989800000004</v>
      </c>
      <c r="M16" s="38" t="str">
        <f>IFERROR(RIGHT(Tabla225910[[#This Row],[Unidades indicador producción]], LEN(Tabla225910[[#This Row],[Unidades indicador producción]])-FIND("/", Tabla225910[[#This Row],[Unidades indicador producción]])), "")</f>
        <v>Ha</v>
      </c>
      <c r="N16" s="39">
        <f>IF(Tabla225910[[#This Row],[Parámetro]]="Tn",Tabla225910[[#This Row],[Indicador]]*$B$6,Tabla225910[[#This Row],[Indicador]])</f>
        <v>64.004989800000004</v>
      </c>
      <c r="O16" s="38" t="str">
        <f t="shared" si="1"/>
        <v>MJ/Ha</v>
      </c>
      <c r="P16" s="36">
        <f>(Tabla225910[[#This Row],[Indicador área]]*$B$5)</f>
        <v>109640.54752740001</v>
      </c>
      <c r="Q16" s="101">
        <f>+Tabla225910[[#This Row],[Consumo energía '[MJ/año']]]/$P$9</f>
        <v>5.3219708835716114E-3</v>
      </c>
      <c r="R16" s="36">
        <f>IF(Tabla225910[[#This Row],[Energético]]="Energía Eléctrica",((Tabla225910[[#This Row],[Participación]]*$D$29)/SUMIF(Tabla225910[Energético],"Energía Eléctrica",Tabla225910[Participación]))*$B$32,Tabla225910[[#This Row],[Consumo energía '[MJ/año']]])</f>
        <v>109640.54752740001</v>
      </c>
    </row>
    <row r="17" spans="1:18" x14ac:dyDescent="0.2">
      <c r="F17" s="32" t="s">
        <v>45</v>
      </c>
      <c r="G17" s="33" t="s">
        <v>13</v>
      </c>
      <c r="H17" s="33" t="s">
        <v>115</v>
      </c>
      <c r="I17" s="33" t="s">
        <v>3</v>
      </c>
      <c r="J17" s="33" t="s">
        <v>48</v>
      </c>
      <c r="K17" s="33" t="s">
        <v>20</v>
      </c>
      <c r="L17" s="34">
        <v>52.629370629999997</v>
      </c>
      <c r="M17" s="38" t="str">
        <f>IFERROR(RIGHT(Tabla225910[[#This Row],[Unidades indicador producción]], LEN(Tabla225910[[#This Row],[Unidades indicador producción]])-FIND("/", Tabla225910[[#This Row],[Unidades indicador producción]])), "")</f>
        <v>Ha</v>
      </c>
      <c r="N17" s="39">
        <f>IF(Tabla225910[[#This Row],[Parámetro]]="Tn",Tabla225910[[#This Row],[Indicador]]*$B$6,Tabla225910[[#This Row],[Indicador]])</f>
        <v>52.629370629999997</v>
      </c>
      <c r="O17" s="38" t="str">
        <f t="shared" si="1"/>
        <v>MJ/Ha</v>
      </c>
      <c r="P17" s="36">
        <f>(Tabla225910[[#This Row],[Indicador área]]*$B$5)</f>
        <v>90154.111889189997</v>
      </c>
      <c r="Q17" s="101">
        <f>+Tabla225910[[#This Row],[Consumo energía '[MJ/año']]]/$P$9</f>
        <v>4.3760959729667653E-3</v>
      </c>
      <c r="R17" s="36">
        <f>IF(Tabla225910[[#This Row],[Energético]]="Energía Eléctrica",((Tabla225910[[#This Row],[Participación]]*$D$29)/SUMIF(Tabla225910[Energético],"Energía Eléctrica",Tabla225910[Participación]))*$B$32,Tabla225910[[#This Row],[Consumo energía '[MJ/año']]])</f>
        <v>90154.111889189997</v>
      </c>
    </row>
    <row r="18" spans="1:18" x14ac:dyDescent="0.2">
      <c r="F18" s="32" t="s">
        <v>45</v>
      </c>
      <c r="G18" s="33" t="s">
        <v>13</v>
      </c>
      <c r="H18" s="33" t="s">
        <v>115</v>
      </c>
      <c r="I18" s="33" t="s">
        <v>4</v>
      </c>
      <c r="J18" s="33" t="s">
        <v>21</v>
      </c>
      <c r="K18" s="33" t="s">
        <v>20</v>
      </c>
      <c r="L18" s="34">
        <v>293.71778920000003</v>
      </c>
      <c r="M18" s="38" t="str">
        <f>IFERROR(RIGHT(Tabla225910[[#This Row],[Unidades indicador producción]], LEN(Tabla225910[[#This Row],[Unidades indicador producción]])-FIND("/", Tabla225910[[#This Row],[Unidades indicador producción]])), "")</f>
        <v>Ha</v>
      </c>
      <c r="N18" s="39">
        <f>IF(Tabla225910[[#This Row],[Parámetro]]="Tn",Tabla225910[[#This Row],[Indicador]]*$B$6,Tabla225910[[#This Row],[Indicador]])</f>
        <v>293.71778920000003</v>
      </c>
      <c r="O18" s="38" t="str">
        <f t="shared" si="1"/>
        <v>MJ/Ha</v>
      </c>
      <c r="P18" s="36">
        <f>(Tabla225910[[#This Row],[Indicador área]]*$B$5)</f>
        <v>503138.57289960003</v>
      </c>
      <c r="Q18" s="101">
        <f>+Tabla225910[[#This Row],[Consumo energía '[MJ/año']]]/$P$9</f>
        <v>2.4422432172771381E-2</v>
      </c>
      <c r="R18" s="36">
        <f>IF(Tabla225910[[#This Row],[Energético]]="Energía Eléctrica",((Tabla225910[[#This Row],[Participación]]*$D$29)/SUMIF(Tabla225910[Energético],"Energía Eléctrica",Tabla225910[Participación]))*$B$32,Tabla225910[[#This Row],[Consumo energía '[MJ/año']]])</f>
        <v>503138.57289960003</v>
      </c>
    </row>
    <row r="19" spans="1:18" x14ac:dyDescent="0.2">
      <c r="F19" s="32" t="s">
        <v>45</v>
      </c>
      <c r="G19" s="33" t="s">
        <v>49</v>
      </c>
      <c r="H19" s="33" t="s">
        <v>115</v>
      </c>
      <c r="I19" s="33" t="s">
        <v>4</v>
      </c>
      <c r="J19" s="33" t="s">
        <v>50</v>
      </c>
      <c r="K19" s="33" t="s">
        <v>20</v>
      </c>
      <c r="L19" s="34">
        <v>2125.346438</v>
      </c>
      <c r="M19" s="38" t="str">
        <f>IFERROR(RIGHT(Tabla225910[[#This Row],[Unidades indicador producción]], LEN(Tabla225910[[#This Row],[Unidades indicador producción]])-FIND("/", Tabla225910[[#This Row],[Unidades indicador producción]])), "")</f>
        <v>Ha</v>
      </c>
      <c r="N19" s="39">
        <f>IF(Tabla225910[[#This Row],[Parámetro]]="Tn",Tabla225910[[#This Row],[Indicador]]*$B$6,Tabla225910[[#This Row],[Indicador]])</f>
        <v>2125.346438</v>
      </c>
      <c r="O19" s="38" t="str">
        <f t="shared" si="1"/>
        <v>MJ/Ha</v>
      </c>
      <c r="P19" s="36">
        <f>(Tabla225910[[#This Row],[Indicador área]]*$B$5)</f>
        <v>3640718.4482940002</v>
      </c>
      <c r="Q19" s="101">
        <f>+Tabla225910[[#This Row],[Consumo energía '[MJ/año']]]/$P$9</f>
        <v>0.1767210946503211</v>
      </c>
      <c r="R19" s="36">
        <f>IF(Tabla225910[[#This Row],[Energético]]="Energía Eléctrica",((Tabla225910[[#This Row],[Participación]]*$D$29)/SUMIF(Tabla225910[Energético],"Energía Eléctrica",Tabla225910[Participación]))*$B$32,Tabla225910[[#This Row],[Consumo energía '[MJ/año']]])</f>
        <v>3640718.4482940002</v>
      </c>
    </row>
    <row r="20" spans="1:18" x14ac:dyDescent="0.2">
      <c r="F20" s="32" t="s">
        <v>45</v>
      </c>
      <c r="G20" s="33" t="s">
        <v>51</v>
      </c>
      <c r="H20" s="33" t="s">
        <v>115</v>
      </c>
      <c r="I20" s="33" t="s">
        <v>3</v>
      </c>
      <c r="J20" s="33" t="s">
        <v>52</v>
      </c>
      <c r="K20" s="33" t="s">
        <v>20</v>
      </c>
      <c r="L20" s="34">
        <v>578.92307689999996</v>
      </c>
      <c r="M20" s="38" t="str">
        <f>IFERROR(RIGHT(Tabla225910[[#This Row],[Unidades indicador producción]], LEN(Tabla225910[[#This Row],[Unidades indicador producción]])-FIND("/", Tabla225910[[#This Row],[Unidades indicador producción]])), "")</f>
        <v>Ha</v>
      </c>
      <c r="N20" s="39">
        <f>IF(Tabla225910[[#This Row],[Parámetro]]="Tn",Tabla225910[[#This Row],[Indicador]]*$B$6,Tabla225910[[#This Row],[Indicador]])</f>
        <v>578.92307689999996</v>
      </c>
      <c r="O20" s="38" t="str">
        <f t="shared" si="1"/>
        <v>MJ/Ha</v>
      </c>
      <c r="P20" s="36">
        <f>(Tabla225910[[#This Row],[Indicador área]]*$B$5)</f>
        <v>991695.23072969995</v>
      </c>
      <c r="Q20" s="101">
        <f>+Tabla225910[[#This Row],[Consumo energía '[MJ/año']]]/$P$9</f>
        <v>4.8137055700139937E-2</v>
      </c>
      <c r="R20" s="36">
        <f>IF(Tabla225910[[#This Row],[Energético]]="Energía Eléctrica",((Tabla225910[[#This Row],[Participación]]*$D$29)/SUMIF(Tabla225910[Energético],"Energía Eléctrica",Tabla225910[Participación]))*$B$32,Tabla225910[[#This Row],[Consumo energía '[MJ/año']]])</f>
        <v>991695.23072969995</v>
      </c>
    </row>
    <row r="21" spans="1:18" x14ac:dyDescent="0.2">
      <c r="F21" s="32" t="s">
        <v>45</v>
      </c>
      <c r="G21" s="33" t="s">
        <v>14</v>
      </c>
      <c r="H21" s="33" t="s">
        <v>115</v>
      </c>
      <c r="I21" s="33" t="s">
        <v>3</v>
      </c>
      <c r="J21" s="33" t="s">
        <v>52</v>
      </c>
      <c r="K21" s="33" t="s">
        <v>20</v>
      </c>
      <c r="L21" s="34">
        <v>845.43540780000001</v>
      </c>
      <c r="M21" s="38" t="str">
        <f>IFERROR(RIGHT(Tabla225910[[#This Row],[Unidades indicador producción]], LEN(Tabla225910[[#This Row],[Unidades indicador producción]])-FIND("/", Tabla225910[[#This Row],[Unidades indicador producción]])), "")</f>
        <v>Ha</v>
      </c>
      <c r="N21" s="39">
        <f>IF(Tabla225910[[#This Row],[Parámetro]]="Tn",Tabla225910[[#This Row],[Indicador]]*$B$6,Tabla225910[[#This Row],[Indicador]])</f>
        <v>845.43540780000001</v>
      </c>
      <c r="O21" s="38" t="str">
        <f t="shared" si="1"/>
        <v>MJ/Ha</v>
      </c>
      <c r="P21" s="36">
        <f>(Tabla225910[[#This Row],[Indicador área]]*$B$5)</f>
        <v>1448230.8535614</v>
      </c>
      <c r="Q21" s="101">
        <f>+Tabla225910[[#This Row],[Consumo energía '[MJ/año']]]/$P$9</f>
        <v>7.0297372725338536E-2</v>
      </c>
      <c r="R21" s="36">
        <f>IF(Tabla225910[[#This Row],[Energético]]="Energía Eléctrica",((Tabla225910[[#This Row],[Participación]]*$D$29)/SUMIF(Tabla225910[Energético],"Energía Eléctrica",Tabla225910[Participación]))*$B$32,Tabla225910[[#This Row],[Consumo energía '[MJ/año']]])</f>
        <v>1448230.8535614</v>
      </c>
    </row>
    <row r="22" spans="1:18" x14ac:dyDescent="0.2">
      <c r="F22" s="32" t="s">
        <v>45</v>
      </c>
      <c r="G22" s="33" t="s">
        <v>14</v>
      </c>
      <c r="H22" s="33" t="s">
        <v>115</v>
      </c>
      <c r="I22" s="33" t="s">
        <v>3</v>
      </c>
      <c r="J22" s="33" t="s">
        <v>22</v>
      </c>
      <c r="K22" s="33" t="s">
        <v>20</v>
      </c>
      <c r="L22" s="34">
        <v>539.45104900000001</v>
      </c>
      <c r="M22" s="38" t="str">
        <f>IFERROR(RIGHT(Tabla225910[[#This Row],[Unidades indicador producción]], LEN(Tabla225910[[#This Row],[Unidades indicador producción]])-FIND("/", Tabla225910[[#This Row],[Unidades indicador producción]])), "")</f>
        <v>Ha</v>
      </c>
      <c r="N22" s="39">
        <f>IF(Tabla225910[[#This Row],[Parámetro]]="Tn",Tabla225910[[#This Row],[Indicador]]*$B$6,Tabla225910[[#This Row],[Indicador]])</f>
        <v>539.45104900000001</v>
      </c>
      <c r="O22" s="38" t="str">
        <f t="shared" si="1"/>
        <v>MJ/Ha</v>
      </c>
      <c r="P22" s="36">
        <f>(Tabla225910[[#This Row],[Indicador área]]*$B$5)</f>
        <v>924079.64693699998</v>
      </c>
      <c r="Q22" s="101">
        <f>+Tabla225910[[#This Row],[Consumo energía '[MJ/año']]]/$P$9</f>
        <v>4.4854983726443184E-2</v>
      </c>
      <c r="R22" s="36">
        <f>IF(Tabla225910[[#This Row],[Energético]]="Energía Eléctrica",((Tabla225910[[#This Row],[Participación]]*$D$29)/SUMIF(Tabla225910[Energético],"Energía Eléctrica",Tabla225910[Participación]))*$B$32,Tabla225910[[#This Row],[Consumo energía '[MJ/año']]])</f>
        <v>924079.64693699998</v>
      </c>
    </row>
    <row r="23" spans="1:18" x14ac:dyDescent="0.2">
      <c r="F23" s="32" t="s">
        <v>45</v>
      </c>
      <c r="G23" s="33" t="s">
        <v>14</v>
      </c>
      <c r="H23" s="33" t="s">
        <v>115</v>
      </c>
      <c r="I23" s="33" t="s">
        <v>3</v>
      </c>
      <c r="J23" s="33" t="s">
        <v>53</v>
      </c>
      <c r="K23" s="33" t="s">
        <v>20</v>
      </c>
      <c r="L23" s="34">
        <v>456.45857990000002</v>
      </c>
      <c r="M23" s="38" t="str">
        <f>IFERROR(RIGHT(Tabla225910[[#This Row],[Unidades indicador producción]], LEN(Tabla225910[[#This Row],[Unidades indicador producción]])-FIND("/", Tabla225910[[#This Row],[Unidades indicador producción]])), "")</f>
        <v>Ha</v>
      </c>
      <c r="N23" s="39">
        <f>IF(Tabla225910[[#This Row],[Parámetro]]="Tn",Tabla225910[[#This Row],[Indicador]]*$B$6,Tabla225910[[#This Row],[Indicador]])</f>
        <v>456.45857990000002</v>
      </c>
      <c r="O23" s="38" t="str">
        <f t="shared" si="1"/>
        <v>MJ/Ha</v>
      </c>
      <c r="P23" s="36">
        <f>(Tabla225910[[#This Row],[Indicador área]]*$B$5)</f>
        <v>781913.54736870003</v>
      </c>
      <c r="Q23" s="101">
        <f>+Tabla225910[[#This Row],[Consumo energía '[MJ/año']]]/$P$9</f>
        <v>3.7954216997379255E-2</v>
      </c>
      <c r="R23" s="36">
        <f>IF(Tabla225910[[#This Row],[Energético]]="Energía Eléctrica",((Tabla225910[[#This Row],[Participación]]*$D$29)/SUMIF(Tabla225910[Energético],"Energía Eléctrica",Tabla225910[Participación]))*$B$32,Tabla225910[[#This Row],[Consumo energía '[MJ/año']]])</f>
        <v>781913.54736870003</v>
      </c>
    </row>
    <row r="24" spans="1:18" x14ac:dyDescent="0.2">
      <c r="F24" s="32" t="s">
        <v>45</v>
      </c>
      <c r="G24" s="33" t="s">
        <v>14</v>
      </c>
      <c r="H24" s="33" t="s">
        <v>115</v>
      </c>
      <c r="I24" s="33" t="s">
        <v>3</v>
      </c>
      <c r="J24" s="33" t="s">
        <v>54</v>
      </c>
      <c r="K24" s="33" t="s">
        <v>20</v>
      </c>
      <c r="L24" s="34">
        <v>379.9182692</v>
      </c>
      <c r="M24" s="38" t="str">
        <f>IFERROR(RIGHT(Tabla225910[[#This Row],[Unidades indicador producción]], LEN(Tabla225910[[#This Row],[Unidades indicador producción]])-FIND("/", Tabla225910[[#This Row],[Unidades indicador producción]])), "")</f>
        <v>Ha</v>
      </c>
      <c r="N24" s="39">
        <f>IF(Tabla225910[[#This Row],[Parámetro]]="Tn",Tabla225910[[#This Row],[Indicador]]*$B$6,Tabla225910[[#This Row],[Indicador]])</f>
        <v>379.9182692</v>
      </c>
      <c r="O24" s="38" t="str">
        <f t="shared" si="1"/>
        <v>MJ/Ha</v>
      </c>
      <c r="P24" s="36">
        <f>(Tabla225910[[#This Row],[Indicador área]]*$B$5)</f>
        <v>650799.99513960001</v>
      </c>
      <c r="Q24" s="101">
        <f>+Tabla225910[[#This Row],[Consumo energía '[MJ/año']]]/$P$9</f>
        <v>3.1589942801917625E-2</v>
      </c>
      <c r="R24" s="36">
        <f>IF(Tabla225910[[#This Row],[Energético]]="Energía Eléctrica",((Tabla225910[[#This Row],[Participación]]*$D$29)/SUMIF(Tabla225910[Energético],"Energía Eléctrica",Tabla225910[Participación]))*$B$32,Tabla225910[[#This Row],[Consumo energía '[MJ/año']]])</f>
        <v>650799.99513960001</v>
      </c>
    </row>
    <row r="25" spans="1:18" x14ac:dyDescent="0.2">
      <c r="F25" s="32" t="s">
        <v>45</v>
      </c>
      <c r="G25" s="33" t="s">
        <v>14</v>
      </c>
      <c r="H25" s="33" t="s">
        <v>115</v>
      </c>
      <c r="I25" s="33" t="s">
        <v>3</v>
      </c>
      <c r="J25" s="33" t="s">
        <v>55</v>
      </c>
      <c r="K25" s="33" t="s">
        <v>20</v>
      </c>
      <c r="L25" s="34">
        <v>379.9182692</v>
      </c>
      <c r="M25" s="38" t="str">
        <f>IFERROR(RIGHT(Tabla225910[[#This Row],[Unidades indicador producción]], LEN(Tabla225910[[#This Row],[Unidades indicador producción]])-FIND("/", Tabla225910[[#This Row],[Unidades indicador producción]])), "")</f>
        <v>Ha</v>
      </c>
      <c r="N25" s="39">
        <f>IF(Tabla225910[[#This Row],[Parámetro]]="Tn",Tabla225910[[#This Row],[Indicador]]*$B$6,Tabla225910[[#This Row],[Indicador]])</f>
        <v>379.9182692</v>
      </c>
      <c r="O25" s="38" t="str">
        <f t="shared" si="1"/>
        <v>MJ/Ha</v>
      </c>
      <c r="P25" s="36">
        <f>(Tabla225910[[#This Row],[Indicador área]]*$B$5)</f>
        <v>650799.99513960001</v>
      </c>
      <c r="Q25" s="101">
        <f>+Tabla225910[[#This Row],[Consumo energía '[MJ/año']]]/$P$9</f>
        <v>3.1589942801917625E-2</v>
      </c>
      <c r="R25" s="36">
        <f>IF(Tabla225910[[#This Row],[Energético]]="Energía Eléctrica",((Tabla225910[[#This Row],[Participación]]*$D$29)/SUMIF(Tabla225910[Energético],"Energía Eléctrica",Tabla225910[Participación]))*$B$32,Tabla225910[[#This Row],[Consumo energía '[MJ/año']]])</f>
        <v>650799.99513960001</v>
      </c>
    </row>
    <row r="26" spans="1:18" ht="15.75" x14ac:dyDescent="0.25">
      <c r="A26" s="57" t="s">
        <v>28</v>
      </c>
      <c r="B26" s="57"/>
      <c r="C26" s="57"/>
      <c r="D26" s="57"/>
      <c r="F26" s="32" t="s">
        <v>45</v>
      </c>
      <c r="G26" s="33" t="s">
        <v>14</v>
      </c>
      <c r="H26" s="33" t="s">
        <v>115</v>
      </c>
      <c r="I26" s="33" t="s">
        <v>4</v>
      </c>
      <c r="J26" s="33" t="s">
        <v>61</v>
      </c>
      <c r="K26" s="33" t="s">
        <v>20</v>
      </c>
      <c r="L26" s="34">
        <v>723.13090420000003</v>
      </c>
      <c r="M26" s="38" t="str">
        <f>IFERROR(RIGHT(Tabla225910[[#This Row],[Unidades indicador producción]], LEN(Tabla225910[[#This Row],[Unidades indicador producción]])-FIND("/", Tabla225910[[#This Row],[Unidades indicador producción]])), "")</f>
        <v>Ha</v>
      </c>
      <c r="N26" s="39">
        <f>IF(Tabla225910[[#This Row],[Parámetro]]="Tn",Tabla225910[[#This Row],[Indicador]]*$B$6,Tabla225910[[#This Row],[Indicador]])</f>
        <v>723.13090420000003</v>
      </c>
      <c r="O26" s="38" t="str">
        <f t="shared" si="1"/>
        <v>MJ/Ha</v>
      </c>
      <c r="P26" s="36">
        <f>(Tabla225910[[#This Row],[Indicador área]]*$B$5)</f>
        <v>1238723.2388946</v>
      </c>
      <c r="Q26" s="101">
        <f>+Tabla225910[[#This Row],[Consumo energía '[MJ/año']]]/$P$9</f>
        <v>6.0127837363755217E-2</v>
      </c>
      <c r="R26" s="36">
        <f>IF(Tabla225910[[#This Row],[Energético]]="Energía Eléctrica",((Tabla225910[[#This Row],[Participación]]*$D$29)/SUMIF(Tabla225910[Energético],"Energía Eléctrica",Tabla225910[Participación]))*$B$32,Tabla225910[[#This Row],[Consumo energía '[MJ/año']]])</f>
        <v>1238723.2388946</v>
      </c>
    </row>
    <row r="27" spans="1:18" x14ac:dyDescent="0.2">
      <c r="F27" s="32" t="s">
        <v>45</v>
      </c>
      <c r="G27" s="33" t="s">
        <v>14</v>
      </c>
      <c r="H27" s="33" t="s">
        <v>115</v>
      </c>
      <c r="I27" s="33" t="s">
        <v>4</v>
      </c>
      <c r="J27" s="33" t="s">
        <v>47</v>
      </c>
      <c r="K27" s="33" t="s">
        <v>20</v>
      </c>
      <c r="L27" s="34">
        <v>2930.1866850000001</v>
      </c>
      <c r="M27" s="38" t="str">
        <f>IFERROR(RIGHT(Tabla225910[[#This Row],[Unidades indicador producción]], LEN(Tabla225910[[#This Row],[Unidades indicador producción]])-FIND("/", Tabla225910[[#This Row],[Unidades indicador producción]])), "")</f>
        <v>Ha</v>
      </c>
      <c r="N27" s="39">
        <f>IF(Tabla225910[[#This Row],[Parámetro]]="Tn",Tabla225910[[#This Row],[Indicador]]*$B$6,Tabla225910[[#This Row],[Indicador]])</f>
        <v>2930.1866850000001</v>
      </c>
      <c r="O27" s="38" t="str">
        <f t="shared" si="1"/>
        <v>MJ/Ha</v>
      </c>
      <c r="P27" s="36">
        <f>(Tabla225910[[#This Row],[Indicador área]]*$B$5)</f>
        <v>5019409.7914049998</v>
      </c>
      <c r="Q27" s="101">
        <f>+Tabla225910[[#This Row],[Consumo energía '[MJ/año']]]/$P$9</f>
        <v>0.24364300767374261</v>
      </c>
      <c r="R27" s="36">
        <f>IF(Tabla225910[[#This Row],[Energético]]="Energía Eléctrica",((Tabla225910[[#This Row],[Participación]]*$D$29)/SUMIF(Tabla225910[Energético],"Energía Eléctrica",Tabla225910[Participación]))*$B$32,Tabla225910[[#This Row],[Consumo energía '[MJ/año']]])</f>
        <v>5019409.7914049998</v>
      </c>
    </row>
    <row r="28" spans="1:18" x14ac:dyDescent="0.2">
      <c r="A28" s="9" t="s">
        <v>0</v>
      </c>
      <c r="B28" s="9" t="s">
        <v>32</v>
      </c>
      <c r="C28" s="9" t="s">
        <v>33</v>
      </c>
      <c r="D28" s="9" t="s">
        <v>1</v>
      </c>
      <c r="F28" s="32" t="s">
        <v>45</v>
      </c>
      <c r="G28" s="33" t="s">
        <v>15</v>
      </c>
      <c r="H28" s="33" t="s">
        <v>115</v>
      </c>
      <c r="I28" s="33" t="s">
        <v>3</v>
      </c>
      <c r="J28" s="33" t="s">
        <v>23</v>
      </c>
      <c r="K28" s="33" t="s">
        <v>20</v>
      </c>
      <c r="L28" s="34">
        <v>111.08721319999999</v>
      </c>
      <c r="M28" s="38" t="str">
        <f>IFERROR(RIGHT(Tabla225910[[#This Row],[Unidades indicador producción]], LEN(Tabla225910[[#This Row],[Unidades indicador producción]])-FIND("/", Tabla225910[[#This Row],[Unidades indicador producción]])), "")</f>
        <v>Ha</v>
      </c>
      <c r="N28" s="39">
        <f>IF(Tabla225910[[#This Row],[Parámetro]]="Tn",Tabla225910[[#This Row],[Indicador]]*$B$6,Tabla225910[[#This Row],[Indicador]])</f>
        <v>111.08721319999999</v>
      </c>
      <c r="O28" s="38" t="str">
        <f t="shared" si="1"/>
        <v>MJ/Ha</v>
      </c>
      <c r="P28" s="36">
        <f>(Tabla225910[[#This Row],[Indicador área]]*$B$5)</f>
        <v>190292.39621159999</v>
      </c>
      <c r="Q28" s="101">
        <f>+Tabla225910[[#This Row],[Consumo energía '[MJ/año']]]/$P$9</f>
        <v>9.2368253793161589E-3</v>
      </c>
      <c r="R28" s="36">
        <f>IF(Tabla225910[[#This Row],[Energético]]="Energía Eléctrica",((Tabla225910[[#This Row],[Participación]]*$D$29)/SUMIF(Tabla225910[Energético],"Energía Eléctrica",Tabla225910[Participación]))*$B$32,Tabla225910[[#This Row],[Consumo energía '[MJ/año']]])</f>
        <v>190292.39621159999</v>
      </c>
    </row>
    <row r="29" spans="1:18" x14ac:dyDescent="0.2">
      <c r="A29" s="40" t="s">
        <v>2</v>
      </c>
      <c r="B29" s="27">
        <f>+B8</f>
        <v>27317.301787439759</v>
      </c>
      <c r="C29" s="41">
        <f>B29/1000000</f>
        <v>2.7317301787439758E-2</v>
      </c>
      <c r="D29" s="10">
        <f>B29/$B$32</f>
        <v>1.3472290376977721E-3</v>
      </c>
      <c r="F29" s="32" t="s">
        <v>45</v>
      </c>
      <c r="G29" s="33" t="s">
        <v>15</v>
      </c>
      <c r="H29" s="33" t="s">
        <v>115</v>
      </c>
      <c r="I29" s="33" t="s">
        <v>3</v>
      </c>
      <c r="J29" s="33" t="s">
        <v>56</v>
      </c>
      <c r="K29" s="33" t="s">
        <v>20</v>
      </c>
      <c r="L29" s="34">
        <v>113.0709135</v>
      </c>
      <c r="M29" s="38" t="str">
        <f>IFERROR(RIGHT(Tabla225910[[#This Row],[Unidades indicador producción]], LEN(Tabla225910[[#This Row],[Unidades indicador producción]])-FIND("/", Tabla225910[[#This Row],[Unidades indicador producción]])), "")</f>
        <v>Ha</v>
      </c>
      <c r="N29" s="39">
        <f>IF(Tabla225910[[#This Row],[Parámetro]]="Tn",Tabla225910[[#This Row],[Indicador]]*$B$6,Tabla225910[[#This Row],[Indicador]])</f>
        <v>113.0709135</v>
      </c>
      <c r="O29" s="38" t="str">
        <f t="shared" si="1"/>
        <v>MJ/Ha</v>
      </c>
      <c r="P29" s="36">
        <f>(Tabla225910[[#This Row],[Indicador área]]*$B$5)</f>
        <v>193690.47482550002</v>
      </c>
      <c r="Q29" s="101">
        <f>+Tabla225910[[#This Row],[Consumo energía '[MJ/año']]]/$P$9</f>
        <v>9.4017686950064044E-3</v>
      </c>
      <c r="R29" s="36">
        <f>IF(Tabla225910[[#This Row],[Energético]]="Energía Eléctrica",((Tabla225910[[#This Row],[Participación]]*$D$29)/SUMIF(Tabla225910[Energético],"Energía Eléctrica",Tabla225910[Participación]))*$B$32,Tabla225910[[#This Row],[Consumo energía '[MJ/año']]])</f>
        <v>193690.47482550002</v>
      </c>
    </row>
    <row r="30" spans="1:18" x14ac:dyDescent="0.2">
      <c r="A30" s="40" t="s">
        <v>3</v>
      </c>
      <c r="B30" s="27">
        <f>SUMIF(Tabla225910[Energético],A30,Tabla225910[Consumo energía '[MJ/año']])</f>
        <v>6247525.8021317692</v>
      </c>
      <c r="C30" s="41">
        <f>B30/1000000</f>
        <v>6.2475258021317694</v>
      </c>
      <c r="D30" s="10">
        <f>B30/$B$32</f>
        <v>0.30811418491807174</v>
      </c>
      <c r="F30" s="32" t="s">
        <v>45</v>
      </c>
      <c r="G30" s="33" t="s">
        <v>15</v>
      </c>
      <c r="H30" s="33" t="s">
        <v>115</v>
      </c>
      <c r="I30" s="33" t="s">
        <v>2</v>
      </c>
      <c r="J30" s="33" t="s">
        <v>23</v>
      </c>
      <c r="K30" s="33" t="s">
        <v>20</v>
      </c>
      <c r="L30" s="34">
        <v>97.576821330000001</v>
      </c>
      <c r="M30" s="38" t="str">
        <f>IFERROR(RIGHT(Tabla225910[[#This Row],[Unidades indicador producción]], LEN(Tabla225910[[#This Row],[Unidades indicador producción]])-FIND("/", Tabla225910[[#This Row],[Unidades indicador producción]])), "")</f>
        <v>Ha</v>
      </c>
      <c r="N30" s="39">
        <f>IF(Tabla225910[[#This Row],[Parámetro]]="Tn",Tabla225910[[#This Row],[Indicador]]*$B$6,Tabla225910[[#This Row],[Indicador]])</f>
        <v>97.576821330000001</v>
      </c>
      <c r="O30" s="38" t="str">
        <f t="shared" si="1"/>
        <v>MJ/Ha</v>
      </c>
      <c r="P30" s="36">
        <f>(Tabla225910[[#This Row],[Indicador área]]*$B$5)</f>
        <v>167149.09493829001</v>
      </c>
      <c r="Q30" s="101">
        <f>+Tabla225910[[#This Row],[Consumo energía '[MJ/año']]]/$P$9</f>
        <v>8.1134455868584372E-3</v>
      </c>
      <c r="R30" s="36">
        <f>IF(Tabla225910[[#This Row],[Energético]]="Energía Eléctrica",((Tabla225910[[#This Row],[Participación]]*$D$29)/SUMIF(Tabla225910[Energético],"Energía Eléctrica",Tabla225910[Participación]))*$B$32,Tabla225910[[#This Row],[Consumo energía '[MJ/año']]])</f>
        <v>12966.128469570393</v>
      </c>
    </row>
    <row r="31" spans="1:18" x14ac:dyDescent="0.2">
      <c r="A31" s="40" t="s">
        <v>4</v>
      </c>
      <c r="B31" s="27">
        <f>SUMIF(Tabla225910[Energético],A31,Tabla225910[Consumo energía '[MJ/año']])</f>
        <v>14001814.4079477</v>
      </c>
      <c r="C31" s="41">
        <f>B31/1000000</f>
        <v>14.0018144079477</v>
      </c>
      <c r="D31" s="10">
        <f>B31/$B$32</f>
        <v>0.69053858604423057</v>
      </c>
    </row>
    <row r="32" spans="1:18" x14ac:dyDescent="0.2">
      <c r="A32" s="71" t="s">
        <v>107</v>
      </c>
      <c r="B32" s="72">
        <f>SUM(B29:B31)</f>
        <v>20276657.511866909</v>
      </c>
      <c r="C32" s="72">
        <f t="shared" ref="C32:D32" si="2">SUM(C29:C31)</f>
        <v>20.276657511866908</v>
      </c>
      <c r="D32" s="72">
        <f t="shared" si="2"/>
        <v>1</v>
      </c>
    </row>
    <row r="34" spans="1:3" ht="18" x14ac:dyDescent="0.25">
      <c r="A34" s="58" t="s">
        <v>35</v>
      </c>
      <c r="B34" s="58"/>
      <c r="C34" s="58"/>
    </row>
    <row r="35" spans="1:3" x14ac:dyDescent="0.2">
      <c r="A35" s="5" t="str">
        <f>+A4</f>
        <v>Grupo Homogeneo</v>
      </c>
      <c r="B35" s="5" t="s">
        <v>29</v>
      </c>
      <c r="C35" s="5" t="s">
        <v>30</v>
      </c>
    </row>
    <row r="36" spans="1:3" x14ac:dyDescent="0.2">
      <c r="A36" s="42" t="str">
        <f>+$B$4</f>
        <v>Uchuva</v>
      </c>
      <c r="B36" s="41">
        <f>B32/B5</f>
        <v>11836.927911189088</v>
      </c>
      <c r="C36" s="41">
        <f>B36/$B$6</f>
        <v>954.59096057976512</v>
      </c>
    </row>
  </sheetData>
  <mergeCells count="4">
    <mergeCell ref="A3:B3"/>
    <mergeCell ref="F8:L8"/>
    <mergeCell ref="A26:D26"/>
    <mergeCell ref="A34:C34"/>
  </mergeCells>
  <phoneticPr fontId="15" type="noConversion"/>
  <pageMargins left="0.7" right="0.7" top="0.75" bottom="0.75" header="0.3" footer="0.3"/>
  <pageSetup paperSize="9"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FFF6588-1510-4A67-8FA1-09EF87C63CE2}">
          <x14:formula1>
            <xm:f>Participación!$A$1:$A$11</xm:f>
          </x14:formula1>
          <xm:sqref>A29:A31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19022F-AD1D-4980-A1A5-05E0F1CE9225}">
  <dimension ref="B1:D22"/>
  <sheetViews>
    <sheetView topLeftCell="A2" workbookViewId="0">
      <selection activeCell="D11" sqref="D11"/>
    </sheetView>
  </sheetViews>
  <sheetFormatPr baseColWidth="10" defaultRowHeight="12.75" x14ac:dyDescent="0.2"/>
  <cols>
    <col min="2" max="2" width="16.28515625" customWidth="1"/>
    <col min="3" max="3" width="24.5703125" customWidth="1"/>
  </cols>
  <sheetData>
    <row r="1" spans="2:4" ht="13.5" thickBot="1" x14ac:dyDescent="0.25"/>
    <row r="2" spans="2:4" ht="26.25" thickBot="1" x14ac:dyDescent="0.25">
      <c r="B2" s="12" t="s">
        <v>36</v>
      </c>
      <c r="C2" s="13" t="s">
        <v>37</v>
      </c>
    </row>
    <row r="3" spans="2:4" ht="13.5" thickBot="1" x14ac:dyDescent="0.25">
      <c r="B3" s="15">
        <v>36205</v>
      </c>
      <c r="C3" s="16">
        <v>1174995</v>
      </c>
      <c r="D3" s="17">
        <f>C3/B3</f>
        <v>32.453942825576576</v>
      </c>
    </row>
    <row r="4" spans="2:4" ht="13.5" thickBot="1" x14ac:dyDescent="0.25">
      <c r="B4" s="15">
        <v>13779</v>
      </c>
      <c r="C4" s="16">
        <v>453310</v>
      </c>
      <c r="D4" s="17">
        <f>C4/B4</f>
        <v>32.898613832643875</v>
      </c>
    </row>
    <row r="5" spans="2:4" ht="13.5" thickBot="1" x14ac:dyDescent="0.25">
      <c r="B5" s="15">
        <v>7347</v>
      </c>
      <c r="C5" s="16">
        <v>170604</v>
      </c>
      <c r="D5" s="17">
        <f t="shared" ref="D5:D8" si="0">C5/B5</f>
        <v>23.220906492445895</v>
      </c>
    </row>
    <row r="6" spans="2:4" ht="13.5" thickBot="1" x14ac:dyDescent="0.25">
      <c r="B6" s="15">
        <v>1713</v>
      </c>
      <c r="C6" s="16">
        <v>16377</v>
      </c>
      <c r="D6" s="17">
        <f t="shared" si="0"/>
        <v>9.5604203152364278</v>
      </c>
    </row>
    <row r="7" spans="2:4" ht="13.5" thickBot="1" x14ac:dyDescent="0.25">
      <c r="B7" s="15">
        <v>19853</v>
      </c>
      <c r="C7" s="16">
        <v>220920</v>
      </c>
      <c r="D7" s="17">
        <f t="shared" si="0"/>
        <v>11.127789250994812</v>
      </c>
    </row>
    <row r="8" spans="2:4" ht="13.5" thickBot="1" x14ac:dyDescent="0.25">
      <c r="B8" s="15">
        <v>4949</v>
      </c>
      <c r="C8" s="16">
        <v>71595</v>
      </c>
      <c r="D8" s="17">
        <f t="shared" si="0"/>
        <v>14.466558900788039</v>
      </c>
    </row>
    <row r="10" spans="2:4" x14ac:dyDescent="0.2">
      <c r="B10" s="14">
        <f>SUM(B3:B8)</f>
        <v>83846</v>
      </c>
      <c r="C10" s="14">
        <f>SUM(C3:C8)</f>
        <v>2107801</v>
      </c>
      <c r="D10" s="17">
        <f>C10/B10</f>
        <v>25.138957135701165</v>
      </c>
    </row>
    <row r="15" spans="2:4" ht="13.5" thickBot="1" x14ac:dyDescent="0.25"/>
    <row r="16" spans="2:4" ht="39" thickBot="1" x14ac:dyDescent="0.25">
      <c r="D16" s="12" t="s">
        <v>38</v>
      </c>
    </row>
    <row r="17" spans="4:4" ht="13.5" thickBot="1" x14ac:dyDescent="0.25">
      <c r="D17" s="18" t="s">
        <v>39</v>
      </c>
    </row>
    <row r="18" spans="4:4" ht="13.5" thickBot="1" x14ac:dyDescent="0.25">
      <c r="D18" s="18" t="s">
        <v>40</v>
      </c>
    </row>
    <row r="19" spans="4:4" ht="13.5" thickBot="1" x14ac:dyDescent="0.25">
      <c r="D19" s="18" t="s">
        <v>41</v>
      </c>
    </row>
    <row r="20" spans="4:4" ht="13.5" thickBot="1" x14ac:dyDescent="0.25">
      <c r="D20" s="18" t="s">
        <v>42</v>
      </c>
    </row>
    <row r="21" spans="4:4" ht="13.5" thickBot="1" x14ac:dyDescent="0.25">
      <c r="D21" s="18" t="s">
        <v>43</v>
      </c>
    </row>
    <row r="22" spans="4:4" ht="13.5" thickBot="1" x14ac:dyDescent="0.25">
      <c r="D22" s="18" t="s">
        <v>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Participación</vt:lpstr>
      <vt:lpstr>Piña</vt:lpstr>
      <vt:lpstr>Pasifloras</vt:lpstr>
      <vt:lpstr>Fresa</vt:lpstr>
      <vt:lpstr>Papaya</vt:lpstr>
      <vt:lpstr>Uchuva</vt:lpstr>
      <vt:lpstr>Hoja3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Andrés Steven Morales Rodríguez</dc:creator>
  <cp:lastModifiedBy>Andrés Steven Morales Rodríguez</cp:lastModifiedBy>
  <dcterms:created xsi:type="dcterms:W3CDTF">2023-12-20T19:43:59Z</dcterms:created>
  <dcterms:modified xsi:type="dcterms:W3CDTF">2024-01-23T22:16:46Z</dcterms:modified>
</cp:coreProperties>
</file>