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10300179-FC6C-4880-95F8-42FCFE321A89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Cerdos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1" l="1"/>
  <c r="L16" i="1"/>
  <c r="L17" i="1"/>
  <c r="L18" i="1"/>
  <c r="L19" i="1"/>
  <c r="L20" i="1"/>
  <c r="L21" i="1"/>
  <c r="N21" i="1" s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N16" i="1"/>
  <c r="B14" i="1" l="1"/>
  <c r="B5" i="1" s="1"/>
  <c r="C42" i="1"/>
  <c r="L13" i="1" l="1"/>
  <c r="L14" i="1"/>
  <c r="L12" i="1"/>
  <c r="L10" i="1"/>
  <c r="L11" i="1"/>
  <c r="B29" i="1"/>
  <c r="B7" i="1" l="1"/>
  <c r="B28" i="1" s="1"/>
  <c r="A41" i="1"/>
  <c r="A42" i="1"/>
  <c r="B30" i="1" l="1"/>
  <c r="C30" i="1" l="1"/>
  <c r="B31" i="1"/>
  <c r="C28" i="1"/>
  <c r="L8" i="1"/>
  <c r="C29" i="1"/>
  <c r="M18" i="1" l="1"/>
  <c r="M22" i="1"/>
  <c r="M26" i="1"/>
  <c r="M30" i="1"/>
  <c r="M34" i="1"/>
  <c r="M38" i="1"/>
  <c r="M42" i="1"/>
  <c r="M20" i="1"/>
  <c r="M28" i="1"/>
  <c r="M36" i="1"/>
  <c r="M17" i="1"/>
  <c r="M25" i="1"/>
  <c r="M33" i="1"/>
  <c r="M37" i="1"/>
  <c r="M15" i="1"/>
  <c r="M19" i="1"/>
  <c r="M23" i="1"/>
  <c r="M27" i="1"/>
  <c r="M31" i="1"/>
  <c r="M35" i="1"/>
  <c r="M39" i="1"/>
  <c r="M43" i="1"/>
  <c r="M16" i="1"/>
  <c r="M24" i="1"/>
  <c r="M32" i="1"/>
  <c r="M40" i="1"/>
  <c r="M29" i="1"/>
  <c r="M41" i="1"/>
  <c r="M21" i="1"/>
  <c r="C31" i="1"/>
  <c r="M10" i="1"/>
  <c r="M14" i="1"/>
  <c r="M11" i="1"/>
  <c r="M12" i="1"/>
  <c r="M13" i="1"/>
  <c r="D28" i="1"/>
  <c r="D29" i="1"/>
  <c r="D30" i="1"/>
  <c r="N20" i="1" l="1"/>
  <c r="N28" i="1"/>
  <c r="N36" i="1"/>
  <c r="N15" i="1"/>
  <c r="N23" i="1"/>
  <c r="N31" i="1"/>
  <c r="N39" i="1"/>
  <c r="N24" i="1"/>
  <c r="N40" i="1"/>
  <c r="N19" i="1"/>
  <c r="N27" i="1"/>
  <c r="N35" i="1"/>
  <c r="N43" i="1"/>
  <c r="N32" i="1"/>
  <c r="N37" i="1"/>
  <c r="N30" i="1"/>
  <c r="N41" i="1"/>
  <c r="N17" i="1"/>
  <c r="N38" i="1"/>
  <c r="N29" i="1"/>
  <c r="N18" i="1"/>
  <c r="N42" i="1"/>
  <c r="N26" i="1"/>
  <c r="N33" i="1"/>
  <c r="N22" i="1"/>
  <c r="N34" i="1"/>
  <c r="N25" i="1"/>
  <c r="N13" i="1"/>
  <c r="D31" i="1"/>
  <c r="N11" i="1"/>
  <c r="N12" i="1"/>
  <c r="N14" i="1"/>
  <c r="N10" i="1"/>
  <c r="N8" i="1" l="1"/>
</calcChain>
</file>

<file path=xl/sharedStrings.xml><?xml version="1.0" encoding="utf-8"?>
<sst xmlns="http://schemas.openxmlformats.org/spreadsheetml/2006/main" count="221" uniqueCount="71">
  <si>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</si>
  <si>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</si>
  <si>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</si>
  <si>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</si>
  <si>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</si>
  <si>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</si>
  <si>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</si>
  <si>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</si>
  <si>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</si>
  <si>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</si>
  <si>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</si>
  <si>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</si>
  <si>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</si>
  <si>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Consumo Eléctricidad por sector</t>
  </si>
  <si>
    <t>Grupo Homogéneo</t>
  </si>
  <si>
    <t>Proceso</t>
  </si>
  <si>
    <t>Energético</t>
  </si>
  <si>
    <t>Transporte interno</t>
  </si>
  <si>
    <t>Indicador</t>
  </si>
  <si>
    <t>Tabla 7 y Tabla 10</t>
  </si>
  <si>
    <t>Indicador [MJ/Ha]</t>
  </si>
  <si>
    <t>Grupo Homogeneo</t>
  </si>
  <si>
    <t>MJ/año</t>
  </si>
  <si>
    <t>TJ/año</t>
  </si>
  <si>
    <t>Tabla 9</t>
  </si>
  <si>
    <t>Mantenimiento</t>
  </si>
  <si>
    <t>Crianza y crecimiento</t>
  </si>
  <si>
    <t>Alimentación</t>
  </si>
  <si>
    <t>Unidades indicador área</t>
  </si>
  <si>
    <t>Debe estar en MJ/Ha</t>
  </si>
  <si>
    <t>Número de cabezas Colombia</t>
  </si>
  <si>
    <t>Cerdos</t>
  </si>
  <si>
    <t>MJ/Número de madres reproductoras</t>
  </si>
  <si>
    <t>Limpieza</t>
  </si>
  <si>
    <t>Inseminación</t>
  </si>
  <si>
    <t>Gestación</t>
  </si>
  <si>
    <t>Parideras</t>
  </si>
  <si>
    <t>Pre cebo</t>
  </si>
  <si>
    <t>Levante</t>
  </si>
  <si>
    <t>Ceba</t>
  </si>
  <si>
    <t>Levante y ceba</t>
  </si>
  <si>
    <t xml:space="preserve">Esperma </t>
  </si>
  <si>
    <t>Laboratorio</t>
  </si>
  <si>
    <t>Maternidad</t>
  </si>
  <si>
    <t>Oficina Maternidad</t>
  </si>
  <si>
    <t xml:space="preserve">Tratamiento del agua </t>
  </si>
  <si>
    <t>Sistema de ferti-riego</t>
  </si>
  <si>
    <t>No aplica</t>
  </si>
  <si>
    <t>Indicador [MJ/Número de madres reproductoras]</t>
  </si>
  <si>
    <t>tecnificado</t>
  </si>
  <si>
    <t>Familiar</t>
  </si>
  <si>
    <t>Tras patio</t>
  </si>
  <si>
    <t>Comercial e industrial</t>
  </si>
  <si>
    <t>Uso final de energía</t>
  </si>
  <si>
    <t>Fuerza motriz</t>
  </si>
  <si>
    <t>Otros</t>
  </si>
  <si>
    <t>Calor directo</t>
  </si>
  <si>
    <t>Iluminación</t>
  </si>
  <si>
    <t>Climatización</t>
  </si>
  <si>
    <t>Refrigeración</t>
  </si>
  <si>
    <t>Dato comercial por CIIU de XM [kWh/año]</t>
  </si>
  <si>
    <t>Consumo energía [MJ/año]</t>
  </si>
  <si>
    <t>Consumo energía corregida [MJ/año]</t>
  </si>
  <si>
    <t>Item</t>
  </si>
  <si>
    <t>Sector</t>
  </si>
  <si>
    <t>Dato de información secundaria [madres reproductoras] ICA</t>
  </si>
  <si>
    <t>N° madres reproductoras</t>
  </si>
  <si>
    <t>Total</t>
  </si>
  <si>
    <t>Tabla 8. Indicador producción</t>
  </si>
  <si>
    <t>Total [MJ/año]</t>
  </si>
  <si>
    <t>Consumo Eléctricidad por sector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</si>
</sst>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Border="1"/>
    <xf numFmtId="9" fontId="0" fillId="0" borderId="0" xfId="0" applyNumberFormat="1" applyBorder="1"/>
    <xf numFmtId="4" fontId="0" fillId="0" borderId="0" xfId="0" applyNumberFormat="1" applyFill="1" applyBorder="1"/>
    <xf numFmtId="4" fontId="4" fillId="5" borderId="0" xfId="0" applyNumberFormat="1" applyFont="1" applyFill="1" applyAlignment="1">
      <alignment horizontal="center" vertical="center"/>
    </xf>
    <xf numFmtId="0" fontId="0" fillId="0" borderId="0" xfId="0" applyFont="1" applyFill="1" applyBorder="1"/>
    <xf numFmtId="4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4" fontId="0" fillId="0" borderId="6" xfId="0" applyNumberFormat="1" applyFont="1" applyBorder="1" applyAlignment="1">
      <alignment horizontal="center"/>
    </xf>
    <xf numFmtId="9" fontId="0" fillId="2" borderId="1" xfId="0" applyNumberFormat="1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center"/>
    </xf>
    <xf numFmtId="10" fontId="0" fillId="0" borderId="4" xfId="1" applyNumberFormat="1" applyFont="1" applyFill="1" applyBorder="1" applyAlignment="1">
      <alignment horizontal="center"/>
    </xf>
    <xf numFmtId="10" fontId="0" fillId="0" borderId="1" xfId="1" applyNumberFormat="1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 vertical="center"/>
    </xf>
    <xf numFmtId="0" fontId="7" fillId="0" borderId="0" xfId="0" applyFont="1" applyAlignment="1"/>
    <xf numFmtId="0" fontId="0" fillId="0" borderId="1" xfId="0" applyBorder="1"/>
    <xf numFmtId="0" fontId="3" fillId="7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/>
    <xf numFmtId="164" fontId="0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3" fillId="7" borderId="1" xfId="0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9" fontId="3" fillId="7" borderId="1" xfId="1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14"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2" formatCode="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9:N43" totalsRowShown="0" headerRowDxfId="13" dataDxfId="11" headerRowBorderDxfId="12" tableBorderDxfId="10" totalsRowBorderDxfId="9">
  <autoFilter ref="F9:N43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sortState xmlns:xlrd2="http://schemas.microsoft.com/office/spreadsheetml/2017/richdata2" ref="F10:L10">
    <sortCondition descending="1" ref="L9:L10"/>
  </sortState>
  <tableColumns count="9">
    <tableColumn id="1" xr3:uid="{097AA7CE-2C19-4522-AFCC-2D7077ABB6B9}" name="Grupo Homogéneo" dataDxfId="8"/>
    <tableColumn id="2" xr3:uid="{B5D1F10D-371F-4B26-972F-7E20D881EF10}" name="Proceso" dataDxfId="7"/>
    <tableColumn id="8" xr3:uid="{ED6E2C5B-A687-4545-AF7B-35C83BC38599}" name="Uso final de energía" dataDxfId="6"/>
    <tableColumn id="3" xr3:uid="{D5C4E4C9-E4CD-42F0-B878-EAED958F5FA0}" name="Energético" dataDxfId="5"/>
    <tableColumn id="4" xr3:uid="{B7B5D837-72C9-44E9-A5D9-0A2D73C6B023}" name="Unidades indicador área" dataDxfId="4"/>
    <tableColumn id="5" xr3:uid="{3CF749A7-0CC3-4EAE-8383-BA07291F80FF}" name="Indicador" dataDxfId="3"/>
    <tableColumn id="10" xr3:uid="{E16307D2-7B0D-4BEC-94C3-8D5C9401D2A7}" name="Consumo energía [MJ/año]" dataDxfId="2">
      <calculatedColumnFormula>Tabla2[[#This Row],[Indicador]]*$B$5</calculatedColumnFormula>
    </tableColumn>
    <tableColumn id="6" xr3:uid="{ADE36F07-A97F-4DF5-852D-7193039D8429}" name="Participación" dataDxfId="1" dataCellStyle="Porcentaje">
      <calculatedColumnFormula>+Tabla2[[#This Row],[Consumo energía '[MJ/año']]]/$L$8</calculatedColumnFormula>
    </tableColumn>
    <tableColumn id="7" xr3:uid="{5F410A77-C486-4F88-8C74-B2663E95479D}" name="Consumo energía corregida [MJ/año]" dataDxfId="0">
      <calculatedColumnFormula>IF(Tabla2[[#This Row],[Energético]]="Energía Eléctrica",((Tabla2[[#This Row],[Participación]]*$D$28)/SUMIF(Tabla2[Energético],"Energía Eléctrica",Tabla2[Participación]))*$B$31,Tabla2[[#This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N43"/>
  <sheetViews>
    <sheetView showGridLines="0" tabSelected="1" topLeftCell="A17" workbookViewId="0">
      <selection activeCell="E38" sqref="E38"/>
    </sheetView>
  </sheetViews>
  <sheetFormatPr baseColWidth="10" defaultRowHeight="12.75" x14ac:dyDescent="0.2"/>
  <cols>
    <col min="1" max="1" width="28.28515625" customWidth="1"/>
    <col min="2" max="2" width="16.42578125" customWidth="1"/>
    <col min="3" max="3" width="18.85546875" customWidth="1"/>
    <col min="4" max="4" width="13" bestFit="1" customWidth="1"/>
    <col min="5" max="5" width="15.85546875" customWidth="1"/>
    <col min="6" max="6" width="20.28515625" customWidth="1"/>
    <col min="7" max="8" width="30.5703125" customWidth="1"/>
    <col min="9" max="9" width="26.5703125" customWidth="1"/>
    <col min="10" max="10" width="32.140625" bestFit="1" customWidth="1"/>
    <col min="11" max="11" width="19.7109375" customWidth="1"/>
    <col min="12" max="12" width="24.5703125" customWidth="1"/>
    <col min="14" max="14" width="27.7109375" customWidth="1"/>
  </cols>
  <sheetData>
    <row r="1" spans="1:14" ht="18" x14ac:dyDescent="0.25">
      <c r="A1" s="13"/>
      <c r="D1" s="25"/>
      <c r="E1" s="27"/>
      <c r="F1" s="25"/>
      <c r="G1" s="26"/>
      <c r="H1" s="26"/>
      <c r="I1" s="27"/>
    </row>
    <row r="2" spans="1:14" x14ac:dyDescent="0.2">
      <c r="D2" s="25"/>
      <c r="E2" s="25"/>
      <c r="F2" s="25"/>
      <c r="G2" s="26"/>
      <c r="H2" s="26"/>
      <c r="I2" s="27"/>
    </row>
    <row r="3" spans="1:14" ht="20.25" x14ac:dyDescent="0.2">
      <c r="A3" s="56" t="s">
        <v>64</v>
      </c>
      <c r="B3" s="57"/>
      <c r="C3" s="4"/>
      <c r="D3" s="25"/>
      <c r="E3" s="25"/>
      <c r="F3" s="25"/>
      <c r="G3" s="26"/>
      <c r="H3" s="26"/>
      <c r="I3" s="27"/>
    </row>
    <row r="4" spans="1:14" x14ac:dyDescent="0.2">
      <c r="A4" s="5" t="s">
        <v>21</v>
      </c>
      <c r="B4" s="12" t="s">
        <v>31</v>
      </c>
      <c r="C4" s="4"/>
      <c r="F4" s="25"/>
      <c r="G4" s="26"/>
      <c r="H4" s="26"/>
      <c r="I4" s="27"/>
    </row>
    <row r="5" spans="1:14" x14ac:dyDescent="0.2">
      <c r="A5" s="6" t="s">
        <v>30</v>
      </c>
      <c r="B5" s="7">
        <f>+B14</f>
        <v>490087</v>
      </c>
      <c r="C5" s="43" t="s">
        <v>65</v>
      </c>
    </row>
    <row r="6" spans="1:14" ht="25.5" x14ac:dyDescent="0.2">
      <c r="A6" s="8" t="s">
        <v>13</v>
      </c>
      <c r="B6" s="7">
        <v>2417707.0930079734</v>
      </c>
      <c r="C6" s="43" t="s">
        <v>60</v>
      </c>
    </row>
    <row r="7" spans="1:14" ht="26.25" x14ac:dyDescent="0.25">
      <c r="A7" s="8" t="s">
        <v>70</v>
      </c>
      <c r="B7" s="20">
        <f>+B6*3.6</f>
        <v>8703745.5348287039</v>
      </c>
      <c r="C7" s="1"/>
      <c r="F7" s="58" t="s">
        <v>68</v>
      </c>
      <c r="G7" s="58"/>
      <c r="H7" s="58"/>
      <c r="I7" s="58"/>
      <c r="J7" s="58"/>
      <c r="K7" s="58"/>
      <c r="N7" s="11" t="s">
        <v>69</v>
      </c>
    </row>
    <row r="8" spans="1:14" ht="35.25" customHeight="1" x14ac:dyDescent="0.25">
      <c r="J8" s="3" t="s">
        <v>29</v>
      </c>
      <c r="L8" s="42">
        <f>SUM(Tabla2[Consumo energía '[MJ/año']])</f>
        <v>127843752.7234491</v>
      </c>
      <c r="N8" s="28">
        <f>SUM(Tabla2[Consumo energía corregida '[MJ/año']])</f>
        <v>26663535.213587038</v>
      </c>
    </row>
    <row r="9" spans="1:14" s="2" customFormat="1" ht="25.5" x14ac:dyDescent="0.2">
      <c r="A9" s="14" t="s">
        <v>63</v>
      </c>
      <c r="B9" s="14" t="s">
        <v>66</v>
      </c>
      <c r="F9" s="21" t="s">
        <v>14</v>
      </c>
      <c r="G9" s="22" t="s">
        <v>15</v>
      </c>
      <c r="H9" s="22" t="s">
        <v>53</v>
      </c>
      <c r="I9" s="22" t="s">
        <v>16</v>
      </c>
      <c r="J9" s="23" t="s">
        <v>28</v>
      </c>
      <c r="K9" s="22" t="s">
        <v>18</v>
      </c>
      <c r="L9" s="33" t="s">
        <v>61</v>
      </c>
      <c r="M9" s="33" t="s">
        <v>1</v>
      </c>
      <c r="N9" s="33" t="s">
        <v>62</v>
      </c>
    </row>
    <row r="10" spans="1:14" x14ac:dyDescent="0.2">
      <c r="A10" s="44" t="s">
        <v>49</v>
      </c>
      <c r="B10" s="44">
        <v>224040</v>
      </c>
      <c r="F10" s="34" t="s">
        <v>31</v>
      </c>
      <c r="G10" s="35" t="s">
        <v>25</v>
      </c>
      <c r="H10" s="35" t="s">
        <v>54</v>
      </c>
      <c r="I10" s="35" t="s">
        <v>2</v>
      </c>
      <c r="J10" s="35" t="s">
        <v>32</v>
      </c>
      <c r="K10" s="36">
        <v>0.77192249316999995</v>
      </c>
      <c r="L10" s="37">
        <f>Tabla2[[#This Row],[Indicador]]*$B$5</f>
        <v>378309.17891020578</v>
      </c>
      <c r="M10" s="40">
        <f>+Tabla2[[#This Row],[Consumo energía '[MJ/año']]]/$L$8</f>
        <v>2.9591526441543228E-3</v>
      </c>
      <c r="N10" s="54">
        <f>IF(Tabla2[[#This Row],[Energético]]="Energía Eléctrica",((Tabla2[[#This Row],[Participación]]*$D$28)/SUMIF(Tabla2[Energético],"Energía Eléctrica",Tabla2[Participación]))*$B$31,Tabla2[[#This Row],[Consumo energía '[MJ/año']]])</f>
        <v>29965.30827146491</v>
      </c>
    </row>
    <row r="11" spans="1:14" x14ac:dyDescent="0.2">
      <c r="A11" s="44" t="s">
        <v>52</v>
      </c>
      <c r="B11" s="44">
        <v>73425</v>
      </c>
      <c r="F11" s="34" t="s">
        <v>31</v>
      </c>
      <c r="G11" s="35" t="s">
        <v>25</v>
      </c>
      <c r="H11" s="35" t="s">
        <v>55</v>
      </c>
      <c r="I11" s="35" t="s">
        <v>2</v>
      </c>
      <c r="J11" s="35" t="s">
        <v>32</v>
      </c>
      <c r="K11" s="36">
        <v>0.77192249316999995</v>
      </c>
      <c r="L11" s="37">
        <f>Tabla2[[#This Row],[Indicador]]*$B$5</f>
        <v>378309.17891020578</v>
      </c>
      <c r="M11" s="41">
        <f>+Tabla2[[#This Row],[Consumo energía '[MJ/año']]]/$L$8</f>
        <v>2.9591526441543228E-3</v>
      </c>
      <c r="N11" s="54">
        <f>IF(Tabla2[[#This Row],[Energético]]="Energía Eléctrica",((Tabla2[[#This Row],[Participación]]*$D$28)/SUMIF(Tabla2[Energético],"Energía Eléctrica",Tabla2[Participación]))*$B$31,Tabla2[[#This Row],[Consumo energía '[MJ/año']]])</f>
        <v>29965.30827146491</v>
      </c>
    </row>
    <row r="12" spans="1:14" x14ac:dyDescent="0.2">
      <c r="A12" s="44" t="s">
        <v>50</v>
      </c>
      <c r="B12" s="44">
        <v>113864</v>
      </c>
      <c r="F12" s="34" t="s">
        <v>31</v>
      </c>
      <c r="G12" s="35" t="s">
        <v>25</v>
      </c>
      <c r="H12" s="35" t="s">
        <v>54</v>
      </c>
      <c r="I12" s="35" t="s">
        <v>9</v>
      </c>
      <c r="J12" s="35" t="s">
        <v>32</v>
      </c>
      <c r="K12" s="36">
        <v>25.094928558589999</v>
      </c>
      <c r="L12" s="37">
        <f>Tabla2[[#This Row],[Indicador]]*$B$5</f>
        <v>12298698.252493696</v>
      </c>
      <c r="M12" s="41">
        <f>+Tabla2[[#This Row],[Consumo energía '[MJ/año']]]/$L$8</f>
        <v>9.6201010925408087E-2</v>
      </c>
      <c r="N12" s="54">
        <f>IF(Tabla2[[#This Row],[Energético]]="Energía Eléctrica",((Tabla2[[#This Row],[Participación]]*$D$28)/SUMIF(Tabla2[Energético],"Energía Eléctrica",Tabla2[Participación]))*$B$31,Tabla2[[#This Row],[Consumo energía '[MJ/año']]])</f>
        <v>12298698.252493696</v>
      </c>
    </row>
    <row r="13" spans="1:14" x14ac:dyDescent="0.2">
      <c r="A13" s="44" t="s">
        <v>51</v>
      </c>
      <c r="B13" s="44">
        <v>78758</v>
      </c>
      <c r="F13" s="34" t="s">
        <v>31</v>
      </c>
      <c r="G13" s="38" t="s">
        <v>33</v>
      </c>
      <c r="H13" s="38" t="s">
        <v>56</v>
      </c>
      <c r="I13" s="39" t="s">
        <v>2</v>
      </c>
      <c r="J13" s="35" t="s">
        <v>32</v>
      </c>
      <c r="K13" s="36">
        <v>0.72598655999999995</v>
      </c>
      <c r="L13" s="37">
        <f>Tabla2[[#This Row],[Indicador]]*$B$5</f>
        <v>355796.57523071999</v>
      </c>
      <c r="M13" s="41">
        <f>+Tabla2[[#This Row],[Consumo energía '[MJ/año']]]/$L$8</f>
        <v>2.7830579723389158E-3</v>
      </c>
      <c r="N13" s="54">
        <f>IF(Tabla2[[#This Row],[Energético]]="Energía Eléctrica",((Tabla2[[#This Row],[Participación]]*$D$28)/SUMIF(Tabla2[Energético],"Energía Eléctrica",Tabla2[Participación]))*$B$31,Tabla2[[#This Row],[Consumo energía '[MJ/año']]])</f>
        <v>28182.118365281774</v>
      </c>
    </row>
    <row r="14" spans="1:14" x14ac:dyDescent="0.2">
      <c r="A14" s="45" t="s">
        <v>67</v>
      </c>
      <c r="B14" s="51">
        <f>SUM(B10:B13)</f>
        <v>490087</v>
      </c>
      <c r="F14" s="34" t="s">
        <v>31</v>
      </c>
      <c r="G14" s="38" t="s">
        <v>33</v>
      </c>
      <c r="H14" s="38" t="s">
        <v>54</v>
      </c>
      <c r="I14" s="39" t="s">
        <v>2</v>
      </c>
      <c r="J14" s="35" t="s">
        <v>32</v>
      </c>
      <c r="K14" s="36">
        <v>0.72598655999999995</v>
      </c>
      <c r="L14" s="37">
        <f>Tabla2[[#This Row],[Indicador]]*$B$5</f>
        <v>355796.57523071999</v>
      </c>
      <c r="M14" s="41">
        <f>+Tabla2[[#This Row],[Consumo energía '[MJ/año']]]/$L$8</f>
        <v>2.7830579723389158E-3</v>
      </c>
      <c r="N14" s="54">
        <f>IF(Tabla2[[#This Row],[Energético]]="Energía Eléctrica",((Tabla2[[#This Row],[Participación]]*$D$28)/SUMIF(Tabla2[Energético],"Energía Eléctrica",Tabla2[Participación]))*$B$31,Tabla2[[#This Row],[Consumo energía '[MJ/año']]])</f>
        <v>28182.118365281774</v>
      </c>
    </row>
    <row r="15" spans="1:14" x14ac:dyDescent="0.2">
      <c r="F15" s="34" t="s">
        <v>31</v>
      </c>
      <c r="G15" s="35" t="s">
        <v>33</v>
      </c>
      <c r="H15" s="35" t="s">
        <v>57</v>
      </c>
      <c r="I15" s="35" t="s">
        <v>2</v>
      </c>
      <c r="J15" s="35" t="s">
        <v>32</v>
      </c>
      <c r="K15" s="36">
        <v>0.72598655999999995</v>
      </c>
      <c r="L15" s="53">
        <f>Tabla2[[#This Row],[Indicador]]*$B$5</f>
        <v>355796.57523071999</v>
      </c>
      <c r="M15" s="41">
        <f>+Tabla2[[#This Row],[Consumo energía '[MJ/año']]]/$L$8</f>
        <v>2.7830579723389158E-3</v>
      </c>
      <c r="N15" s="55">
        <f>IF(Tabla2[[#This Row],[Energético]]="Energía Eléctrica",((Tabla2[[#This Row],[Participación]]*$D$28)/SUMIF(Tabla2[Energético],"Energía Eléctrica",Tabla2[Participación]))*$B$31,Tabla2[[#This Row],[Consumo energía '[MJ/año']]])</f>
        <v>28182.118365281774</v>
      </c>
    </row>
    <row r="16" spans="1:14" x14ac:dyDescent="0.2">
      <c r="F16" s="34" t="s">
        <v>31</v>
      </c>
      <c r="G16" s="35" t="s">
        <v>26</v>
      </c>
      <c r="H16" s="35" t="s">
        <v>54</v>
      </c>
      <c r="I16" s="35" t="s">
        <v>3</v>
      </c>
      <c r="J16" s="35" t="s">
        <v>32</v>
      </c>
      <c r="K16" s="36">
        <v>2.2543733525</v>
      </c>
      <c r="L16" s="53">
        <f>Tabla2[[#This Row],[Indicador]]*$B$5</f>
        <v>1104839.0732066676</v>
      </c>
      <c r="M16" s="41">
        <f>+Tabla2[[#This Row],[Consumo energía '[MJ/año']]]/$L$8</f>
        <v>8.6421045195430816E-3</v>
      </c>
      <c r="N16" s="55">
        <f>IF(Tabla2[[#This Row],[Energético]]="Energía Eléctrica",((Tabla2[[#This Row],[Participación]]*$D$28)/SUMIF(Tabla2[Energético],"Energía Eléctrica",Tabla2[Participación]))*$B$31,Tabla2[[#This Row],[Consumo energía '[MJ/año']]])</f>
        <v>1104839.0732066676</v>
      </c>
    </row>
    <row r="17" spans="1:14" x14ac:dyDescent="0.2">
      <c r="F17" s="34" t="s">
        <v>31</v>
      </c>
      <c r="G17" s="35" t="s">
        <v>26</v>
      </c>
      <c r="H17" s="35" t="s">
        <v>58</v>
      </c>
      <c r="I17" s="35" t="s">
        <v>2</v>
      </c>
      <c r="J17" s="35" t="s">
        <v>32</v>
      </c>
      <c r="K17" s="36">
        <v>21.748518639250001</v>
      </c>
      <c r="L17" s="53">
        <f>Tabla2[[#This Row],[Indicador]]*$B$5</f>
        <v>10658666.254354116</v>
      </c>
      <c r="M17" s="41">
        <f>+Tabla2[[#This Row],[Consumo energía '[MJ/año']]]/$L$8</f>
        <v>8.3372601533458449E-2</v>
      </c>
      <c r="N17" s="55">
        <f>IF(Tabla2[[#This Row],[Energético]]="Energía Eléctrica",((Tabla2[[#This Row],[Participación]]*$D$28)/SUMIF(Tabla2[Energético],"Energía Eléctrica",Tabla2[Participación]))*$B$31,Tabla2[[#This Row],[Consumo energía '[MJ/año']]])</f>
        <v>844257.12586315721</v>
      </c>
    </row>
    <row r="18" spans="1:14" x14ac:dyDescent="0.2">
      <c r="F18" s="34" t="s">
        <v>31</v>
      </c>
      <c r="G18" s="35" t="s">
        <v>26</v>
      </c>
      <c r="H18" s="35" t="s">
        <v>57</v>
      </c>
      <c r="I18" s="35" t="s">
        <v>2</v>
      </c>
      <c r="J18" s="35" t="s">
        <v>32</v>
      </c>
      <c r="K18" s="36">
        <v>21.748518639250001</v>
      </c>
      <c r="L18" s="53">
        <f>Tabla2[[#This Row],[Indicador]]*$B$5</f>
        <v>10658666.254354116</v>
      </c>
      <c r="M18" s="41">
        <f>+Tabla2[[#This Row],[Consumo energía '[MJ/año']]]/$L$8</f>
        <v>8.3372601533458449E-2</v>
      </c>
      <c r="N18" s="55">
        <f>IF(Tabla2[[#This Row],[Energético]]="Energía Eléctrica",((Tabla2[[#This Row],[Participación]]*$D$28)/SUMIF(Tabla2[Energético],"Energía Eléctrica",Tabla2[Participación]))*$B$31,Tabla2[[#This Row],[Consumo energía '[MJ/año']]])</f>
        <v>844257.12586315721</v>
      </c>
    </row>
    <row r="19" spans="1:14" x14ac:dyDescent="0.2">
      <c r="F19" s="34" t="s">
        <v>31</v>
      </c>
      <c r="G19" s="35" t="s">
        <v>26</v>
      </c>
      <c r="H19" s="35" t="s">
        <v>55</v>
      </c>
      <c r="I19" s="35" t="s">
        <v>2</v>
      </c>
      <c r="J19" s="35" t="s">
        <v>32</v>
      </c>
      <c r="K19" s="36">
        <v>21.748518639250001</v>
      </c>
      <c r="L19" s="53">
        <f>Tabla2[[#This Row],[Indicador]]*$B$5</f>
        <v>10658666.254354116</v>
      </c>
      <c r="M19" s="41">
        <f>+Tabla2[[#This Row],[Consumo energía '[MJ/año']]]/$L$8</f>
        <v>8.3372601533458449E-2</v>
      </c>
      <c r="N19" s="55">
        <f>IF(Tabla2[[#This Row],[Energético]]="Energía Eléctrica",((Tabla2[[#This Row],[Participación]]*$D$28)/SUMIF(Tabla2[Energético],"Energía Eléctrica",Tabla2[Participación]))*$B$31,Tabla2[[#This Row],[Consumo energía '[MJ/año']]])</f>
        <v>844257.12586315721</v>
      </c>
    </row>
    <row r="20" spans="1:14" x14ac:dyDescent="0.2">
      <c r="F20" s="34" t="s">
        <v>31</v>
      </c>
      <c r="G20" s="35" t="s">
        <v>34</v>
      </c>
      <c r="H20" s="35" t="s">
        <v>59</v>
      </c>
      <c r="I20" s="35" t="s">
        <v>2</v>
      </c>
      <c r="J20" s="35" t="s">
        <v>32</v>
      </c>
      <c r="K20" s="36">
        <v>3.024</v>
      </c>
      <c r="L20" s="53">
        <f>Tabla2[[#This Row],[Indicador]]*$B$5</f>
        <v>1482023.088</v>
      </c>
      <c r="M20" s="41">
        <f>+Tabla2[[#This Row],[Consumo energía '[MJ/año']]]/$L$8</f>
        <v>1.1592456075705977E-2</v>
      </c>
      <c r="N20" s="55">
        <f>IF(Tabla2[[#This Row],[Energético]]="Energía Eléctrica",((Tabla2[[#This Row],[Participación]]*$D$28)/SUMIF(Tabla2[Energético],"Energía Eléctrica",Tabla2[Participación]))*$B$31,Tabla2[[#This Row],[Consumo energía '[MJ/año']]])</f>
        <v>117388.84799273983</v>
      </c>
    </row>
    <row r="21" spans="1:14" x14ac:dyDescent="0.2">
      <c r="F21" s="34" t="s">
        <v>31</v>
      </c>
      <c r="G21" s="35" t="s">
        <v>17</v>
      </c>
      <c r="H21" s="35" t="s">
        <v>54</v>
      </c>
      <c r="I21" s="35" t="s">
        <v>3</v>
      </c>
      <c r="J21" s="35" t="s">
        <v>32</v>
      </c>
      <c r="K21" s="36">
        <v>9.2968235294100001</v>
      </c>
      <c r="L21" s="53">
        <f>Tabla2[[#This Row],[Indicador]]*$B$5</f>
        <v>4556252.3530579591</v>
      </c>
      <c r="M21" s="41">
        <f>+Tabla2[[#This Row],[Consumo energía '[MJ/año']]]/$L$8</f>
        <v>3.5639225664112185E-2</v>
      </c>
      <c r="N21" s="55">
        <f>IF(Tabla2[[#This Row],[Energético]]="Energía Eléctrica",((Tabla2[[#This Row],[Participación]]*$D$28)/SUMIF(Tabla2[Energético],"Energía Eléctrica",Tabla2[Participación]))*$B$31,Tabla2[[#This Row],[Consumo energía '[MJ/año']]])</f>
        <v>4556252.3530579591</v>
      </c>
    </row>
    <row r="22" spans="1:14" x14ac:dyDescent="0.2">
      <c r="F22" s="34" t="s">
        <v>31</v>
      </c>
      <c r="G22" s="35" t="s">
        <v>27</v>
      </c>
      <c r="H22" s="35" t="s">
        <v>54</v>
      </c>
      <c r="I22" s="35" t="s">
        <v>2</v>
      </c>
      <c r="J22" s="35" t="s">
        <v>32</v>
      </c>
      <c r="K22" s="36">
        <v>0.14217084112</v>
      </c>
      <c r="L22" s="53">
        <f>Tabla2[[#This Row],[Indicador]]*$B$5</f>
        <v>69676.08101197744</v>
      </c>
      <c r="M22" s="41">
        <f>+Tabla2[[#This Row],[Consumo energía '[MJ/año']]]/$L$8</f>
        <v>5.4500966631275567E-4</v>
      </c>
      <c r="N22" s="55">
        <f>IF(Tabla2[[#This Row],[Energético]]="Energía Eléctrica",((Tabla2[[#This Row],[Participación]]*$D$28)/SUMIF(Tabla2[Energético],"Energía Eléctrica",Tabla2[Participación]))*$B$31,Tabla2[[#This Row],[Consumo energía '[MJ/año']]])</f>
        <v>5518.9389078160202</v>
      </c>
    </row>
    <row r="23" spans="1:14" x14ac:dyDescent="0.2">
      <c r="F23" s="34" t="s">
        <v>31</v>
      </c>
      <c r="G23" s="35" t="s">
        <v>35</v>
      </c>
      <c r="H23" s="35" t="s">
        <v>54</v>
      </c>
      <c r="I23" s="35" t="s">
        <v>2</v>
      </c>
      <c r="J23" s="35" t="s">
        <v>32</v>
      </c>
      <c r="K23" s="36">
        <v>24.281510610000002</v>
      </c>
      <c r="L23" s="53">
        <f>Tabla2[[#This Row],[Indicador]]*$B$5</f>
        <v>11900052.690323072</v>
      </c>
      <c r="M23" s="41">
        <f>+Tabla2[[#This Row],[Consumo energía '[MJ/año']]]/$L$8</f>
        <v>9.3082786110520399E-2</v>
      </c>
      <c r="N23" s="55">
        <f>IF(Tabla2[[#This Row],[Energético]]="Energía Eléctrica",((Tabla2[[#This Row],[Participación]]*$D$28)/SUMIF(Tabla2[Energético],"Energía Eléctrica",Tabla2[Participación]))*$B$31,Tabla2[[#This Row],[Consumo energía '[MJ/año']]])</f>
        <v>942585.50199450727</v>
      </c>
    </row>
    <row r="24" spans="1:14" x14ac:dyDescent="0.2">
      <c r="F24" s="34" t="s">
        <v>31</v>
      </c>
      <c r="G24" s="35" t="s">
        <v>35</v>
      </c>
      <c r="H24" s="35" t="s">
        <v>57</v>
      </c>
      <c r="I24" s="35" t="s">
        <v>2</v>
      </c>
      <c r="J24" s="35" t="s">
        <v>32</v>
      </c>
      <c r="K24" s="36">
        <v>24.281510610000002</v>
      </c>
      <c r="L24" s="53">
        <f>Tabla2[[#This Row],[Indicador]]*$B$5</f>
        <v>11900052.690323072</v>
      </c>
      <c r="M24" s="41">
        <f>+Tabla2[[#This Row],[Consumo energía '[MJ/año']]]/$L$8</f>
        <v>9.3082786110520399E-2</v>
      </c>
      <c r="N24" s="55">
        <f>IF(Tabla2[[#This Row],[Energético]]="Energía Eléctrica",((Tabla2[[#This Row],[Participación]]*$D$28)/SUMIF(Tabla2[Energético],"Energía Eléctrica",Tabla2[Participación]))*$B$31,Tabla2[[#This Row],[Consumo energía '[MJ/año']]])</f>
        <v>942585.50199450727</v>
      </c>
    </row>
    <row r="25" spans="1:14" ht="15.75" x14ac:dyDescent="0.25">
      <c r="A25" s="58" t="s">
        <v>19</v>
      </c>
      <c r="B25" s="58"/>
      <c r="C25" s="58"/>
      <c r="D25" s="58"/>
      <c r="F25" s="34" t="s">
        <v>31</v>
      </c>
      <c r="G25" s="35" t="s">
        <v>36</v>
      </c>
      <c r="H25" s="35" t="s">
        <v>58</v>
      </c>
      <c r="I25" s="35" t="s">
        <v>2</v>
      </c>
      <c r="J25" s="35" t="s">
        <v>32</v>
      </c>
      <c r="K25" s="36">
        <v>17.220600000000001</v>
      </c>
      <c r="L25" s="53">
        <f>Tabla2[[#This Row],[Indicador]]*$B$5</f>
        <v>8439592.1922000013</v>
      </c>
      <c r="M25" s="41">
        <f>+Tabla2[[#This Row],[Consumo energía '[MJ/año']]]/$L$8</f>
        <v>6.6014897188261368E-2</v>
      </c>
      <c r="N25" s="55">
        <f>IF(Tabla2[[#This Row],[Energético]]="Energía Eléctrica",((Tabla2[[#This Row],[Participación]]*$D$28)/SUMIF(Tabla2[Energético],"Energía Eléctrica",Tabla2[Participación]))*$B$31,Tabla2[[#This Row],[Consumo energía '[MJ/año']]])</f>
        <v>668487.56473008462</v>
      </c>
    </row>
    <row r="26" spans="1:14" x14ac:dyDescent="0.2">
      <c r="F26" s="34" t="s">
        <v>31</v>
      </c>
      <c r="G26" s="35" t="s">
        <v>36</v>
      </c>
      <c r="H26" s="35" t="s">
        <v>57</v>
      </c>
      <c r="I26" s="35" t="s">
        <v>2</v>
      </c>
      <c r="J26" s="35" t="s">
        <v>32</v>
      </c>
      <c r="K26" s="36">
        <v>17.220600000000001</v>
      </c>
      <c r="L26" s="53">
        <f>Tabla2[[#This Row],[Indicador]]*$B$5</f>
        <v>8439592.1922000013</v>
      </c>
      <c r="M26" s="41">
        <f>+Tabla2[[#This Row],[Consumo energía '[MJ/año']]]/$L$8</f>
        <v>6.6014897188261368E-2</v>
      </c>
      <c r="N26" s="55">
        <f>IF(Tabla2[[#This Row],[Energético]]="Energía Eléctrica",((Tabla2[[#This Row],[Participación]]*$D$28)/SUMIF(Tabla2[Energético],"Energía Eléctrica",Tabla2[Participación]))*$B$31,Tabla2[[#This Row],[Consumo energía '[MJ/año']]])</f>
        <v>668487.56473008462</v>
      </c>
    </row>
    <row r="27" spans="1:14" x14ac:dyDescent="0.2">
      <c r="A27" s="14" t="s">
        <v>0</v>
      </c>
      <c r="B27" s="14" t="s">
        <v>22</v>
      </c>
      <c r="C27" s="14" t="s">
        <v>23</v>
      </c>
      <c r="D27" s="14" t="s">
        <v>1</v>
      </c>
      <c r="F27" s="34" t="s">
        <v>31</v>
      </c>
      <c r="G27" s="35" t="s">
        <v>37</v>
      </c>
      <c r="H27" s="35" t="s">
        <v>54</v>
      </c>
      <c r="I27" s="35" t="s">
        <v>2</v>
      </c>
      <c r="J27" s="35" t="s">
        <v>32</v>
      </c>
      <c r="K27" s="36">
        <v>3.2474075290000002</v>
      </c>
      <c r="L27" s="53">
        <f>Tabla2[[#This Row],[Indicador]]*$B$5</f>
        <v>1591512.213665023</v>
      </c>
      <c r="M27" s="41">
        <f>+Tabla2[[#This Row],[Consumo energía '[MJ/año']]]/$L$8</f>
        <v>1.244888529756924E-2</v>
      </c>
      <c r="N27" s="55">
        <f>IF(Tabla2[[#This Row],[Energético]]="Energía Eléctrica",((Tabla2[[#This Row],[Participación]]*$D$28)/SUMIF(Tabla2[Energético],"Energía Eléctrica",Tabla2[Participación]))*$B$31,Tabla2[[#This Row],[Consumo energía '[MJ/año']]])</f>
        <v>126061.31904505948</v>
      </c>
    </row>
    <row r="28" spans="1:14" x14ac:dyDescent="0.2">
      <c r="A28" s="15" t="s">
        <v>2</v>
      </c>
      <c r="B28" s="16">
        <f>B7</f>
        <v>8703745.5348287039</v>
      </c>
      <c r="C28" s="17">
        <f>Cerdos!$B28/1000000</f>
        <v>8.7037455348287036</v>
      </c>
      <c r="D28" s="24">
        <f>B28/$B$31</f>
        <v>0.32642878992255714</v>
      </c>
      <c r="F28" s="34" t="s">
        <v>31</v>
      </c>
      <c r="G28" s="35" t="s">
        <v>37</v>
      </c>
      <c r="H28" s="35" t="s">
        <v>57</v>
      </c>
      <c r="I28" s="35" t="s">
        <v>2</v>
      </c>
      <c r="J28" s="35" t="s">
        <v>32</v>
      </c>
      <c r="K28" s="36">
        <v>3.2474075290000002</v>
      </c>
      <c r="L28" s="53">
        <f>Tabla2[[#This Row],[Indicador]]*$B$5</f>
        <v>1591512.213665023</v>
      </c>
      <c r="M28" s="41">
        <f>+Tabla2[[#This Row],[Consumo energía '[MJ/año']]]/$L$8</f>
        <v>1.244888529756924E-2</v>
      </c>
      <c r="N28" s="55">
        <f>IF(Tabla2[[#This Row],[Energético]]="Energía Eléctrica",((Tabla2[[#This Row],[Participación]]*$D$28)/SUMIF(Tabla2[Energético],"Energía Eléctrica",Tabla2[Participación]))*$B$31,Tabla2[[#This Row],[Consumo energía '[MJ/año']]])</f>
        <v>126061.31904505948</v>
      </c>
    </row>
    <row r="29" spans="1:14" x14ac:dyDescent="0.2">
      <c r="A29" s="15" t="s">
        <v>3</v>
      </c>
      <c r="B29" s="19">
        <f>SUMIF(Tabla2[Energético],A29,Tabla2[Consumo energía '[MJ/año']])</f>
        <v>5661091.4262646269</v>
      </c>
      <c r="C29" s="17">
        <f>Cerdos!$B29/1000000</f>
        <v>5.661091426264627</v>
      </c>
      <c r="D29" s="18">
        <f>B29/$B$31</f>
        <v>0.21231586062825927</v>
      </c>
      <c r="F29" s="34" t="s">
        <v>31</v>
      </c>
      <c r="G29" s="35" t="s">
        <v>38</v>
      </c>
      <c r="H29" s="35" t="s">
        <v>57</v>
      </c>
      <c r="I29" s="35" t="s">
        <v>2</v>
      </c>
      <c r="J29" s="35" t="s">
        <v>32</v>
      </c>
      <c r="K29" s="36">
        <v>0.216</v>
      </c>
      <c r="L29" s="53">
        <f>Tabla2[[#This Row],[Indicador]]*$B$5</f>
        <v>105858.792</v>
      </c>
      <c r="M29" s="41">
        <f>+Tabla2[[#This Row],[Consumo energía '[MJ/año']]]/$L$8</f>
        <v>8.2803257683614117E-4</v>
      </c>
      <c r="N29" s="55">
        <f>IF(Tabla2[[#This Row],[Energético]]="Energía Eléctrica",((Tabla2[[#This Row],[Participación]]*$D$28)/SUMIF(Tabla2[Energético],"Energía Eléctrica",Tabla2[Participación]))*$B$31,Tabla2[[#This Row],[Consumo energía '[MJ/año']]])</f>
        <v>8384.9177137671286</v>
      </c>
    </row>
    <row r="30" spans="1:14" x14ac:dyDescent="0.2">
      <c r="A30" s="15" t="s">
        <v>9</v>
      </c>
      <c r="B30" s="19">
        <f>SUMIF(Tabla2[Energético],A30,Tabla2[Consumo energía '[MJ/año']])</f>
        <v>12298698.252493696</v>
      </c>
      <c r="C30" s="17">
        <f>Cerdos!$B30/1000000</f>
        <v>12.298698252493697</v>
      </c>
      <c r="D30" s="18">
        <f>B30/$B$31</f>
        <v>0.46125534944918362</v>
      </c>
      <c r="F30" s="34" t="s">
        <v>31</v>
      </c>
      <c r="G30" s="35" t="s">
        <v>39</v>
      </c>
      <c r="H30" s="35" t="s">
        <v>54</v>
      </c>
      <c r="I30" s="35" t="s">
        <v>2</v>
      </c>
      <c r="J30" s="35" t="s">
        <v>32</v>
      </c>
      <c r="K30" s="36">
        <v>0.95760000000000001</v>
      </c>
      <c r="L30" s="53">
        <f>Tabla2[[#This Row],[Indicador]]*$B$5</f>
        <v>469307.3112</v>
      </c>
      <c r="M30" s="41">
        <f>+Tabla2[[#This Row],[Consumo energía '[MJ/año']]]/$L$8</f>
        <v>3.6709444239735592E-3</v>
      </c>
      <c r="N30" s="55">
        <f>IF(Tabla2[[#This Row],[Energético]]="Energía Eléctrica",((Tabla2[[#This Row],[Participación]]*$D$28)/SUMIF(Tabla2[Energético],"Energía Eléctrica",Tabla2[Participación]))*$B$31,Tabla2[[#This Row],[Consumo energía '[MJ/año']]])</f>
        <v>37173.135197700947</v>
      </c>
    </row>
    <row r="31" spans="1:14" x14ac:dyDescent="0.2">
      <c r="A31" s="50" t="s">
        <v>67</v>
      </c>
      <c r="B31" s="51">
        <f>SUM(B28:B30)</f>
        <v>26663535.213587027</v>
      </c>
      <c r="C31" s="51">
        <f>SUM(C28:C30)</f>
        <v>26.663535213587028</v>
      </c>
      <c r="D31" s="52">
        <f>SUM(D28:D30)</f>
        <v>1</v>
      </c>
      <c r="F31" s="34" t="s">
        <v>31</v>
      </c>
      <c r="G31" s="35" t="s">
        <v>39</v>
      </c>
      <c r="H31" s="35" t="s">
        <v>57</v>
      </c>
      <c r="I31" s="35" t="s">
        <v>2</v>
      </c>
      <c r="J31" s="35" t="s">
        <v>32</v>
      </c>
      <c r="K31" s="36">
        <v>0.95760000000000001</v>
      </c>
      <c r="L31" s="53">
        <f>Tabla2[[#This Row],[Indicador]]*$B$5</f>
        <v>469307.3112</v>
      </c>
      <c r="M31" s="41">
        <f>+Tabla2[[#This Row],[Consumo energía '[MJ/año']]]/$L$8</f>
        <v>3.6709444239735592E-3</v>
      </c>
      <c r="N31" s="55">
        <f>IF(Tabla2[[#This Row],[Energético]]="Energía Eléctrica",((Tabla2[[#This Row],[Participación]]*$D$28)/SUMIF(Tabla2[Energético],"Energía Eléctrica",Tabla2[Participación]))*$B$31,Tabla2[[#This Row],[Consumo energía '[MJ/año']]])</f>
        <v>37173.135197700947</v>
      </c>
    </row>
    <row r="32" spans="1:14" x14ac:dyDescent="0.2">
      <c r="F32" s="34" t="s">
        <v>31</v>
      </c>
      <c r="G32" s="35" t="s">
        <v>40</v>
      </c>
      <c r="H32" s="35" t="s">
        <v>54</v>
      </c>
      <c r="I32" s="35" t="s">
        <v>2</v>
      </c>
      <c r="J32" s="35" t="s">
        <v>32</v>
      </c>
      <c r="K32" s="36">
        <v>6.1598119410000001</v>
      </c>
      <c r="L32" s="53">
        <f>Tabla2[[#This Row],[Indicador]]*$B$5</f>
        <v>3018843.7547288672</v>
      </c>
      <c r="M32" s="41">
        <f>+Tabla2[[#This Row],[Consumo energía '[MJ/año']]]/$L$8</f>
        <v>2.3613541455241957E-2</v>
      </c>
      <c r="N32" s="55">
        <f>IF(Tabla2[[#This Row],[Energético]]="Energía Eléctrica",((Tabla2[[#This Row],[Participación]]*$D$28)/SUMIF(Tabla2[Energético],"Energía Eléctrica",Tabla2[Participación]))*$B$31,Tabla2[[#This Row],[Consumo energía '[MJ/año']]])</f>
        <v>239118.1308220611</v>
      </c>
    </row>
    <row r="33" spans="1:14" x14ac:dyDescent="0.2">
      <c r="A33" s="46"/>
      <c r="B33" s="46"/>
      <c r="C33" s="46"/>
      <c r="D33" s="46"/>
      <c r="F33" s="34" t="s">
        <v>31</v>
      </c>
      <c r="G33" s="35" t="s">
        <v>40</v>
      </c>
      <c r="H33" s="35" t="s">
        <v>57</v>
      </c>
      <c r="I33" s="35" t="s">
        <v>2</v>
      </c>
      <c r="J33" s="35" t="s">
        <v>32</v>
      </c>
      <c r="K33" s="36">
        <v>6.1598119410000001</v>
      </c>
      <c r="L33" s="53">
        <f>Tabla2[[#This Row],[Indicador]]*$B$5</f>
        <v>3018843.7547288672</v>
      </c>
      <c r="M33" s="41">
        <f>+Tabla2[[#This Row],[Consumo energía '[MJ/año']]]/$L$8</f>
        <v>2.3613541455241957E-2</v>
      </c>
      <c r="N33" s="55">
        <f>IF(Tabla2[[#This Row],[Energético]]="Energía Eléctrica",((Tabla2[[#This Row],[Participación]]*$D$28)/SUMIF(Tabla2[Energético],"Energía Eléctrica",Tabla2[Participación]))*$B$31,Tabla2[[#This Row],[Consumo energía '[MJ/año']]])</f>
        <v>239118.1308220611</v>
      </c>
    </row>
    <row r="34" spans="1:14" x14ac:dyDescent="0.2">
      <c r="A34" s="29"/>
      <c r="B34" s="47"/>
      <c r="C34" s="31"/>
      <c r="D34" s="48"/>
      <c r="F34" s="34" t="s">
        <v>31</v>
      </c>
      <c r="G34" s="35" t="s">
        <v>41</v>
      </c>
      <c r="H34" s="35" t="s">
        <v>58</v>
      </c>
      <c r="I34" s="35" t="s">
        <v>2</v>
      </c>
      <c r="J34" s="35" t="s">
        <v>32</v>
      </c>
      <c r="K34" s="36">
        <v>8.5383529409999994</v>
      </c>
      <c r="L34" s="53">
        <f>Tabla2[[#This Row],[Indicador]]*$B$5</f>
        <v>4184535.7777958666</v>
      </c>
      <c r="M34" s="41">
        <f>+Tabla2[[#This Row],[Consumo energía '[MJ/año']]]/$L$8</f>
        <v>3.2731640683669787E-2</v>
      </c>
      <c r="N34" s="55">
        <f>IF(Tabla2[[#This Row],[Energético]]="Energía Eléctrica",((Tabla2[[#This Row],[Participación]]*$D$28)/SUMIF(Tabla2[Energético],"Energía Eléctrica",Tabla2[Participación]))*$B$31,Tabla2[[#This Row],[Consumo energía '[MJ/año']]])</f>
        <v>331450.86491382675</v>
      </c>
    </row>
    <row r="35" spans="1:14" x14ac:dyDescent="0.2">
      <c r="A35" s="29"/>
      <c r="B35" s="30"/>
      <c r="C35" s="31"/>
      <c r="D35" s="48"/>
      <c r="F35" s="34" t="s">
        <v>31</v>
      </c>
      <c r="G35" s="35" t="s">
        <v>42</v>
      </c>
      <c r="H35" s="35" t="s">
        <v>58</v>
      </c>
      <c r="I35" s="35" t="s">
        <v>2</v>
      </c>
      <c r="J35" s="35" t="s">
        <v>32</v>
      </c>
      <c r="K35" s="36">
        <v>1.138447059</v>
      </c>
      <c r="L35" s="53">
        <f>Tabla2[[#This Row],[Indicador]]*$B$5</f>
        <v>557938.10380413302</v>
      </c>
      <c r="M35" s="41">
        <f>+Tabla2[[#This Row],[Consumo energía '[MJ/año']]]/$L$8</f>
        <v>4.3642187585893359E-3</v>
      </c>
      <c r="N35" s="55">
        <f>IF(Tabla2[[#This Row],[Energético]]="Energía Eléctrica",((Tabla2[[#This Row],[Participación]]*$D$28)/SUMIF(Tabla2[Energético],"Energía Eléctrica",Tabla2[Participación]))*$B$31,Tabla2[[#This Row],[Consumo energía '[MJ/año']]])</f>
        <v>44193.448662940718</v>
      </c>
    </row>
    <row r="36" spans="1:14" x14ac:dyDescent="0.2">
      <c r="A36" s="29"/>
      <c r="B36" s="30"/>
      <c r="C36" s="31"/>
      <c r="D36" s="48"/>
      <c r="F36" s="34" t="s">
        <v>31</v>
      </c>
      <c r="G36" s="35" t="s">
        <v>42</v>
      </c>
      <c r="H36" s="35" t="s">
        <v>59</v>
      </c>
      <c r="I36" s="35" t="s">
        <v>2</v>
      </c>
      <c r="J36" s="35" t="s">
        <v>32</v>
      </c>
      <c r="K36" s="36">
        <v>1.138447059</v>
      </c>
      <c r="L36" s="53">
        <f>Tabla2[[#This Row],[Indicador]]*$B$5</f>
        <v>557938.10380413302</v>
      </c>
      <c r="M36" s="41">
        <f>+Tabla2[[#This Row],[Consumo energía '[MJ/año']]]/$L$8</f>
        <v>4.3642187585893359E-3</v>
      </c>
      <c r="N36" s="55">
        <f>IF(Tabla2[[#This Row],[Energético]]="Energía Eléctrica",((Tabla2[[#This Row],[Participación]]*$D$28)/SUMIF(Tabla2[Energético],"Energía Eléctrica",Tabla2[Participación]))*$B$31,Tabla2[[#This Row],[Consumo energía '[MJ/año']]])</f>
        <v>44193.448662940718</v>
      </c>
    </row>
    <row r="37" spans="1:14" x14ac:dyDescent="0.2">
      <c r="A37" s="29"/>
      <c r="B37" s="30"/>
      <c r="C37" s="30"/>
      <c r="D37" s="30"/>
      <c r="F37" s="34" t="s">
        <v>31</v>
      </c>
      <c r="G37" s="35" t="s">
        <v>43</v>
      </c>
      <c r="H37" s="35" t="s">
        <v>58</v>
      </c>
      <c r="I37" s="35" t="s">
        <v>2</v>
      </c>
      <c r="J37" s="35" t="s">
        <v>32</v>
      </c>
      <c r="K37" s="36">
        <v>2.4972705880000001</v>
      </c>
      <c r="L37" s="53">
        <f>Tabla2[[#This Row],[Indicador]]*$B$5</f>
        <v>1223879.850661156</v>
      </c>
      <c r="M37" s="41">
        <f>+Tabla2[[#This Row],[Consumo energía '[MJ/año']]]/$L$8</f>
        <v>9.5732472224015989E-3</v>
      </c>
      <c r="N37" s="55">
        <f>IF(Tabla2[[#This Row],[Energético]]="Energía Eléctrica",((Tabla2[[#This Row],[Participación]]*$D$28)/SUMIF(Tabla2[Energético],"Energía Eléctrica",Tabla2[Participación]))*$B$31,Tabla2[[#This Row],[Consumo energía '[MJ/año']]])</f>
        <v>96941.705506439146</v>
      </c>
    </row>
    <row r="38" spans="1:14" x14ac:dyDescent="0.2">
      <c r="A38" s="49"/>
      <c r="B38" s="49"/>
      <c r="C38" s="49"/>
      <c r="D38" s="49"/>
      <c r="F38" s="34" t="s">
        <v>31</v>
      </c>
      <c r="G38" s="35" t="s">
        <v>43</v>
      </c>
      <c r="H38" s="35" t="s">
        <v>54</v>
      </c>
      <c r="I38" s="35" t="s">
        <v>2</v>
      </c>
      <c r="J38" s="35" t="s">
        <v>32</v>
      </c>
      <c r="K38" s="36">
        <v>2.4972705880000001</v>
      </c>
      <c r="L38" s="53">
        <f>Tabla2[[#This Row],[Indicador]]*$B$5</f>
        <v>1223879.850661156</v>
      </c>
      <c r="M38" s="41">
        <f>+Tabla2[[#This Row],[Consumo energía '[MJ/año']]]/$L$8</f>
        <v>9.5732472224015989E-3</v>
      </c>
      <c r="N38" s="55">
        <f>IF(Tabla2[[#This Row],[Energético]]="Energía Eléctrica",((Tabla2[[#This Row],[Participación]]*$D$28)/SUMIF(Tabla2[Energético],"Energía Eléctrica",Tabla2[Participación]))*$B$31,Tabla2[[#This Row],[Consumo energía '[MJ/año']]])</f>
        <v>96941.705506439146</v>
      </c>
    </row>
    <row r="39" spans="1:14" x14ac:dyDescent="0.2">
      <c r="F39" s="34" t="s">
        <v>31</v>
      </c>
      <c r="G39" s="35" t="s">
        <v>43</v>
      </c>
      <c r="H39" s="35" t="s">
        <v>57</v>
      </c>
      <c r="I39" s="35" t="s">
        <v>2</v>
      </c>
      <c r="J39" s="35" t="s">
        <v>32</v>
      </c>
      <c r="K39" s="36">
        <v>2.4972705880000001</v>
      </c>
      <c r="L39" s="53">
        <f>Tabla2[[#This Row],[Indicador]]*$B$5</f>
        <v>1223879.850661156</v>
      </c>
      <c r="M39" s="41">
        <f>+Tabla2[[#This Row],[Consumo energía '[MJ/año']]]/$L$8</f>
        <v>9.5732472224015989E-3</v>
      </c>
      <c r="N39" s="55">
        <f>IF(Tabla2[[#This Row],[Energético]]="Energía Eléctrica",((Tabla2[[#This Row],[Participación]]*$D$28)/SUMIF(Tabla2[Energético],"Energía Eléctrica",Tabla2[Participación]))*$B$31,Tabla2[[#This Row],[Consumo energía '[MJ/año']]])</f>
        <v>96941.705506439146</v>
      </c>
    </row>
    <row r="40" spans="1:14" ht="18" x14ac:dyDescent="0.25">
      <c r="A40" s="59" t="s">
        <v>24</v>
      </c>
      <c r="B40" s="59"/>
      <c r="C40" s="59"/>
      <c r="F40" s="34" t="s">
        <v>31</v>
      </c>
      <c r="G40" s="35" t="s">
        <v>44</v>
      </c>
      <c r="H40" s="35" t="s">
        <v>58</v>
      </c>
      <c r="I40" s="35" t="s">
        <v>2</v>
      </c>
      <c r="J40" s="35" t="s">
        <v>32</v>
      </c>
      <c r="K40" s="36">
        <v>1.238823529</v>
      </c>
      <c r="L40" s="53">
        <f>Tabla2[[#This Row],[Indicador]]*$B$5</f>
        <v>607131.30685702304</v>
      </c>
      <c r="M40" s="41">
        <f>+Tabla2[[#This Row],[Consumo energía '[MJ/año']]]/$L$8</f>
        <v>4.7490103655699637E-3</v>
      </c>
      <c r="N40" s="55">
        <f>IF(Tabla2[[#This Row],[Energético]]="Energía Eléctrica",((Tabla2[[#This Row],[Participación]]*$D$28)/SUMIF(Tabla2[Energético],"Energía Eléctrica",Tabla2[Participación]))*$B$31,Tabla2[[#This Row],[Consumo energía '[MJ/año']]])</f>
        <v>48089.969224738932</v>
      </c>
    </row>
    <row r="41" spans="1:14" ht="51" x14ac:dyDescent="0.2">
      <c r="A41" s="32" t="str">
        <f>+A4</f>
        <v>Grupo Homogeneo</v>
      </c>
      <c r="B41" s="32" t="s">
        <v>20</v>
      </c>
      <c r="C41" s="32" t="s">
        <v>48</v>
      </c>
      <c r="F41" s="34" t="s">
        <v>31</v>
      </c>
      <c r="G41" s="35" t="s">
        <v>44</v>
      </c>
      <c r="H41" s="35" t="s">
        <v>59</v>
      </c>
      <c r="I41" s="35" t="s">
        <v>2</v>
      </c>
      <c r="J41" s="35" t="s">
        <v>32</v>
      </c>
      <c r="K41" s="36">
        <v>1.238823529</v>
      </c>
      <c r="L41" s="53">
        <f>Tabla2[[#This Row],[Indicador]]*$B$5</f>
        <v>607131.30685702304</v>
      </c>
      <c r="M41" s="41">
        <f>+Tabla2[[#This Row],[Consumo energía '[MJ/año']]]/$L$8</f>
        <v>4.7490103655699637E-3</v>
      </c>
      <c r="N41" s="55">
        <f>IF(Tabla2[[#This Row],[Energético]]="Energía Eléctrica",((Tabla2[[#This Row],[Participación]]*$D$28)/SUMIF(Tabla2[Energético],"Energía Eléctrica",Tabla2[Participación]))*$B$31,Tabla2[[#This Row],[Consumo energía '[MJ/año']]])</f>
        <v>48089.969224738932</v>
      </c>
    </row>
    <row r="42" spans="1:14" x14ac:dyDescent="0.2">
      <c r="A42" s="9" t="str">
        <f>+$B$4</f>
        <v>Cerdos</v>
      </c>
      <c r="B42" s="10" t="s">
        <v>47</v>
      </c>
      <c r="C42" s="10">
        <f>SUM(Tabla2[Indicador])</f>
        <v>260.85930196770994</v>
      </c>
      <c r="F42" s="34" t="s">
        <v>31</v>
      </c>
      <c r="G42" s="35" t="s">
        <v>45</v>
      </c>
      <c r="H42" s="35" t="s">
        <v>54</v>
      </c>
      <c r="I42" s="35" t="s">
        <v>2</v>
      </c>
      <c r="J42" s="35" t="s">
        <v>32</v>
      </c>
      <c r="K42" s="36">
        <v>22.891934119999998</v>
      </c>
      <c r="L42" s="53">
        <f>Tabla2[[#This Row],[Indicador]]*$B$5</f>
        <v>11219039.317068439</v>
      </c>
      <c r="M42" s="41">
        <f>+Tabla2[[#This Row],[Consumo energía '[MJ/año']]]/$L$8</f>
        <v>8.7755866658086948E-2</v>
      </c>
      <c r="N42" s="55">
        <f>IF(Tabla2[[#This Row],[Energético]]="Energía Eléctrica",((Tabla2[[#This Row],[Participación]]*$D$28)/SUMIF(Tabla2[Energético],"Energía Eléctrica",Tabla2[Participación]))*$B$31,Tabla2[[#This Row],[Consumo energía '[MJ/año']]])</f>
        <v>888643.44400545442</v>
      </c>
    </row>
    <row r="43" spans="1:14" x14ac:dyDescent="0.2">
      <c r="F43" s="34" t="s">
        <v>31</v>
      </c>
      <c r="G43" s="35" t="s">
        <v>46</v>
      </c>
      <c r="H43" s="35" t="s">
        <v>54</v>
      </c>
      <c r="I43" s="35" t="s">
        <v>2</v>
      </c>
      <c r="J43" s="35" t="s">
        <v>32</v>
      </c>
      <c r="K43" s="36">
        <v>4.4531449409999997</v>
      </c>
      <c r="L43" s="53">
        <f>Tabla2[[#This Row],[Indicador]]*$B$5</f>
        <v>2182428.4446998667</v>
      </c>
      <c r="M43" s="41">
        <f>+Tabla2[[#This Row],[Consumo energía '[MJ/año']]]/$L$8</f>
        <v>1.7071060557967848E-2</v>
      </c>
      <c r="N43" s="55">
        <f>IF(Tabla2[[#This Row],[Energético]]="Energía Eléctrica",((Tabla2[[#This Row],[Participación]]*$D$28)/SUMIF(Tabla2[Energético],"Energía Eléctrica",Tabla2[Participación]))*$B$31,Tabla2[[#This Row],[Consumo energía '[MJ/año']]])</f>
        <v>172866.91619334897</v>
      </c>
    </row>
  </sheetData>
  <mergeCells count="4">
    <mergeCell ref="A3:B3"/>
    <mergeCell ref="A25:D25"/>
    <mergeCell ref="F7:K7"/>
    <mergeCell ref="A40:C40"/>
  </mergeCells>
  <phoneticPr fontId="8" type="noConversion"/>
  <pageMargins left="0.7" right="0.7" top="0.75" bottom="0.75" header="0.3" footer="0.3"/>
  <pageSetup paperSize="9" orientation="portrait" r:id="rId1"/>
  <ignoredErrors>
    <ignoredError sqref="B29:C29" evalError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6025C92-C95A-4C51-AC01-1A2B533DB7BD}">
          <x14:formula1>
            <xm:f>Hoja2!$A$1:$A$11</xm:f>
          </x14:formula1>
          <xm:sqref>A34:A36 A28:A30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Cerdos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2024-01-24T01:41:35Z</dcterms:modified>
</cp:coreProperties>
</file>