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moralesr\Downloads\Anexos Entrega final\Anexo F - Cálculo de indicadores energéticos por grupo homogéneo\"/>
    </mc:Choice>
  </mc:AlternateContent>
  <xr:revisionPtr revIDLastSave="0" documentId="13_ncr:1_{A40D44D1-1754-413C-B760-036760AAD25F}" xr6:coauthVersionLast="47" xr6:coauthVersionMax="47" xr10:uidLastSave="{00000000-0000-0000-0000-000000000000}"/>
  <bookViews>
    <workbookView xWindow="-19320" yWindow="-120" windowWidth="19440" windowHeight="15000" xr2:uid="{4F4AC0FB-F22A-4F96-AA86-2713B2BEDCFC}"/>
  </bookViews>
  <sheets>
    <sheet name="Aguacate" sheetId="1" r:id="rId1"/>
    <sheet name="Hoja2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2" i="1" l="1"/>
  <c r="D34" i="1"/>
  <c r="B10" i="1" l="1"/>
  <c r="B11" i="1" s="1"/>
  <c r="B32" i="1" s="1"/>
  <c r="B23" i="1"/>
  <c r="B5" i="1" s="1"/>
  <c r="M20" i="1"/>
  <c r="N20" i="1" s="1"/>
  <c r="M21" i="1"/>
  <c r="N21" i="1" s="1"/>
  <c r="M22" i="1"/>
  <c r="N22" i="1" s="1"/>
  <c r="M23" i="1"/>
  <c r="N23" i="1" s="1"/>
  <c r="O20" i="1"/>
  <c r="O21" i="1"/>
  <c r="O22" i="1"/>
  <c r="O23" i="1"/>
  <c r="A39" i="1"/>
  <c r="A40" i="1"/>
  <c r="O14" i="1"/>
  <c r="O15" i="1"/>
  <c r="O16" i="1"/>
  <c r="O17" i="1"/>
  <c r="O18" i="1"/>
  <c r="O19" i="1"/>
  <c r="M14" i="1"/>
  <c r="N14" i="1" s="1"/>
  <c r="M15" i="1"/>
  <c r="N15" i="1" s="1"/>
  <c r="M16" i="1"/>
  <c r="N16" i="1" s="1"/>
  <c r="M17" i="1"/>
  <c r="N17" i="1" s="1"/>
  <c r="M18" i="1"/>
  <c r="N18" i="1" s="1"/>
  <c r="M19" i="1"/>
  <c r="N19" i="1" s="1"/>
  <c r="P19" i="1" l="1"/>
  <c r="R19" i="1" s="1"/>
  <c r="P22" i="1"/>
  <c r="R22" i="1" s="1"/>
  <c r="P16" i="1"/>
  <c r="R16" i="1" s="1"/>
  <c r="P18" i="1"/>
  <c r="R18" i="1" s="1"/>
  <c r="C32" i="1"/>
  <c r="P23" i="1"/>
  <c r="P21" i="1"/>
  <c r="R21" i="1" s="1"/>
  <c r="P17" i="1"/>
  <c r="R17" i="1" s="1"/>
  <c r="B6" i="1"/>
  <c r="P15" i="1" s="1"/>
  <c r="R15" i="1" s="1"/>
  <c r="P20" i="1"/>
  <c r="P14" i="1" l="1"/>
  <c r="R14" i="1" s="1"/>
  <c r="B33" i="1"/>
  <c r="C33" i="1" s="1"/>
  <c r="P12" i="1"/>
  <c r="Q17" i="1" l="1"/>
  <c r="Q21" i="1"/>
  <c r="Q14" i="1"/>
  <c r="Q18" i="1"/>
  <c r="Q22" i="1"/>
  <c r="Q15" i="1"/>
  <c r="Q19" i="1"/>
  <c r="Q23" i="1"/>
  <c r="Q16" i="1"/>
  <c r="Q20" i="1"/>
  <c r="C34" i="1"/>
  <c r="B34" i="1"/>
  <c r="D32" i="1" l="1"/>
  <c r="B40" i="1"/>
  <c r="C40" i="1" s="1"/>
  <c r="D33" i="1"/>
  <c r="R23" i="1" l="1"/>
  <c r="R20" i="1"/>
</calcChain>
</file>

<file path=xl/sharedStrings.xml><?xml version="1.0" encoding="utf-8"?>
<sst xmlns="http://schemas.openxmlformats.org/spreadsheetml/2006/main" count="121" uniqueCount="75">
  <si>
    <t>Energetico</t>
  </si>
  <si>
    <t>Participación</t>
  </si>
  <si>
    <t>Energía Eléctrica</t>
  </si>
  <si>
    <t>ACPM</t>
  </si>
  <si>
    <t>Biomasa primaria</t>
  </si>
  <si>
    <t>Biomasa secundaria</t>
  </si>
  <si>
    <t>Carbón</t>
  </si>
  <si>
    <t>Gas licuado</t>
  </si>
  <si>
    <t>Gas Natural</t>
  </si>
  <si>
    <t>Gasolina</t>
  </si>
  <si>
    <t>GLP</t>
  </si>
  <si>
    <t>Kerosene</t>
  </si>
  <si>
    <t>Leña</t>
  </si>
  <si>
    <t>Rendimiento</t>
  </si>
  <si>
    <t>Consumo Eléctricidad por sector</t>
  </si>
  <si>
    <t>Grupo Homogéneo</t>
  </si>
  <si>
    <t>Proceso</t>
  </si>
  <si>
    <t>Energético</t>
  </si>
  <si>
    <t>Fumigación</t>
  </si>
  <si>
    <t>Preparación del terreno</t>
  </si>
  <si>
    <t>Siembra</t>
  </si>
  <si>
    <t>Producto final</t>
  </si>
  <si>
    <t>Unidades indicador producción</t>
  </si>
  <si>
    <t>Indicador</t>
  </si>
  <si>
    <t>MJ/Ha</t>
  </si>
  <si>
    <t>Parámetro</t>
  </si>
  <si>
    <t>Indicador área</t>
  </si>
  <si>
    <t>Unidades</t>
  </si>
  <si>
    <t>Debe estar en MJ/Tn o MJ/Ha</t>
  </si>
  <si>
    <t>Tabla 7 y Tabla 10</t>
  </si>
  <si>
    <t>Indicador [MJ/Ha]</t>
  </si>
  <si>
    <t>Indicador [MJ/Tn]</t>
  </si>
  <si>
    <t>Grupo Homogeneo</t>
  </si>
  <si>
    <t>MJ/año</t>
  </si>
  <si>
    <t>TJ/año</t>
  </si>
  <si>
    <t>Tabla 9</t>
  </si>
  <si>
    <t>Mantenimiento</t>
  </si>
  <si>
    <t>Aguacate</t>
  </si>
  <si>
    <t>Cosecha</t>
  </si>
  <si>
    <t>MJ/Tn</t>
  </si>
  <si>
    <t>Transporte Aguacate</t>
  </si>
  <si>
    <t>Fertilización</t>
  </si>
  <si>
    <t>Terreno fertilizado</t>
  </si>
  <si>
    <t>Terreno fumigado</t>
  </si>
  <si>
    <t>Transporte interno</t>
  </si>
  <si>
    <t>Terreno guadañado</t>
  </si>
  <si>
    <t>Postcosecha</t>
  </si>
  <si>
    <t>Área iluminada</t>
  </si>
  <si>
    <t>Sistema de Riego y drenaje</t>
  </si>
  <si>
    <t>Terreno irrigado</t>
  </si>
  <si>
    <t>Aguacate Hass</t>
  </si>
  <si>
    <t>Aguacate papelillo</t>
  </si>
  <si>
    <t>Del área total sembrada</t>
  </si>
  <si>
    <t>Uso final de energía</t>
  </si>
  <si>
    <t>Fuerza motriz</t>
  </si>
  <si>
    <t>Iluminación</t>
  </si>
  <si>
    <t>Tipo</t>
  </si>
  <si>
    <t>Total</t>
  </si>
  <si>
    <t>Hectaréas (2022)</t>
  </si>
  <si>
    <t>Agronet</t>
  </si>
  <si>
    <t>Referencia:</t>
  </si>
  <si>
    <t>Consumo Eléctricidad por sector Aguacate</t>
  </si>
  <si>
    <t>Área productiva total sembrada</t>
  </si>
  <si>
    <t>Área productiva total cosechada</t>
  </si>
  <si>
    <t>Dato de información secundaria Tn/Ha Agronet</t>
  </si>
  <si>
    <t>Dato de información secundaria [Ha] Agronet</t>
  </si>
  <si>
    <t xml:space="preserve">Referencia: https://www.dane.gov.co/files/investigaciones/agropecuario/enda/ena/2019/boletin_ena_2019-I.pdf </t>
  </si>
  <si>
    <t>Consumo energía corregido [MJ]</t>
  </si>
  <si>
    <t>Dato comercial por CIIU de XM [kWh/año]</t>
  </si>
  <si>
    <t>Consumo Eléctricidad por sector [MJ/año]</t>
  </si>
  <si>
    <t>Consumo correspondiente al aguacate [kWh/año]</t>
  </si>
  <si>
    <t>Total [MJ/año]</t>
  </si>
  <si>
    <t>Consumo energía [MJ/año]</t>
  </si>
  <si>
    <t>Sector</t>
  </si>
  <si>
    <t>Tabla 8. Indicador producción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</si>
</sst>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%"/>
  </numFmts>
  <fonts count="11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sz val="8"/>
      <name val="Arial"/>
      <family val="2"/>
    </font>
    <font>
      <i/>
      <sz val="10"/>
      <color theme="1"/>
      <name val="Arial"/>
      <family val="2"/>
    </font>
    <font>
      <b/>
      <sz val="14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theme="9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0" applyFont="1"/>
    <xf numFmtId="0" fontId="0" fillId="0" borderId="0" xfId="0" applyAlignment="1">
      <alignment horizontal="center" vertical="center" wrapText="1"/>
    </xf>
    <xf numFmtId="0" fontId="4" fillId="4" borderId="0" xfId="0" applyFont="1" applyFill="1" applyAlignment="1">
      <alignment horizontal="center" wrapText="1"/>
    </xf>
    <xf numFmtId="0" fontId="0" fillId="0" borderId="0" xfId="0" applyAlignment="1"/>
    <xf numFmtId="0" fontId="3" fillId="0" borderId="1" xfId="0" applyFont="1" applyBorder="1" applyAlignment="1"/>
    <xf numFmtId="0" fontId="3" fillId="0" borderId="1" xfId="0" applyFont="1" applyBorder="1"/>
    <xf numFmtId="4" fontId="0" fillId="2" borderId="1" xfId="0" applyNumberFormat="1" applyFill="1" applyBorder="1"/>
    <xf numFmtId="0" fontId="3" fillId="0" borderId="1" xfId="0" applyFont="1" applyBorder="1" applyAlignment="1">
      <alignment wrapText="1"/>
    </xf>
    <xf numFmtId="0" fontId="2" fillId="6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0" fillId="2" borderId="1" xfId="0" applyFill="1" applyBorder="1" applyAlignment="1"/>
    <xf numFmtId="0" fontId="6" fillId="0" borderId="0" xfId="0" applyFont="1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10" fontId="0" fillId="0" borderId="1" xfId="1" applyNumberFormat="1" applyFont="1" applyBorder="1" applyAlignment="1">
      <alignment horizontal="center" vertical="center"/>
    </xf>
    <xf numFmtId="4" fontId="0" fillId="2" borderId="1" xfId="0" applyNumberFormat="1" applyFont="1" applyFill="1" applyBorder="1"/>
    <xf numFmtId="4" fontId="0" fillId="0" borderId="1" xfId="0" applyNumberFormat="1" applyFill="1" applyBorder="1"/>
    <xf numFmtId="0" fontId="0" fillId="0" borderId="3" xfId="0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0" fontId="7" fillId="0" borderId="0" xfId="0" applyFont="1"/>
    <xf numFmtId="0" fontId="0" fillId="0" borderId="1" xfId="0" applyNumberFormat="1" applyFill="1" applyBorder="1" applyAlignment="1">
      <alignment horizontal="center"/>
    </xf>
    <xf numFmtId="4" fontId="0" fillId="0" borderId="0" xfId="0" applyNumberFormat="1"/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3" fontId="0" fillId="0" borderId="1" xfId="0" applyNumberFormat="1" applyFont="1" applyFill="1" applyBorder="1"/>
    <xf numFmtId="0" fontId="0" fillId="0" borderId="0" xfId="0" applyBorder="1"/>
    <xf numFmtId="2" fontId="0" fillId="0" borderId="0" xfId="0" applyNumberFormat="1" applyBorder="1"/>
    <xf numFmtId="164" fontId="0" fillId="0" borderId="0" xfId="1" applyNumberFormat="1" applyFont="1" applyBorder="1" applyAlignment="1">
      <alignment horizontal="center"/>
    </xf>
    <xf numFmtId="4" fontId="0" fillId="0" borderId="0" xfId="0" applyNumberFormat="1" applyFont="1" applyBorder="1" applyAlignment="1">
      <alignment horizontal="center"/>
    </xf>
    <xf numFmtId="10" fontId="0" fillId="0" borderId="0" xfId="1" applyNumberFormat="1" applyFont="1" applyBorder="1" applyAlignment="1">
      <alignment horizontal="center"/>
    </xf>
    <xf numFmtId="164" fontId="0" fillId="0" borderId="0" xfId="0" applyNumberFormat="1" applyBorder="1"/>
    <xf numFmtId="4" fontId="0" fillId="0" borderId="0" xfId="0" applyNumberFormat="1" applyBorder="1"/>
    <xf numFmtId="10" fontId="0" fillId="0" borderId="0" xfId="0" applyNumberFormat="1" applyBorder="1"/>
    <xf numFmtId="0" fontId="0" fillId="0" borderId="1" xfId="0" applyBorder="1"/>
    <xf numFmtId="4" fontId="0" fillId="0" borderId="1" xfId="0" applyNumberFormat="1" applyBorder="1"/>
    <xf numFmtId="0" fontId="3" fillId="7" borderId="1" xfId="0" applyFont="1" applyFill="1" applyBorder="1"/>
    <xf numFmtId="4" fontId="3" fillId="7" borderId="1" xfId="0" applyNumberFormat="1" applyFont="1" applyFill="1" applyBorder="1"/>
    <xf numFmtId="0" fontId="3" fillId="7" borderId="1" xfId="0" applyFont="1" applyFill="1" applyBorder="1" applyAlignment="1">
      <alignment horizontal="center" vertical="center"/>
    </xf>
    <xf numFmtId="0" fontId="9" fillId="0" borderId="0" xfId="0" applyFont="1"/>
    <xf numFmtId="0" fontId="0" fillId="0" borderId="0" xfId="0" applyFont="1" applyBorder="1"/>
    <xf numFmtId="9" fontId="0" fillId="2" borderId="1" xfId="1" applyFont="1" applyFill="1" applyBorder="1"/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 applyAlignment="1">
      <alignment horizontal="center"/>
    </xf>
    <xf numFmtId="10" fontId="0" fillId="0" borderId="1" xfId="1" applyNumberFormat="1" applyFont="1" applyBorder="1" applyAlignment="1">
      <alignment horizontal="center"/>
    </xf>
    <xf numFmtId="4" fontId="0" fillId="0" borderId="1" xfId="0" applyNumberFormat="1" applyFont="1" applyBorder="1" applyAlignment="1">
      <alignment horizontal="right" vertical="center"/>
    </xf>
    <xf numFmtId="9" fontId="3" fillId="7" borderId="1" xfId="1" applyFont="1" applyFill="1" applyBorder="1" applyAlignment="1">
      <alignment horizontal="center"/>
    </xf>
    <xf numFmtId="4" fontId="4" fillId="5" borderId="0" xfId="0" applyNumberFormat="1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10" fillId="3" borderId="5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/>
    </xf>
  </cellXfs>
  <cellStyles count="2">
    <cellStyle name="Normal" xfId="0" builtinId="0"/>
    <cellStyle name="Porcentaje" xfId="1" builtinId="5"/>
  </cellStyles>
  <dxfs count="18">
    <dxf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4" formatCode="0.00%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textRotation="0" indent="0" justifyLastLine="0" shrinkToFit="0" readingOrder="0"/>
    </dxf>
    <dxf>
      <border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75A9D08-1377-468A-AF05-D7853C9878D0}" name="Tabla2" displayName="Tabla2" ref="F13:R23" totalsRowShown="0" headerRowDxfId="17" dataDxfId="15" headerRowBorderDxfId="16" tableBorderDxfId="14" totalsRowBorderDxfId="13">
  <autoFilter ref="F13:R23" xr:uid="{775A9D08-1377-468A-AF05-D7853C9878D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</autoFilter>
  <tableColumns count="13">
    <tableColumn id="1" xr3:uid="{097AA7CE-2C19-4522-AFCC-2D7077ABB6B9}" name="Grupo Homogéneo" dataDxfId="12"/>
    <tableColumn id="2" xr3:uid="{B5D1F10D-371F-4B26-972F-7E20D881EF10}" name="Proceso" dataDxfId="11"/>
    <tableColumn id="13" xr3:uid="{311A97DB-F611-44AC-A43F-0ACFCCCB1B43}" name="Uso final de energía" dataDxfId="10"/>
    <tableColumn id="3" xr3:uid="{D5C4E4C9-E4CD-42F0-B878-EAED958F5FA0}" name="Energético" dataDxfId="9"/>
    <tableColumn id="4" xr3:uid="{B7B5D837-72C9-44E9-A5D9-0A2D73C6B023}" name="Producto final" dataDxfId="8"/>
    <tableColumn id="5" xr3:uid="{3CF749A7-0CC3-4EAE-8383-BA07291F80FF}" name="Unidades indicador producción" dataDxfId="7"/>
    <tableColumn id="6" xr3:uid="{380EDCBC-1202-4CB0-B868-AB32DBAE2810}" name="Indicador" dataDxfId="6"/>
    <tableColumn id="7" xr3:uid="{F7C4E07E-D41C-4EB3-84F4-91947724497C}" name="Parámetro" dataDxfId="5">
      <calculatedColumnFormula>IFERROR(RIGHT(Tabla2[[#This Row],[Unidades indicador producción]], LEN(Tabla2[[#This Row],[Unidades indicador producción]])-FIND("/", Tabla2[[#This Row],[Unidades indicador producción]])), "")</calculatedColumnFormula>
    </tableColumn>
    <tableColumn id="8" xr3:uid="{0FF27519-F70B-45F1-A622-B58EACF1F88B}" name="Indicador área" dataDxfId="4">
      <calculatedColumnFormula>IF(Tabla2[[#This Row],[Parámetro]]="Tn",Tabla2[[#This Row],[Indicador]]*$B$7,Tabla2[[#This Row],[Indicador]])</calculatedColumnFormula>
    </tableColumn>
    <tableColumn id="9" xr3:uid="{3AD82B07-3885-48D4-987A-DBF40EFD0198}" name="Unidades" dataDxfId="3">
      <calculatedColumnFormula>"MJ/Ha"</calculatedColumnFormula>
    </tableColumn>
    <tableColumn id="10" xr3:uid="{E16307D2-7B0D-4BEC-94C3-8D5C9401D2A7}" name="Consumo energía [MJ/año]" dataDxfId="2">
      <calculatedColumnFormula>(Tabla2[[#This Row],[Indicador área]]*$B$5)</calculatedColumnFormula>
    </tableColumn>
    <tableColumn id="11" xr3:uid="{03256D76-B317-4135-871E-0E33A4637278}" name="Participación" dataDxfId="1" dataCellStyle="Porcentaje">
      <calculatedColumnFormula>Tabla2[[#This Row],[Consumo energía '[MJ/año']]]/$P$12</calculatedColumnFormula>
    </tableColumn>
    <tableColumn id="12" xr3:uid="{BD09D103-84C8-4FD5-AF30-22463A65E232}" name="Consumo energía corregido [MJ]" dataDxfId="0">
      <calculatedColumnFormula>IF(Tabla2[[#This Row],[Energético]]="Energía Eléctrica",((Tabla2[[#This Row],[Participación]]*$D$32)/SUMIF(Tabla2[Energético],"Energía Eléctrica",Tabla2[Participación]))*$B$34,Tabla2[[#This Row],[Consumo energía '[MJ/año']]])</calculatedColumnFormula>
    </tableColumn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687B94-0509-445A-B37A-7AD68697CF57}">
  <dimension ref="A1:R55"/>
  <sheetViews>
    <sheetView showGridLines="0" tabSelected="1" topLeftCell="A17" workbookViewId="0">
      <selection activeCell="G8" sqref="G8"/>
    </sheetView>
  </sheetViews>
  <sheetFormatPr baseColWidth="10" defaultRowHeight="12.75" x14ac:dyDescent="0.2"/>
  <cols>
    <col min="1" max="1" width="33" customWidth="1"/>
    <col min="2" max="2" width="20" customWidth="1"/>
    <col min="3" max="4" width="16.42578125" customWidth="1"/>
    <col min="6" max="6" width="20.28515625" customWidth="1"/>
    <col min="7" max="8" width="24.5703125" customWidth="1"/>
    <col min="9" max="9" width="26.5703125" customWidth="1"/>
    <col min="10" max="10" width="17.7109375" bestFit="1" customWidth="1"/>
    <col min="11" max="11" width="19.7109375" customWidth="1"/>
    <col min="12" max="12" width="11.7109375" customWidth="1"/>
    <col min="14" max="14" width="15" customWidth="1"/>
    <col min="16" max="16" width="24.5703125" customWidth="1"/>
    <col min="17" max="17" width="15" customWidth="1"/>
    <col min="18" max="18" width="24.28515625" customWidth="1"/>
  </cols>
  <sheetData>
    <row r="1" spans="1:18" ht="18" x14ac:dyDescent="0.25">
      <c r="A1" s="15"/>
    </row>
    <row r="2" spans="1:18" x14ac:dyDescent="0.2">
      <c r="H2" s="31"/>
    </row>
    <row r="3" spans="1:18" ht="18" x14ac:dyDescent="0.25">
      <c r="A3" s="59" t="s">
        <v>73</v>
      </c>
      <c r="B3" s="60"/>
      <c r="C3" s="4"/>
      <c r="H3" s="30"/>
    </row>
    <row r="4" spans="1:18" x14ac:dyDescent="0.2">
      <c r="A4" s="5" t="s">
        <v>32</v>
      </c>
      <c r="B4" s="14" t="s">
        <v>37</v>
      </c>
      <c r="C4" s="4"/>
      <c r="H4" s="30"/>
    </row>
    <row r="5" spans="1:18" x14ac:dyDescent="0.2">
      <c r="A5" s="6" t="s">
        <v>62</v>
      </c>
      <c r="B5" s="7">
        <f>B23</f>
        <v>110182.87999999999</v>
      </c>
      <c r="C5" s="28" t="s">
        <v>65</v>
      </c>
      <c r="H5" s="30"/>
    </row>
    <row r="6" spans="1:18" x14ac:dyDescent="0.2">
      <c r="A6" s="6" t="s">
        <v>63</v>
      </c>
      <c r="B6" s="7">
        <f>+B5*0.7</f>
        <v>77128.015999999989</v>
      </c>
      <c r="C6" s="28"/>
      <c r="H6" s="30"/>
    </row>
    <row r="7" spans="1:18" x14ac:dyDescent="0.2">
      <c r="A7" s="6" t="s">
        <v>13</v>
      </c>
      <c r="B7" s="7">
        <v>8.82</v>
      </c>
      <c r="C7" s="28" t="s">
        <v>64</v>
      </c>
      <c r="H7" s="30"/>
    </row>
    <row r="8" spans="1:18" x14ac:dyDescent="0.2">
      <c r="A8" s="6" t="s">
        <v>14</v>
      </c>
      <c r="B8" s="7">
        <v>689752.06958176487</v>
      </c>
      <c r="C8" s="28" t="s">
        <v>68</v>
      </c>
      <c r="H8" s="30"/>
    </row>
    <row r="9" spans="1:18" x14ac:dyDescent="0.2">
      <c r="A9" s="6" t="s">
        <v>52</v>
      </c>
      <c r="B9" s="49">
        <v>0.25</v>
      </c>
      <c r="C9" s="28" t="s">
        <v>66</v>
      </c>
      <c r="H9" s="30"/>
    </row>
    <row r="10" spans="1:18" ht="25.5" x14ac:dyDescent="0.2">
      <c r="A10" s="8" t="s">
        <v>61</v>
      </c>
      <c r="B10" s="7">
        <f>+B9*B8</f>
        <v>172438.01739544122</v>
      </c>
      <c r="C10" s="28" t="s">
        <v>70</v>
      </c>
    </row>
    <row r="11" spans="1:18" ht="26.25" x14ac:dyDescent="0.25">
      <c r="A11" s="8" t="s">
        <v>69</v>
      </c>
      <c r="B11" s="20">
        <f>+B10*3.6</f>
        <v>620776.86262358841</v>
      </c>
      <c r="C11" s="1"/>
      <c r="F11" s="57" t="s">
        <v>74</v>
      </c>
      <c r="G11" s="57"/>
      <c r="H11" s="57"/>
      <c r="I11" s="57"/>
      <c r="J11" s="57"/>
      <c r="K11" s="57"/>
      <c r="L11" s="57"/>
      <c r="R11" s="12" t="s">
        <v>71</v>
      </c>
    </row>
    <row r="12" spans="1:18" ht="35.25" customHeight="1" x14ac:dyDescent="0.25">
      <c r="K12" s="3" t="s">
        <v>28</v>
      </c>
      <c r="P12" s="13">
        <f>SUM(Tabla2[Consumo energía '[MJ/año']])</f>
        <v>470366638.61449319</v>
      </c>
      <c r="R12" s="55">
        <f>SUM(Tabla2[Consumo energía corregido '[MJ']])</f>
        <v>470148106.04787916</v>
      </c>
    </row>
    <row r="13" spans="1:18" s="2" customFormat="1" ht="25.5" x14ac:dyDescent="0.2">
      <c r="F13" s="56" t="s">
        <v>15</v>
      </c>
      <c r="G13" s="21" t="s">
        <v>16</v>
      </c>
      <c r="H13" s="21" t="s">
        <v>53</v>
      </c>
      <c r="I13" s="21" t="s">
        <v>17</v>
      </c>
      <c r="J13" s="21" t="s">
        <v>21</v>
      </c>
      <c r="K13" s="22" t="s">
        <v>22</v>
      </c>
      <c r="L13" s="21" t="s">
        <v>23</v>
      </c>
      <c r="M13" s="21" t="s">
        <v>25</v>
      </c>
      <c r="N13" s="21" t="s">
        <v>26</v>
      </c>
      <c r="O13" s="21" t="s">
        <v>27</v>
      </c>
      <c r="P13" s="50" t="s">
        <v>72</v>
      </c>
      <c r="Q13" s="50" t="s">
        <v>1</v>
      </c>
      <c r="R13" s="50" t="s">
        <v>67</v>
      </c>
    </row>
    <row r="14" spans="1:18" x14ac:dyDescent="0.2">
      <c r="F14" s="23" t="s">
        <v>37</v>
      </c>
      <c r="G14" s="24" t="s">
        <v>38</v>
      </c>
      <c r="H14" s="24" t="s">
        <v>54</v>
      </c>
      <c r="I14" s="24" t="s">
        <v>9</v>
      </c>
      <c r="J14" s="24" t="s">
        <v>37</v>
      </c>
      <c r="K14" s="24" t="s">
        <v>39</v>
      </c>
      <c r="L14" s="25">
        <v>374.22024290000002</v>
      </c>
      <c r="M14" s="26" t="str">
        <f>IFERROR(RIGHT(Tabla2[[#This Row],[Unidades indicador producción]], LEN(Tabla2[[#This Row],[Unidades indicador producción]])-FIND("/", Tabla2[[#This Row],[Unidades indicador producción]])), "")</f>
        <v>Tn</v>
      </c>
      <c r="N14" s="27">
        <f>IF(Tabla2[[#This Row],[Parámetro]]="Tn",Tabla2[[#This Row],[Indicador]]*$B$7,Tabla2[[#This Row],[Indicador]])</f>
        <v>3300.6225423780002</v>
      </c>
      <c r="O14" s="26" t="str">
        <f t="shared" ref="O14:O19" si="0">"MJ/Ha"</f>
        <v>MJ/Ha</v>
      </c>
      <c r="P14" s="51">
        <f>(Tabla2[[#This Row],[Indicador área]]*B6)</f>
        <v>254570468.25849104</v>
      </c>
      <c r="Q14" s="52">
        <f>Tabla2[[#This Row],[Consumo energía '[MJ/año']]]/$P$12</f>
        <v>0.54121710036313586</v>
      </c>
      <c r="R14" s="51">
        <f>IF(Tabla2[[#This Row],[Energético]]="Energía Eléctrica",((Tabla2[[#This Row],[Participación]]*$D$32)/SUMIF(Tabla2[Energético],"Energía Eléctrica",Tabla2[Participación]))*$B$34,Tabla2[[#This Row],[Consumo energía '[MJ/año']]])</f>
        <v>254570468.25849104</v>
      </c>
    </row>
    <row r="15" spans="1:18" x14ac:dyDescent="0.2">
      <c r="F15" s="23" t="s">
        <v>37</v>
      </c>
      <c r="G15" s="24" t="s">
        <v>38</v>
      </c>
      <c r="H15" s="24" t="s">
        <v>54</v>
      </c>
      <c r="I15" s="24" t="s">
        <v>9</v>
      </c>
      <c r="J15" s="24" t="s">
        <v>40</v>
      </c>
      <c r="K15" s="24" t="s">
        <v>39</v>
      </c>
      <c r="L15" s="25">
        <v>193.21153849999999</v>
      </c>
      <c r="M15" s="26" t="str">
        <f>IFERROR(RIGHT(Tabla2[[#This Row],[Unidades indicador producción]], LEN(Tabla2[[#This Row],[Unidades indicador producción]])-FIND("/", Tabla2[[#This Row],[Unidades indicador producción]])), "")</f>
        <v>Tn</v>
      </c>
      <c r="N15" s="27">
        <f>IF(Tabla2[[#This Row],[Parámetro]]="Tn",Tabla2[[#This Row],[Indicador]]*$B$7,Tabla2[[#This Row],[Indicador]])</f>
        <v>1704.1257695699999</v>
      </c>
      <c r="O15" s="26" t="str">
        <f t="shared" si="0"/>
        <v>MJ/Ha</v>
      </c>
      <c r="P15" s="51">
        <f>(Tabla2[[#This Row],[Indicador área]]*B6)</f>
        <v>131435839.62140724</v>
      </c>
      <c r="Q15" s="52">
        <f>Tabla2[[#This Row],[Consumo energía '[MJ/año']]]/$P$12</f>
        <v>0.27943274210212526</v>
      </c>
      <c r="R15" s="51">
        <f>IF(Tabla2[[#This Row],[Energético]]="Energía Eléctrica",((Tabla2[[#This Row],[Participación]]*$D$32)/SUMIF(Tabla2[Energético],"Energía Eléctrica",Tabla2[Participación]))*$B$34,Tabla2[[#This Row],[Consumo energía '[MJ/año']]])</f>
        <v>131435839.62140724</v>
      </c>
    </row>
    <row r="16" spans="1:18" x14ac:dyDescent="0.2">
      <c r="F16" s="23" t="s">
        <v>37</v>
      </c>
      <c r="G16" s="24" t="s">
        <v>41</v>
      </c>
      <c r="H16" s="24" t="s">
        <v>54</v>
      </c>
      <c r="I16" s="24" t="s">
        <v>9</v>
      </c>
      <c r="J16" s="24" t="s">
        <v>42</v>
      </c>
      <c r="K16" s="24" t="s">
        <v>24</v>
      </c>
      <c r="L16" s="25">
        <v>77.292344619999994</v>
      </c>
      <c r="M16" s="26" t="str">
        <f>IFERROR(RIGHT(Tabla2[[#This Row],[Unidades indicador producción]], LEN(Tabla2[[#This Row],[Unidades indicador producción]])-FIND("/", Tabla2[[#This Row],[Unidades indicador producción]])), "")</f>
        <v>Ha</v>
      </c>
      <c r="N16" s="27">
        <f>IF(Tabla2[[#This Row],[Parámetro]]="Tn",Tabla2[[#This Row],[Indicador]]*$B$7,Tabla2[[#This Row],[Indicador]])</f>
        <v>77.292344619999994</v>
      </c>
      <c r="O16" s="26" t="str">
        <f t="shared" si="0"/>
        <v>MJ/Ha</v>
      </c>
      <c r="P16" s="51">
        <f>(Tabla2[[#This Row],[Indicador área]]*$B$5)</f>
        <v>8516293.132184105</v>
      </c>
      <c r="Q16" s="52">
        <f>Tabla2[[#This Row],[Consumo energía '[MJ/año']]]/$P$12</f>
        <v>1.8105648728127498E-2</v>
      </c>
      <c r="R16" s="51">
        <f>IF(Tabla2[[#This Row],[Energético]]="Energía Eléctrica",((Tabla2[[#This Row],[Participación]]*$D$32)/SUMIF(Tabla2[Energético],"Energía Eléctrica",Tabla2[Participación]))*$B$34,Tabla2[[#This Row],[Consumo energía '[MJ/año']]])</f>
        <v>8516293.132184105</v>
      </c>
    </row>
    <row r="17" spans="1:18" x14ac:dyDescent="0.2">
      <c r="F17" s="23" t="s">
        <v>37</v>
      </c>
      <c r="G17" s="24" t="s">
        <v>18</v>
      </c>
      <c r="H17" s="24" t="s">
        <v>54</v>
      </c>
      <c r="I17" s="24" t="s">
        <v>9</v>
      </c>
      <c r="J17" s="24" t="s">
        <v>43</v>
      </c>
      <c r="K17" s="24" t="s">
        <v>24</v>
      </c>
      <c r="L17" s="25">
        <v>397.19148890000002</v>
      </c>
      <c r="M17" s="26" t="str">
        <f>IFERROR(RIGHT(Tabla2[[#This Row],[Unidades indicador producción]], LEN(Tabla2[[#This Row],[Unidades indicador producción]])-FIND("/", Tabla2[[#This Row],[Unidades indicador producción]])), "")</f>
        <v>Ha</v>
      </c>
      <c r="N17" s="27">
        <f>IF(Tabla2[[#This Row],[Parámetro]]="Tn",Tabla2[[#This Row],[Indicador]]*$B$7,Tabla2[[#This Row],[Indicador]])</f>
        <v>397.19148890000002</v>
      </c>
      <c r="O17" s="26" t="str">
        <f t="shared" si="0"/>
        <v>MJ/Ha</v>
      </c>
      <c r="P17" s="51">
        <f>(Tabla2[[#This Row],[Indicador área]]*$B$5)</f>
        <v>43763702.158490032</v>
      </c>
      <c r="Q17" s="52">
        <f>Tabla2[[#This Row],[Consumo energía '[MJ/año']]]/$P$12</f>
        <v>9.3041679757305734E-2</v>
      </c>
      <c r="R17" s="51">
        <f>IF(Tabla2[[#This Row],[Energético]]="Energía Eléctrica",((Tabla2[[#This Row],[Participación]]*$D$32)/SUMIF(Tabla2[Energético],"Energía Eléctrica",Tabla2[Participación]))*$B$34,Tabla2[[#This Row],[Consumo energía '[MJ/año']]])</f>
        <v>43763702.158490032</v>
      </c>
    </row>
    <row r="18" spans="1:18" x14ac:dyDescent="0.2">
      <c r="A18" s="47" t="s">
        <v>60</v>
      </c>
      <c r="B18" s="47" t="s">
        <v>59</v>
      </c>
      <c r="F18" s="23" t="s">
        <v>37</v>
      </c>
      <c r="G18" s="24" t="s">
        <v>18</v>
      </c>
      <c r="H18" s="24" t="s">
        <v>54</v>
      </c>
      <c r="I18" s="24" t="s">
        <v>9</v>
      </c>
      <c r="J18" s="24" t="s">
        <v>44</v>
      </c>
      <c r="K18" s="24" t="s">
        <v>24</v>
      </c>
      <c r="L18" s="25">
        <v>4.025240385</v>
      </c>
      <c r="M18" s="26" t="str">
        <f>IFERROR(RIGHT(Tabla2[[#This Row],[Unidades indicador producción]], LEN(Tabla2[[#This Row],[Unidades indicador producción]])-FIND("/", Tabla2[[#This Row],[Unidades indicador producción]])), "")</f>
        <v>Ha</v>
      </c>
      <c r="N18" s="27">
        <f>IF(Tabla2[[#This Row],[Parámetro]]="Tn",Tabla2[[#This Row],[Indicador]]*$B$7,Tabla2[[#This Row],[Indicador]])</f>
        <v>4.025240385</v>
      </c>
      <c r="O18" s="26" t="str">
        <f t="shared" si="0"/>
        <v>MJ/Ha</v>
      </c>
      <c r="P18" s="51">
        <f>(Tabla2[[#This Row],[Indicador área]]*$B$5)</f>
        <v>443512.57831160876</v>
      </c>
      <c r="Q18" s="52">
        <f>Tabla2[[#This Row],[Consumo energía '[MJ/año']]]/$P$12</f>
        <v>9.4290823774835421E-4</v>
      </c>
      <c r="R18" s="51">
        <f>IF(Tabla2[[#This Row],[Energético]]="Energía Eléctrica",((Tabla2[[#This Row],[Participación]]*$D$32)/SUMIF(Tabla2[Energético],"Energía Eléctrica",Tabla2[Participación]))*$B$34,Tabla2[[#This Row],[Consumo energía '[MJ/año']]])</f>
        <v>443512.57831160876</v>
      </c>
    </row>
    <row r="19" spans="1:18" x14ac:dyDescent="0.2">
      <c r="A19" s="44" t="s">
        <v>56</v>
      </c>
      <c r="B19" s="46" t="s">
        <v>58</v>
      </c>
      <c r="F19" s="23" t="s">
        <v>37</v>
      </c>
      <c r="G19" s="24" t="s">
        <v>36</v>
      </c>
      <c r="H19" s="24" t="s">
        <v>54</v>
      </c>
      <c r="I19" s="24" t="s">
        <v>9</v>
      </c>
      <c r="J19" s="24" t="s">
        <v>45</v>
      </c>
      <c r="K19" s="24" t="s">
        <v>24</v>
      </c>
      <c r="L19" s="25">
        <v>206.09230769999999</v>
      </c>
      <c r="M19" s="26" t="str">
        <f>IFERROR(RIGHT(Tabla2[[#This Row],[Unidades indicador producción]], LEN(Tabla2[[#This Row],[Unidades indicador producción]])-FIND("/", Tabla2[[#This Row],[Unidades indicador producción]])), "")</f>
        <v>Ha</v>
      </c>
      <c r="N19" s="27">
        <f>IF(Tabla2[[#This Row],[Parámetro]]="Tn",Tabla2[[#This Row],[Indicador]]*$B$7,Tabla2[[#This Row],[Indicador]])</f>
        <v>206.09230769999999</v>
      </c>
      <c r="O19" s="26" t="str">
        <f t="shared" si="0"/>
        <v>MJ/Ha</v>
      </c>
      <c r="P19" s="51">
        <f>(Tabla2[[#This Row],[Indicador área]]*$B$5)</f>
        <v>22707844.008232173</v>
      </c>
      <c r="Q19" s="52">
        <f>Tabla2[[#This Row],[Consumo energía '[MJ/año']]]/$P$12</f>
        <v>4.8276901769904748E-2</v>
      </c>
      <c r="R19" s="51">
        <f>IF(Tabla2[[#This Row],[Energético]]="Energía Eléctrica",((Tabla2[[#This Row],[Participación]]*$D$32)/SUMIF(Tabla2[Energético],"Energía Eléctrica",Tabla2[Participación]))*$B$34,Tabla2[[#This Row],[Consumo energía '[MJ/año']]])</f>
        <v>22707844.008232173</v>
      </c>
    </row>
    <row r="20" spans="1:18" x14ac:dyDescent="0.2">
      <c r="A20" s="42" t="s">
        <v>37</v>
      </c>
      <c r="B20" s="43">
        <v>51132.29</v>
      </c>
      <c r="F20" s="23" t="s">
        <v>37</v>
      </c>
      <c r="G20" s="24" t="s">
        <v>46</v>
      </c>
      <c r="H20" s="24" t="s">
        <v>55</v>
      </c>
      <c r="I20" s="24" t="s">
        <v>2</v>
      </c>
      <c r="J20" s="24" t="s">
        <v>47</v>
      </c>
      <c r="K20" s="24" t="s">
        <v>24</v>
      </c>
      <c r="L20" s="25">
        <v>1.1745734109999999</v>
      </c>
      <c r="M20" s="29" t="str">
        <f>IFERROR(RIGHT(Tabla2[[#This Row],[Unidades indicador producción]], LEN(Tabla2[[#This Row],[Unidades indicador producción]])-FIND("/", Tabla2[[#This Row],[Unidades indicador producción]])), "")</f>
        <v>Ha</v>
      </c>
      <c r="N20" s="27">
        <f>IF(Tabla2[[#This Row],[Parámetro]]="Tn",Tabla2[[#This Row],[Indicador]]*$B$7,Tabla2[[#This Row],[Indicador]])</f>
        <v>1.1745734109999999</v>
      </c>
      <c r="O20" s="29" t="str">
        <f t="shared" ref="O20:O23" si="1">"MJ/Ha"</f>
        <v>MJ/Ha</v>
      </c>
      <c r="P20" s="51">
        <f>(Tabla2[[#This Row],[Indicador área]]*$B$5)</f>
        <v>129417.88119540366</v>
      </c>
      <c r="Q20" s="52">
        <f>Tabla2[[#This Row],[Consumo energía '[MJ/año']]]/$P$12</f>
        <v>2.75142560230495E-4</v>
      </c>
      <c r="R20" s="51">
        <f>IF(Tabla2[[#This Row],[Energético]]="Energía Eléctrica",((Tabla2[[#This Row],[Participación]]*$D$32)/SUMIF(Tabla2[Energético],"Energía Eléctrica",Tabla2[Participación]))*$B$34,Tabla2[[#This Row],[Consumo energía '[MJ/año']]])</f>
        <v>95721.10530063817</v>
      </c>
    </row>
    <row r="21" spans="1:18" x14ac:dyDescent="0.2">
      <c r="A21" s="42" t="s">
        <v>50</v>
      </c>
      <c r="B21" s="43">
        <v>51261.36</v>
      </c>
      <c r="F21" s="23" t="s">
        <v>37</v>
      </c>
      <c r="G21" s="24" t="s">
        <v>19</v>
      </c>
      <c r="H21" s="24" t="s">
        <v>54</v>
      </c>
      <c r="I21" s="24" t="s">
        <v>9</v>
      </c>
      <c r="J21" s="24" t="s">
        <v>43</v>
      </c>
      <c r="K21" s="24" t="s">
        <v>24</v>
      </c>
      <c r="L21" s="25">
        <v>57.963461539999997</v>
      </c>
      <c r="M21" s="29" t="str">
        <f>IFERROR(RIGHT(Tabla2[[#This Row],[Unidades indicador producción]], LEN(Tabla2[[#This Row],[Unidades indicador producción]])-FIND("/", Tabla2[[#This Row],[Unidades indicador producción]])), "")</f>
        <v>Ha</v>
      </c>
      <c r="N21" s="27">
        <f>IF(Tabla2[[#This Row],[Parámetro]]="Tn",Tabla2[[#This Row],[Indicador]]*$B$7,Tabla2[[#This Row],[Indicador]])</f>
        <v>57.963461539999997</v>
      </c>
      <c r="O21" s="29" t="str">
        <f t="shared" si="1"/>
        <v>MJ/Ha</v>
      </c>
      <c r="P21" s="51">
        <f>(Tabla2[[#This Row],[Indicador área]]*$B$5)</f>
        <v>6386581.1272464339</v>
      </c>
      <c r="Q21" s="52">
        <f>Tabla2[[#This Row],[Consumo energía '[MJ/año']]]/$P$12</f>
        <v>1.3577878622639303E-2</v>
      </c>
      <c r="R21" s="51">
        <f>IF(Tabla2[[#This Row],[Energético]]="Energía Eléctrica",((Tabla2[[#This Row],[Participación]]*$D$32)/SUMIF(Tabla2[Energético],"Energía Eléctrica",Tabla2[Participación]))*$B$34,Tabla2[[#This Row],[Consumo energía '[MJ/año']]])</f>
        <v>6386581.1272464339</v>
      </c>
    </row>
    <row r="22" spans="1:18" x14ac:dyDescent="0.2">
      <c r="A22" s="42" t="s">
        <v>51</v>
      </c>
      <c r="B22" s="43">
        <v>7789.23</v>
      </c>
      <c r="F22" s="23" t="s">
        <v>37</v>
      </c>
      <c r="G22" s="24" t="s">
        <v>20</v>
      </c>
      <c r="H22" s="24" t="s">
        <v>54</v>
      </c>
      <c r="I22" s="24" t="s">
        <v>9</v>
      </c>
      <c r="J22" s="24" t="s">
        <v>44</v>
      </c>
      <c r="K22" s="24" t="s">
        <v>24</v>
      </c>
      <c r="L22" s="25">
        <v>15.456923079999999</v>
      </c>
      <c r="M22" s="29" t="str">
        <f>IFERROR(RIGHT(Tabla2[[#This Row],[Unidades indicador producción]], LEN(Tabla2[[#This Row],[Unidades indicador producción]])-FIND("/", Tabla2[[#This Row],[Unidades indicador producción]])), "")</f>
        <v>Ha</v>
      </c>
      <c r="N22" s="27">
        <f>IF(Tabla2[[#This Row],[Parámetro]]="Tn",Tabla2[[#This Row],[Indicador]]*$B$7,Tabla2[[#This Row],[Indicador]])</f>
        <v>15.456923079999999</v>
      </c>
      <c r="O22" s="29" t="str">
        <f t="shared" si="1"/>
        <v>MJ/Ha</v>
      </c>
      <c r="P22" s="51">
        <f>(Tabla2[[#This Row],[Indicador área]]*$B$5)</f>
        <v>1703088.3008928702</v>
      </c>
      <c r="Q22" s="52">
        <f>Tabla2[[#This Row],[Consumo energía '[MJ/año']]]/$P$12</f>
        <v>3.6207676333284782E-3</v>
      </c>
      <c r="R22" s="51">
        <f>IF(Tabla2[[#This Row],[Energético]]="Energía Eléctrica",((Tabla2[[#This Row],[Participación]]*$D$32)/SUMIF(Tabla2[Energético],"Energía Eléctrica",Tabla2[Participación]))*$B$34,Tabla2[[#This Row],[Consumo energía '[MJ/año']]])</f>
        <v>1703088.3008928702</v>
      </c>
    </row>
    <row r="23" spans="1:18" x14ac:dyDescent="0.2">
      <c r="A23" s="44" t="s">
        <v>57</v>
      </c>
      <c r="B23" s="45">
        <f>B20+B21+B22</f>
        <v>110182.87999999999</v>
      </c>
      <c r="F23" s="23" t="s">
        <v>37</v>
      </c>
      <c r="G23" s="24" t="s">
        <v>48</v>
      </c>
      <c r="H23" s="24" t="s">
        <v>54</v>
      </c>
      <c r="I23" s="24" t="s">
        <v>2</v>
      </c>
      <c r="J23" s="24" t="s">
        <v>49</v>
      </c>
      <c r="K23" s="24" t="s">
        <v>24</v>
      </c>
      <c r="L23" s="25">
        <v>6.4428479999999997</v>
      </c>
      <c r="M23" s="29" t="str">
        <f>IFERROR(RIGHT(Tabla2[[#This Row],[Unidades indicador producción]], LEN(Tabla2[[#This Row],[Unidades indicador producción]])-FIND("/", Tabla2[[#This Row],[Unidades indicador producción]])), "")</f>
        <v>Ha</v>
      </c>
      <c r="N23" s="27">
        <f>IF(Tabla2[[#This Row],[Parámetro]]="Tn",Tabla2[[#This Row],[Indicador]]*$B$7,Tabla2[[#This Row],[Indicador]])</f>
        <v>6.4428479999999997</v>
      </c>
      <c r="O23" s="29" t="str">
        <f t="shared" si="1"/>
        <v>MJ/Ha</v>
      </c>
      <c r="P23" s="51">
        <f>(Tabla2[[#This Row],[Indicador área]]*$B$5)</f>
        <v>709891.54804223985</v>
      </c>
      <c r="Q23" s="52">
        <f>Tabla2[[#This Row],[Consumo energía '[MJ/año']]]/$P$12</f>
        <v>1.5092302254541023E-3</v>
      </c>
      <c r="R23" s="51">
        <f>IF(Tabla2[[#This Row],[Energético]]="Energía Eléctrica",((Tabla2[[#This Row],[Participación]]*$D$32)/SUMIF(Tabla2[Energético],"Energía Eléctrica",Tabla2[Participación]))*$B$34,Tabla2[[#This Row],[Consumo energía '[MJ/año']]])</f>
        <v>525055.75732295029</v>
      </c>
    </row>
    <row r="29" spans="1:18" ht="15.75" x14ac:dyDescent="0.25">
      <c r="A29" s="57" t="s">
        <v>29</v>
      </c>
      <c r="B29" s="57"/>
      <c r="C29" s="57"/>
      <c r="D29" s="57"/>
    </row>
    <row r="31" spans="1:18" x14ac:dyDescent="0.2">
      <c r="A31" s="16" t="s">
        <v>0</v>
      </c>
      <c r="B31" s="16" t="s">
        <v>33</v>
      </c>
      <c r="C31" s="16" t="s">
        <v>34</v>
      </c>
      <c r="D31" s="16" t="s">
        <v>1</v>
      </c>
      <c r="G31" s="34"/>
      <c r="H31" s="34"/>
      <c r="I31" s="34"/>
      <c r="J31" s="34"/>
      <c r="K31" s="34"/>
      <c r="L31" s="34"/>
      <c r="M31" s="34"/>
      <c r="N31" s="34"/>
      <c r="O31" s="34"/>
    </row>
    <row r="32" spans="1:18" x14ac:dyDescent="0.2">
      <c r="A32" s="17" t="s">
        <v>2</v>
      </c>
      <c r="B32" s="33">
        <f>B11</f>
        <v>620776.86262358841</v>
      </c>
      <c r="C32" s="53">
        <f>Aguacate!$B32/1000000</f>
        <v>0.62077686262358844</v>
      </c>
      <c r="D32" s="32">
        <f>B32/$B$34</f>
        <v>1.3203857563990049E-3</v>
      </c>
      <c r="G32" s="34"/>
      <c r="H32" s="34"/>
      <c r="I32" s="34"/>
      <c r="J32" s="34"/>
      <c r="K32" s="34"/>
      <c r="L32" s="34"/>
      <c r="M32" s="34"/>
      <c r="N32" s="34"/>
      <c r="O32" s="34"/>
    </row>
    <row r="33" spans="1:15" x14ac:dyDescent="0.2">
      <c r="A33" s="17" t="s">
        <v>9</v>
      </c>
      <c r="B33" s="19">
        <f>SUMIF(Tabla2[Energético],A33,Tabla2[Consumo energía '[MJ/año']])</f>
        <v>469527329.18525553</v>
      </c>
      <c r="C33" s="53">
        <f>Aguacate!$B33/1000000</f>
        <v>469.52732918525555</v>
      </c>
      <c r="D33" s="18">
        <f>B33/$B$34</f>
        <v>0.99867961424360108</v>
      </c>
      <c r="G33" s="34"/>
      <c r="H33" s="34"/>
      <c r="I33" s="34"/>
      <c r="J33" s="34"/>
      <c r="K33" s="34"/>
      <c r="L33" s="34"/>
      <c r="M33" s="34"/>
      <c r="N33" s="34"/>
      <c r="O33" s="34"/>
    </row>
    <row r="34" spans="1:15" x14ac:dyDescent="0.2">
      <c r="A34" s="44" t="s">
        <v>57</v>
      </c>
      <c r="B34" s="45">
        <f>SUM(B32:B33)</f>
        <v>470148106.0478791</v>
      </c>
      <c r="C34" s="45">
        <f>SUM(C32:C33)</f>
        <v>470.14810604787914</v>
      </c>
      <c r="D34" s="54">
        <f>SUM(D32:D33)</f>
        <v>1</v>
      </c>
      <c r="G34" s="34"/>
      <c r="H34" s="34"/>
      <c r="I34" s="34"/>
      <c r="J34" s="34"/>
      <c r="K34" s="34"/>
      <c r="L34" s="34"/>
      <c r="M34" s="34"/>
      <c r="N34" s="34"/>
      <c r="O34" s="34"/>
    </row>
    <row r="35" spans="1:15" x14ac:dyDescent="0.2">
      <c r="G35" s="34"/>
      <c r="H35" s="34"/>
      <c r="I35" s="34"/>
      <c r="J35" s="34"/>
      <c r="K35" s="34"/>
      <c r="L35" s="34"/>
      <c r="M35" s="34"/>
      <c r="N35" s="34"/>
      <c r="O35" s="34"/>
    </row>
    <row r="36" spans="1:15" x14ac:dyDescent="0.2">
      <c r="G36" s="34"/>
      <c r="H36" s="34"/>
      <c r="I36" s="34"/>
      <c r="J36" s="34"/>
      <c r="K36" s="34"/>
      <c r="L36" s="34"/>
      <c r="M36" s="34"/>
      <c r="N36" s="34"/>
      <c r="O36" s="34"/>
    </row>
    <row r="37" spans="1:15" x14ac:dyDescent="0.2">
      <c r="G37" s="35"/>
      <c r="H37" s="35"/>
      <c r="I37" s="36"/>
      <c r="J37" s="34"/>
      <c r="K37" s="37"/>
      <c r="L37" s="38"/>
      <c r="M37" s="34"/>
      <c r="N37" s="34"/>
      <c r="O37" s="34"/>
    </row>
    <row r="38" spans="1:15" ht="18" x14ac:dyDescent="0.25">
      <c r="A38" s="58" t="s">
        <v>35</v>
      </c>
      <c r="B38" s="58"/>
      <c r="C38" s="58"/>
      <c r="G38" s="35"/>
      <c r="H38" s="35"/>
      <c r="I38" s="36"/>
      <c r="J38" s="34"/>
      <c r="K38" s="37"/>
      <c r="L38" s="38"/>
      <c r="M38" s="34"/>
      <c r="N38" s="34"/>
      <c r="O38" s="34"/>
    </row>
    <row r="39" spans="1:15" x14ac:dyDescent="0.2">
      <c r="A39" s="9" t="str">
        <f>+A4</f>
        <v>Grupo Homogeneo</v>
      </c>
      <c r="B39" s="9" t="s">
        <v>30</v>
      </c>
      <c r="C39" s="9" t="s">
        <v>31</v>
      </c>
      <c r="G39" s="35"/>
      <c r="H39" s="35"/>
      <c r="I39" s="39"/>
      <c r="J39" s="34"/>
      <c r="K39" s="40"/>
      <c r="L39" s="41"/>
      <c r="M39" s="34"/>
      <c r="N39" s="34"/>
      <c r="O39" s="34"/>
    </row>
    <row r="40" spans="1:15" x14ac:dyDescent="0.2">
      <c r="A40" s="10" t="str">
        <f>+$B$4</f>
        <v>Aguacate</v>
      </c>
      <c r="B40" s="11">
        <f>+B34/B5</f>
        <v>4266.9796437330297</v>
      </c>
      <c r="C40" s="11">
        <f>B40/$B$7</f>
        <v>483.78454010578565</v>
      </c>
      <c r="G40" s="34"/>
      <c r="H40" s="34"/>
      <c r="I40" s="34"/>
      <c r="J40" s="34"/>
      <c r="K40" s="34"/>
      <c r="L40" s="34"/>
      <c r="M40" s="34"/>
      <c r="N40" s="34"/>
      <c r="O40" s="34"/>
    </row>
    <row r="41" spans="1:15" x14ac:dyDescent="0.2">
      <c r="G41" s="34"/>
      <c r="H41" s="34"/>
      <c r="I41" s="34"/>
      <c r="J41" s="34"/>
      <c r="K41" s="34"/>
      <c r="L41" s="34"/>
      <c r="M41" s="34"/>
      <c r="N41" s="34"/>
      <c r="O41" s="34"/>
    </row>
    <row r="42" spans="1:15" x14ac:dyDescent="0.2">
      <c r="G42" s="34"/>
      <c r="H42" s="34"/>
      <c r="I42" s="34"/>
      <c r="J42" s="34"/>
      <c r="K42" s="34"/>
      <c r="L42" s="34"/>
      <c r="M42" s="34"/>
      <c r="N42" s="34"/>
      <c r="O42" s="34"/>
    </row>
    <row r="43" spans="1:15" x14ac:dyDescent="0.2">
      <c r="G43" s="34"/>
      <c r="H43" s="34"/>
      <c r="I43" s="34"/>
      <c r="J43" s="34"/>
      <c r="K43" s="34"/>
      <c r="L43" s="34"/>
      <c r="M43" s="34"/>
      <c r="N43" s="34"/>
      <c r="O43" s="34"/>
    </row>
    <row r="44" spans="1:15" x14ac:dyDescent="0.2">
      <c r="A44" s="34"/>
      <c r="G44" s="34"/>
      <c r="H44" s="34"/>
      <c r="I44" s="34"/>
      <c r="J44" s="34"/>
      <c r="K44" s="34"/>
      <c r="L44" s="34"/>
      <c r="M44" s="34"/>
      <c r="N44" s="34"/>
      <c r="O44" s="34"/>
    </row>
    <row r="45" spans="1:15" x14ac:dyDescent="0.2">
      <c r="A45" s="48"/>
      <c r="G45" s="34"/>
      <c r="H45" s="34"/>
      <c r="I45" s="34"/>
      <c r="J45" s="34"/>
      <c r="K45" s="34"/>
      <c r="L45" s="34"/>
      <c r="M45" s="34"/>
      <c r="N45" s="34"/>
      <c r="O45" s="34"/>
    </row>
    <row r="46" spans="1:15" x14ac:dyDescent="0.2">
      <c r="A46" s="34"/>
      <c r="G46" s="34"/>
      <c r="H46" s="34"/>
      <c r="I46" s="34"/>
      <c r="J46" s="34"/>
      <c r="K46" s="34"/>
      <c r="L46" s="34"/>
      <c r="M46" s="34"/>
      <c r="N46" s="34"/>
      <c r="O46" s="34"/>
    </row>
    <row r="47" spans="1:15" x14ac:dyDescent="0.2">
      <c r="A47" s="34"/>
      <c r="G47" s="34"/>
      <c r="H47" s="34"/>
      <c r="I47" s="34"/>
      <c r="J47" s="34"/>
      <c r="K47" s="34"/>
      <c r="L47" s="34"/>
      <c r="M47" s="34"/>
      <c r="N47" s="34"/>
      <c r="O47" s="34"/>
    </row>
    <row r="48" spans="1:15" x14ac:dyDescent="0.2">
      <c r="A48" s="34"/>
      <c r="G48" s="34"/>
      <c r="H48" s="34"/>
      <c r="I48" s="34"/>
      <c r="J48" s="34"/>
      <c r="K48" s="34"/>
      <c r="L48" s="34"/>
      <c r="M48" s="34"/>
      <c r="N48" s="34"/>
      <c r="O48" s="34"/>
    </row>
    <row r="49" spans="1:15" x14ac:dyDescent="0.2">
      <c r="A49" s="34"/>
      <c r="G49" s="34"/>
      <c r="H49" s="34"/>
      <c r="I49" s="34"/>
      <c r="J49" s="34"/>
      <c r="K49" s="34"/>
      <c r="L49" s="34"/>
      <c r="M49" s="34"/>
      <c r="N49" s="34"/>
      <c r="O49" s="34"/>
    </row>
    <row r="50" spans="1:15" x14ac:dyDescent="0.2">
      <c r="G50" s="34"/>
      <c r="H50" s="34"/>
      <c r="I50" s="34"/>
      <c r="J50" s="34"/>
      <c r="K50" s="34"/>
      <c r="L50" s="34"/>
      <c r="M50" s="34"/>
      <c r="N50" s="34"/>
      <c r="O50" s="34"/>
    </row>
    <row r="51" spans="1:15" x14ac:dyDescent="0.2">
      <c r="G51" s="34"/>
      <c r="H51" s="34"/>
      <c r="I51" s="34"/>
      <c r="J51" s="34"/>
      <c r="K51" s="34"/>
      <c r="L51" s="34"/>
      <c r="M51" s="34"/>
      <c r="N51" s="34"/>
      <c r="O51" s="34"/>
    </row>
    <row r="52" spans="1:15" x14ac:dyDescent="0.2">
      <c r="G52" s="34"/>
      <c r="H52" s="34"/>
      <c r="I52" s="34"/>
      <c r="J52" s="34"/>
      <c r="K52" s="34"/>
      <c r="L52" s="34"/>
      <c r="M52" s="34"/>
      <c r="N52" s="34"/>
      <c r="O52" s="34"/>
    </row>
    <row r="53" spans="1:15" x14ac:dyDescent="0.2">
      <c r="G53" s="34"/>
      <c r="H53" s="34"/>
      <c r="I53" s="34"/>
      <c r="J53" s="34"/>
      <c r="K53" s="34"/>
      <c r="L53" s="34"/>
      <c r="M53" s="34"/>
      <c r="N53" s="34"/>
      <c r="O53" s="34"/>
    </row>
    <row r="54" spans="1:15" x14ac:dyDescent="0.2">
      <c r="G54" s="34"/>
      <c r="H54" s="34"/>
      <c r="I54" s="34"/>
      <c r="J54" s="34"/>
      <c r="K54" s="34"/>
      <c r="L54" s="34"/>
      <c r="M54" s="34"/>
      <c r="N54" s="34"/>
      <c r="O54" s="34"/>
    </row>
    <row r="55" spans="1:15" x14ac:dyDescent="0.2">
      <c r="G55" s="34"/>
      <c r="H55" s="34"/>
      <c r="I55" s="34"/>
      <c r="J55" s="34"/>
      <c r="K55" s="34"/>
      <c r="L55" s="34"/>
      <c r="M55" s="34"/>
      <c r="N55" s="34"/>
      <c r="O55" s="34"/>
    </row>
  </sheetData>
  <mergeCells count="4">
    <mergeCell ref="A29:D29"/>
    <mergeCell ref="F11:L11"/>
    <mergeCell ref="A38:C38"/>
    <mergeCell ref="A3:B3"/>
  </mergeCells>
  <phoneticPr fontId="8" type="noConversion"/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36025C92-C95A-4C51-AC01-1A2B533DB7BD}">
          <x14:formula1>
            <xm:f>Hoja2!$A$1:$A$11</xm:f>
          </x14:formula1>
          <xm:sqref>A32:A33 A45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85FCD-0EFB-4C63-8DD7-A9391F860BF4}">
  <dimension ref="A1:A11"/>
  <sheetViews>
    <sheetView workbookViewId="0">
      <selection activeCell="C14" sqref="C14"/>
    </sheetView>
  </sheetViews>
  <sheetFormatPr baseColWidth="10" defaultRowHeight="12.75" x14ac:dyDescent="0.2"/>
  <sheetData>
    <row r="1" spans="1:1" x14ac:dyDescent="0.2">
      <c r="A1" t="s">
        <v>2</v>
      </c>
    </row>
    <row r="2" spans="1:1" x14ac:dyDescent="0.2">
      <c r="A2" t="s">
        <v>3</v>
      </c>
    </row>
    <row r="3" spans="1:1" x14ac:dyDescent="0.2">
      <c r="A3" t="s">
        <v>4</v>
      </c>
    </row>
    <row r="4" spans="1:1" x14ac:dyDescent="0.2">
      <c r="A4" t="s">
        <v>5</v>
      </c>
    </row>
    <row r="5" spans="1:1" x14ac:dyDescent="0.2">
      <c r="A5" t="s">
        <v>6</v>
      </c>
    </row>
    <row r="6" spans="1:1" x14ac:dyDescent="0.2">
      <c r="A6" t="s">
        <v>7</v>
      </c>
    </row>
    <row r="7" spans="1:1" x14ac:dyDescent="0.2">
      <c r="A7" t="s">
        <v>8</v>
      </c>
    </row>
    <row r="8" spans="1:1" x14ac:dyDescent="0.2">
      <c r="A8" t="s">
        <v>9</v>
      </c>
    </row>
    <row r="9" spans="1:1" x14ac:dyDescent="0.2">
      <c r="A9" t="s">
        <v>10</v>
      </c>
    </row>
    <row r="10" spans="1:1" x14ac:dyDescent="0.2">
      <c r="A10" t="s">
        <v>11</v>
      </c>
    </row>
    <row r="11" spans="1:1" x14ac:dyDescent="0.2">
      <c r="A11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Aguacate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Andrés Steven Morales Rodríguez</dc:creator>
  <cp:lastModifiedBy>ANDRES STEVEN MORALES RODRIGUEZ</cp:lastModifiedBy>
  <dcterms:created xsi:type="dcterms:W3CDTF">2023-12-20T19:43:59Z</dcterms:created>
  <dcterms:modified xsi:type="dcterms:W3CDTF">2024-02-06T02:04:40Z</dcterms:modified>
</cp:coreProperties>
</file>