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87B85F88-EADF-419D-9407-69CAF5C68471}" xr6:coauthVersionLast="47" xr6:coauthVersionMax="47" xr10:uidLastSave="{00000000-0000-0000-0000-000000000000}"/>
  <bookViews>
    <workbookView xWindow="-19320" yWindow="-120" windowWidth="19440" windowHeight="15000" activeTab="4" xr2:uid="{4F4AC0FB-F22A-4F96-AA86-2713B2BEDCFC}"/>
  </bookViews>
  <sheets>
    <sheet name="Maíz" sheetId="3" r:id="rId1"/>
    <sheet name="Soya" sheetId="4" r:id="rId2"/>
    <sheet name="Otros cereales " sheetId="5" r:id="rId3"/>
    <sheet name="hoja2" sheetId="2" state="hidden" r:id="rId4"/>
    <sheet name="Total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5" l="1"/>
  <c r="P7" i="4"/>
  <c r="O7" i="4"/>
  <c r="N7" i="4"/>
  <c r="P8" i="3"/>
  <c r="O8" i="3"/>
  <c r="N8" i="3"/>
  <c r="H12" i="4"/>
  <c r="K10" i="4" s="1"/>
  <c r="K4" i="4"/>
  <c r="H13" i="3"/>
  <c r="K12" i="3" s="1"/>
  <c r="D14" i="3"/>
  <c r="B15" i="3" s="1"/>
  <c r="N12" i="5"/>
  <c r="N13" i="5"/>
  <c r="N14" i="5"/>
  <c r="N15" i="5"/>
  <c r="N16" i="5"/>
  <c r="N17" i="5"/>
  <c r="N18" i="5"/>
  <c r="N19" i="5"/>
  <c r="N20" i="5"/>
  <c r="O20" i="5" s="1"/>
  <c r="Q20" i="5" s="1"/>
  <c r="S20" i="5" s="1"/>
  <c r="N21" i="5"/>
  <c r="O21" i="5" s="1"/>
  <c r="Q21" i="5" s="1"/>
  <c r="S21" i="5" s="1"/>
  <c r="N22" i="5"/>
  <c r="O22" i="5" s="1"/>
  <c r="Q22" i="5" s="1"/>
  <c r="S22" i="5" s="1"/>
  <c r="N23" i="5"/>
  <c r="O23" i="5" s="1"/>
  <c r="Q23" i="5" s="1"/>
  <c r="S23" i="5" s="1"/>
  <c r="O12" i="5"/>
  <c r="Q12" i="5" s="1"/>
  <c r="S12" i="5" s="1"/>
  <c r="O13" i="5"/>
  <c r="Q13" i="5" s="1"/>
  <c r="S13" i="5" s="1"/>
  <c r="O14" i="5"/>
  <c r="Q14" i="5" s="1"/>
  <c r="S14" i="5" s="1"/>
  <c r="O15" i="5"/>
  <c r="Q15" i="5" s="1"/>
  <c r="O16" i="5"/>
  <c r="Q16" i="5" s="1"/>
  <c r="S16" i="5" s="1"/>
  <c r="O17" i="5"/>
  <c r="Q17" i="5" s="1"/>
  <c r="S17" i="5" s="1"/>
  <c r="O18" i="5"/>
  <c r="Q18" i="5" s="1"/>
  <c r="S18" i="5" s="1"/>
  <c r="O19" i="5"/>
  <c r="Q19" i="5" s="1"/>
  <c r="S19" i="5" s="1"/>
  <c r="P12" i="5"/>
  <c r="P13" i="5"/>
  <c r="P14" i="5"/>
  <c r="P15" i="5"/>
  <c r="P16" i="5"/>
  <c r="P17" i="5"/>
  <c r="P18" i="5"/>
  <c r="P19" i="5"/>
  <c r="P20" i="5"/>
  <c r="P21" i="5"/>
  <c r="P22" i="5"/>
  <c r="P23" i="5"/>
  <c r="M20" i="3"/>
  <c r="N20" i="3" s="1"/>
  <c r="P20" i="3" s="1"/>
  <c r="R20" i="3" s="1"/>
  <c r="M21" i="3"/>
  <c r="N21" i="3" s="1"/>
  <c r="P21" i="3" s="1"/>
  <c r="R21" i="3" s="1"/>
  <c r="M22" i="3"/>
  <c r="N22" i="3" s="1"/>
  <c r="P22" i="3" s="1"/>
  <c r="R22" i="3" s="1"/>
  <c r="M23" i="3"/>
  <c r="N23" i="3" s="1"/>
  <c r="P23" i="3" s="1"/>
  <c r="M24" i="3"/>
  <c r="N24" i="3" s="1"/>
  <c r="P24" i="3" s="1"/>
  <c r="R24" i="3" s="1"/>
  <c r="M25" i="3"/>
  <c r="N25" i="3" s="1"/>
  <c r="P25" i="3" s="1"/>
  <c r="R25" i="3" s="1"/>
  <c r="M26" i="3"/>
  <c r="N26" i="3" s="1"/>
  <c r="P26" i="3" s="1"/>
  <c r="R26" i="3" s="1"/>
  <c r="M27" i="3"/>
  <c r="N27" i="3" s="1"/>
  <c r="P27" i="3" s="1"/>
  <c r="R27" i="3" s="1"/>
  <c r="M28" i="3"/>
  <c r="N28" i="3" s="1"/>
  <c r="P28" i="3" s="1"/>
  <c r="R28" i="3" s="1"/>
  <c r="M29" i="3"/>
  <c r="N29" i="3" s="1"/>
  <c r="P29" i="3" s="1"/>
  <c r="R29" i="3" s="1"/>
  <c r="M30" i="3"/>
  <c r="N30" i="3" s="1"/>
  <c r="P30" i="3" s="1"/>
  <c r="R30" i="3" s="1"/>
  <c r="M31" i="3"/>
  <c r="N31" i="3" s="1"/>
  <c r="P31" i="3" s="1"/>
  <c r="R31" i="3" s="1"/>
  <c r="O20" i="3"/>
  <c r="O21" i="3"/>
  <c r="O22" i="3"/>
  <c r="O23" i="3"/>
  <c r="O24" i="3"/>
  <c r="O25" i="3"/>
  <c r="O26" i="3"/>
  <c r="O27" i="3"/>
  <c r="O28" i="3"/>
  <c r="O29" i="3"/>
  <c r="O30" i="3"/>
  <c r="O31" i="3"/>
  <c r="M19" i="3"/>
  <c r="N19" i="3" s="1"/>
  <c r="P19" i="3" s="1"/>
  <c r="R19" i="3" s="1"/>
  <c r="O19" i="3"/>
  <c r="A45" i="3"/>
  <c r="M23" i="4"/>
  <c r="N23" i="4" s="1"/>
  <c r="P23" i="4" s="1"/>
  <c r="R23" i="4" s="1"/>
  <c r="M24" i="4"/>
  <c r="N24" i="4" s="1"/>
  <c r="P24" i="4" s="1"/>
  <c r="R24" i="4" s="1"/>
  <c r="M25" i="4"/>
  <c r="N25" i="4" s="1"/>
  <c r="P25" i="4" s="1"/>
  <c r="R25" i="4" s="1"/>
  <c r="M26" i="4"/>
  <c r="N26" i="4" s="1"/>
  <c r="P26" i="4" s="1"/>
  <c r="M27" i="4"/>
  <c r="N27" i="4" s="1"/>
  <c r="P27" i="4" s="1"/>
  <c r="R27" i="4" s="1"/>
  <c r="M28" i="4"/>
  <c r="N28" i="4" s="1"/>
  <c r="P28" i="4" s="1"/>
  <c r="R28" i="4" s="1"/>
  <c r="M29" i="4"/>
  <c r="N29" i="4" s="1"/>
  <c r="P29" i="4" s="1"/>
  <c r="R29" i="4" s="1"/>
  <c r="M30" i="4"/>
  <c r="N30" i="4" s="1"/>
  <c r="P30" i="4" s="1"/>
  <c r="R30" i="4" s="1"/>
  <c r="M31" i="4"/>
  <c r="N31" i="4" s="1"/>
  <c r="P31" i="4" s="1"/>
  <c r="R31" i="4" s="1"/>
  <c r="M32" i="4"/>
  <c r="N32" i="4" s="1"/>
  <c r="P32" i="4" s="1"/>
  <c r="R32" i="4" s="1"/>
  <c r="M33" i="4"/>
  <c r="N33" i="4" s="1"/>
  <c r="P33" i="4" s="1"/>
  <c r="R33" i="4" s="1"/>
  <c r="M34" i="4"/>
  <c r="N34" i="4" s="1"/>
  <c r="P34" i="4" s="1"/>
  <c r="R34" i="4" s="1"/>
  <c r="O23" i="4"/>
  <c r="O24" i="4"/>
  <c r="O25" i="4"/>
  <c r="O26" i="4"/>
  <c r="O27" i="4"/>
  <c r="O28" i="4"/>
  <c r="O29" i="4"/>
  <c r="O30" i="4"/>
  <c r="O31" i="4"/>
  <c r="O32" i="4"/>
  <c r="O33" i="4"/>
  <c r="O34" i="4"/>
  <c r="A37" i="5"/>
  <c r="P11" i="5"/>
  <c r="N11" i="5"/>
  <c r="O11" i="5" s="1"/>
  <c r="Q11" i="5" s="1"/>
  <c r="A48" i="4"/>
  <c r="O22" i="4"/>
  <c r="M22" i="4"/>
  <c r="N22" i="4" s="1"/>
  <c r="K5" i="4" l="1"/>
  <c r="K8" i="4"/>
  <c r="K2" i="4"/>
  <c r="K11" i="4"/>
  <c r="K6" i="4"/>
  <c r="K3" i="4"/>
  <c r="K12" i="4" s="1"/>
  <c r="K7" i="4"/>
  <c r="K9" i="4"/>
  <c r="K5" i="3"/>
  <c r="K9" i="3"/>
  <c r="K10" i="3"/>
  <c r="K3" i="3"/>
  <c r="K7" i="3"/>
  <c r="K11" i="3"/>
  <c r="K6" i="3"/>
  <c r="K4" i="3"/>
  <c r="E16" i="5" s="1"/>
  <c r="K8" i="3"/>
  <c r="E19" i="5" s="1"/>
  <c r="B16" i="3"/>
  <c r="B7" i="3" s="1"/>
  <c r="B8" i="3" s="1"/>
  <c r="B37" i="3" s="1"/>
  <c r="C37" i="3" s="1"/>
  <c r="B11" i="4"/>
  <c r="B12" i="4" s="1"/>
  <c r="B7" i="4" s="1"/>
  <c r="B8" i="4" s="1"/>
  <c r="B40" i="4" s="1"/>
  <c r="B10" i="5"/>
  <c r="B11" i="5" s="1"/>
  <c r="B7" i="5" s="1"/>
  <c r="B8" i="5" s="1"/>
  <c r="B29" i="5" s="1"/>
  <c r="C29" i="5" s="1"/>
  <c r="E21" i="5"/>
  <c r="E17" i="5"/>
  <c r="E20" i="5"/>
  <c r="E18" i="5"/>
  <c r="S11" i="5"/>
  <c r="B39" i="3"/>
  <c r="B31" i="5"/>
  <c r="Q9" i="5"/>
  <c r="B30" i="5"/>
  <c r="B42" i="4"/>
  <c r="C42" i="4" s="1"/>
  <c r="P22" i="4"/>
  <c r="R22" i="4" s="1"/>
  <c r="K13" i="3" l="1"/>
  <c r="E15" i="5"/>
  <c r="E22" i="5" s="1"/>
  <c r="C4" i="6"/>
  <c r="D4" i="6" s="1"/>
  <c r="C40" i="4"/>
  <c r="C31" i="5"/>
  <c r="C6" i="6"/>
  <c r="D6" i="6" s="1"/>
  <c r="B27" i="5"/>
  <c r="R11" i="5"/>
  <c r="R15" i="5"/>
  <c r="R19" i="5"/>
  <c r="R23" i="5"/>
  <c r="R12" i="5"/>
  <c r="R16" i="5"/>
  <c r="R20" i="5"/>
  <c r="R14" i="5"/>
  <c r="R18" i="5"/>
  <c r="R22" i="5"/>
  <c r="R13" i="5"/>
  <c r="R17" i="5"/>
  <c r="R21" i="5"/>
  <c r="C39" i="3"/>
  <c r="B32" i="5"/>
  <c r="B38" i="5" s="1"/>
  <c r="C38" i="5" s="1"/>
  <c r="B38" i="3"/>
  <c r="B40" i="3" s="1"/>
  <c r="B46" i="3" s="1"/>
  <c r="C30" i="5"/>
  <c r="B41" i="4"/>
  <c r="C41" i="4" s="1"/>
  <c r="P20" i="4"/>
  <c r="P17" i="3"/>
  <c r="C43" i="4" l="1"/>
  <c r="B38" i="4"/>
  <c r="C7" i="6" s="1"/>
  <c r="E6" i="6" s="1"/>
  <c r="C5" i="6"/>
  <c r="D5" i="6" s="1"/>
  <c r="C32" i="5"/>
  <c r="Q22" i="4"/>
  <c r="Q26" i="4"/>
  <c r="Q30" i="4"/>
  <c r="Q34" i="4"/>
  <c r="Q23" i="4"/>
  <c r="Q27" i="4"/>
  <c r="Q31" i="4"/>
  <c r="Q24" i="4"/>
  <c r="Q28" i="4"/>
  <c r="Q32" i="4"/>
  <c r="Q25" i="4"/>
  <c r="Q29" i="4"/>
  <c r="Q33" i="4"/>
  <c r="Q19" i="3"/>
  <c r="Q23" i="3"/>
  <c r="Q27" i="3"/>
  <c r="Q31" i="3"/>
  <c r="Q20" i="3"/>
  <c r="Q24" i="3"/>
  <c r="Q28" i="3"/>
  <c r="Q21" i="3"/>
  <c r="Q25" i="3"/>
  <c r="Q29" i="3"/>
  <c r="Q22" i="3"/>
  <c r="Q26" i="3"/>
  <c r="Q30" i="3"/>
  <c r="D30" i="5"/>
  <c r="C38" i="3"/>
  <c r="C40" i="3" s="1"/>
  <c r="C46" i="3"/>
  <c r="B43" i="4"/>
  <c r="B49" i="4" s="1"/>
  <c r="C49" i="4" s="1"/>
  <c r="E4" i="6" l="1"/>
  <c r="E5" i="6"/>
  <c r="D7" i="6"/>
  <c r="D31" i="5"/>
  <c r="D29" i="5"/>
  <c r="S15" i="5" s="1"/>
  <c r="S9" i="5" s="1"/>
  <c r="E7" i="6" l="1"/>
  <c r="D40" i="4"/>
  <c r="D42" i="4"/>
  <c r="D37" i="3"/>
  <c r="D39" i="3"/>
  <c r="D38" i="3"/>
  <c r="D41" i="4"/>
  <c r="R26" i="4" l="1"/>
  <c r="R20" i="4" s="1"/>
  <c r="D43" i="4"/>
  <c r="R23" i="3"/>
  <c r="R17" i="3" s="1"/>
  <c r="D40" i="3"/>
</calcChain>
</file>

<file path=xl/sharedStrings.xml><?xml version="1.0" encoding="utf-8"?>
<sst xmlns="http://schemas.openxmlformats.org/spreadsheetml/2006/main" count="471" uniqueCount="102">
  <si>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</si>
  <si>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</si>
  <si>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</si>
  <si>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</si>
  <si>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</si>
  <si>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</si>
  <si>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</si>
  <si>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</si>
  <si>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</si>
  <si>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</si>
  <si>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</si>
  <si>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</si>
  <si>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</si>
  <si>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</si>
  <si>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</si>
  <si>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</si>
  <si>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</si>
  <si>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</si>
  <si>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</si>
  <si>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Cosecha</t>
  </si>
  <si>
    <t>Fertilización</t>
  </si>
  <si>
    <t>Fumigación</t>
  </si>
  <si>
    <t>Preparación del terreno</t>
  </si>
  <si>
    <t>Siembra</t>
  </si>
  <si>
    <t>Sistema de Riego y drenaje</t>
  </si>
  <si>
    <t>Transporte interno</t>
  </si>
  <si>
    <t>Producto final</t>
  </si>
  <si>
    <t>Unidades indicador producción</t>
  </si>
  <si>
    <t>Indicador</t>
  </si>
  <si>
    <t>MJ/Tn</t>
  </si>
  <si>
    <t>Terreno fertilizado</t>
  </si>
  <si>
    <t>MJ/Ha</t>
  </si>
  <si>
    <t>Terreno fumigado</t>
  </si>
  <si>
    <t>Terreno arado</t>
  </si>
  <si>
    <t>Terreno sembrado</t>
  </si>
  <si>
    <t>Terreno irrigado</t>
  </si>
  <si>
    <t>Parámetro</t>
  </si>
  <si>
    <t>Dato de información secundaria Tn/Ha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</si>
  <si>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</si>
  <si>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</si>
  <si>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</si>
  <si>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</si>
  <si>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</si>
  <si>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</si>
  <si>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</si>
  <si>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</si>
  <si>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</si>
  <si>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Total [MJ]</t>
  </si>
  <si>
    <t>Lo de color amarillo es lo que se llena</t>
  </si>
  <si>
    <t>Tabla 9</t>
  </si>
  <si>
    <t>Dato de información secundaria [Ha]</t>
  </si>
  <si>
    <t>Maíz</t>
  </si>
  <si>
    <t>Soya</t>
  </si>
  <si>
    <t>Sorgo</t>
  </si>
  <si>
    <t>Ajonjolí</t>
  </si>
  <si>
    <t>Avena</t>
  </si>
  <si>
    <t>Cebada</t>
  </si>
  <si>
    <t>Trigo</t>
  </si>
  <si>
    <t>Maní</t>
  </si>
  <si>
    <t>Quinua</t>
  </si>
  <si>
    <t>cultivo de electricidad Maíz</t>
  </si>
  <si>
    <t>Cereales y granos</t>
  </si>
  <si>
    <t>Mantenimiento</t>
  </si>
  <si>
    <t>Terreno guadañado</t>
  </si>
  <si>
    <t>3.95</t>
  </si>
  <si>
    <t>otros cereales</t>
  </si>
  <si>
    <t>área [Ha]</t>
  </si>
  <si>
    <t>Prod [Tn]</t>
  </si>
  <si>
    <t>% de participación área</t>
  </si>
  <si>
    <t>Item</t>
  </si>
  <si>
    <t>Área sembrada (Ha)</t>
  </si>
  <si>
    <t>Producción (Ton)</t>
  </si>
  <si>
    <t>Rendimiento (Ton/Ha)</t>
  </si>
  <si>
    <t>Arveja</t>
  </si>
  <si>
    <t>Frijol</t>
  </si>
  <si>
    <t>Guandul</t>
  </si>
  <si>
    <t>Haba</t>
  </si>
  <si>
    <t>Habichuela</t>
  </si>
  <si>
    <t>Total</t>
  </si>
  <si>
    <t>Legumbres</t>
  </si>
  <si>
    <t>Cereales</t>
  </si>
  <si>
    <t>Grupo homogeneo</t>
  </si>
  <si>
    <t>Grano</t>
  </si>
  <si>
    <t>Otros cereales</t>
  </si>
  <si>
    <t>Uso final de energía</t>
  </si>
  <si>
    <t>Fuerza motriz</t>
  </si>
  <si>
    <t xml:space="preserve">Actividades de apoyo a la agricultura </t>
  </si>
  <si>
    <t xml:space="preserve">Repartido entre arroz y cereales </t>
  </si>
  <si>
    <t xml:space="preserve">Cultivo de cereales (excepto arroz), legumbres y semillas oleaginosas </t>
  </si>
  <si>
    <t>Dato comercial por CIIU de XM [kWh/año]</t>
  </si>
  <si>
    <t>Sector</t>
  </si>
  <si>
    <t>Consumo de cultivo de electricidad Maíz en relación al área productiva</t>
  </si>
  <si>
    <t>Consumo de cultivo de electricidad Soya en relación al área productiva</t>
  </si>
  <si>
    <t>Consumo Eléctricidad por sector [MJ/año]</t>
  </si>
  <si>
    <t>Consumo [kWh/año]</t>
  </si>
  <si>
    <t>Dato de información secundaria [Ha] Agronet</t>
  </si>
  <si>
    <t>Dato de información secundaria Tn/Ha Agronet</t>
  </si>
  <si>
    <t>Tabla 8. Indicador producción</t>
  </si>
  <si>
    <t>Consumo energía [MJ/año]</t>
  </si>
  <si>
    <t>Consumo energía corregida [MJ/año]</t>
  </si>
  <si>
    <t>Dato de información secundaria Tn/Ha Agonet</t>
  </si>
  <si>
    <t>Total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</si>
</sst>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22"/>
      <color theme="0"/>
      <name val="Arial"/>
      <family val="2"/>
    </font>
    <font>
      <b/>
      <sz val="16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4" fontId="4" fillId="0" borderId="0" xfId="0" applyNumberFormat="1" applyFont="1"/>
    <xf numFmtId="0" fontId="5" fillId="4" borderId="0" xfId="0" applyFont="1" applyFill="1" applyAlignment="1">
      <alignment horizontal="center" wrapText="1"/>
    </xf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0" fontId="0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8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4" fontId="3" fillId="7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1" applyNumberFormat="1" applyFont="1"/>
    <xf numFmtId="0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0" xfId="0" applyFont="1"/>
    <xf numFmtId="0" fontId="0" fillId="0" borderId="6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10" fontId="0" fillId="0" borderId="7" xfId="1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0" fontId="0" fillId="0" borderId="7" xfId="1" applyNumberFormat="1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10" fontId="0" fillId="2" borderId="7" xfId="1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0" fontId="0" fillId="0" borderId="10" xfId="1" applyNumberFormat="1" applyFont="1" applyBorder="1" applyAlignment="1">
      <alignment horizontal="center" vertical="center" wrapText="1"/>
    </xf>
    <xf numFmtId="10" fontId="0" fillId="0" borderId="10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 wrapText="1"/>
    </xf>
    <xf numFmtId="10" fontId="0" fillId="0" borderId="10" xfId="1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center" vertical="center" wrapText="1"/>
    </xf>
    <xf numFmtId="10" fontId="0" fillId="0" borderId="0" xfId="1" applyNumberFormat="1" applyFont="1" applyBorder="1" applyAlignment="1">
      <alignment horizontal="center" vertical="center" wrapText="1"/>
    </xf>
    <xf numFmtId="4" fontId="0" fillId="0" borderId="9" xfId="0" applyNumberFormat="1" applyFont="1" applyBorder="1" applyAlignment="1">
      <alignment horizontal="center" vertical="center" wrapText="1"/>
    </xf>
    <xf numFmtId="0" fontId="0" fillId="0" borderId="1" xfId="0" applyFont="1" applyBorder="1"/>
    <xf numFmtId="2" fontId="0" fillId="0" borderId="1" xfId="0" applyNumberFormat="1" applyFont="1" applyBorder="1"/>
    <xf numFmtId="10" fontId="0" fillId="0" borderId="1" xfId="1" applyNumberFormat="1" applyFont="1" applyBorder="1"/>
    <xf numFmtId="4" fontId="0" fillId="0" borderId="1" xfId="0" applyNumberFormat="1" applyFont="1" applyBorder="1"/>
    <xf numFmtId="0" fontId="10" fillId="8" borderId="2" xfId="0" applyFont="1" applyFill="1" applyBorder="1" applyAlignment="1">
      <alignment horizontal="center"/>
    </xf>
    <xf numFmtId="0" fontId="3" fillId="9" borderId="1" xfId="0" applyFont="1" applyFill="1" applyBorder="1"/>
    <xf numFmtId="4" fontId="3" fillId="9" borderId="1" xfId="0" applyNumberFormat="1" applyFont="1" applyFill="1" applyBorder="1"/>
    <xf numFmtId="2" fontId="3" fillId="9" borderId="1" xfId="0" applyNumberFormat="1" applyFont="1" applyFill="1" applyBorder="1"/>
    <xf numFmtId="10" fontId="3" fillId="9" borderId="1" xfId="0" applyNumberFormat="1" applyFont="1" applyFill="1" applyBorder="1"/>
    <xf numFmtId="0" fontId="0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0" fontId="0" fillId="9" borderId="1" xfId="0" applyFill="1" applyBorder="1"/>
    <xf numFmtId="0" fontId="11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0" fontId="0" fillId="0" borderId="0" xfId="1" applyNumberFormat="1" applyFont="1" applyBorder="1" applyAlignment="1">
      <alignment horizontal="center" vertical="center"/>
    </xf>
    <xf numFmtId="0" fontId="0" fillId="9" borderId="8" xfId="0" applyFont="1" applyFill="1" applyBorder="1" applyAlignment="1">
      <alignment horizontal="center" vertical="center" wrapText="1"/>
    </xf>
    <xf numFmtId="0" fontId="0" fillId="9" borderId="9" xfId="0" applyFont="1" applyFill="1" applyBorder="1" applyAlignment="1">
      <alignment horizontal="center" vertical="center" wrapText="1"/>
    </xf>
    <xf numFmtId="10" fontId="0" fillId="9" borderId="1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4" fontId="0" fillId="0" borderId="0" xfId="0" applyNumberFormat="1" applyBorder="1" applyAlignment="1">
      <alignment horizontal="center"/>
    </xf>
    <xf numFmtId="0" fontId="0" fillId="6" borderId="3" xfId="0" applyFill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Fill="1"/>
    <xf numFmtId="0" fontId="0" fillId="0" borderId="1" xfId="0" applyFont="1" applyFill="1" applyBorder="1" applyAlignment="1">
      <alignment horizontal="left" wrapText="1"/>
    </xf>
    <xf numFmtId="4" fontId="0" fillId="0" borderId="1" xfId="0" applyNumberFormat="1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4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9" fontId="3" fillId="9" borderId="1" xfId="1" applyFont="1" applyFill="1" applyBorder="1" applyAlignment="1">
      <alignment horizontal="center" vertical="center"/>
    </xf>
    <xf numFmtId="4" fontId="5" fillId="5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0" fontId="0" fillId="10" borderId="8" xfId="0" applyFont="1" applyFill="1" applyBorder="1" applyAlignment="1">
      <alignment horizontal="center" vertical="center" wrapText="1"/>
    </xf>
    <xf numFmtId="4" fontId="0" fillId="10" borderId="9" xfId="0" applyNumberFormat="1" applyFont="1" applyFill="1" applyBorder="1" applyAlignment="1">
      <alignment horizontal="center" vertical="center" wrapText="1"/>
    </xf>
    <xf numFmtId="10" fontId="0" fillId="10" borderId="10" xfId="1" applyNumberFormat="1" applyFont="1" applyFill="1" applyBorder="1" applyAlignment="1">
      <alignment horizontal="center" vertical="center" wrapText="1"/>
    </xf>
    <xf numFmtId="0" fontId="0" fillId="10" borderId="5" xfId="0" applyFont="1" applyFill="1" applyBorder="1" applyAlignment="1">
      <alignment horizontal="center" vertical="center" wrapText="1"/>
    </xf>
    <xf numFmtId="0" fontId="0" fillId="10" borderId="6" xfId="0" applyFont="1" applyFill="1" applyBorder="1" applyAlignment="1">
      <alignment horizontal="center" vertical="center" wrapText="1"/>
    </xf>
    <xf numFmtId="3" fontId="0" fillId="10" borderId="1" xfId="0" applyNumberFormat="1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 wrapText="1"/>
    </xf>
    <xf numFmtId="0" fontId="0" fillId="10" borderId="7" xfId="0" applyFont="1" applyFill="1" applyBorder="1" applyAlignment="1">
      <alignment horizontal="center" vertical="center" wrapText="1"/>
    </xf>
    <xf numFmtId="3" fontId="0" fillId="10" borderId="9" xfId="0" applyNumberFormat="1" applyFont="1" applyFill="1" applyBorder="1" applyAlignment="1">
      <alignment horizontal="center" vertical="center" wrapText="1"/>
    </xf>
    <xf numFmtId="0" fontId="0" fillId="10" borderId="9" xfId="0" applyFont="1" applyFill="1" applyBorder="1" applyAlignment="1">
      <alignment horizontal="center" vertical="center" wrapText="1"/>
    </xf>
    <xf numFmtId="0" fontId="0" fillId="1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indexed="64"/>
        </top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A8E693-D796-40BF-B4AD-D918D525B679}" name="Tabla22" displayName="Tabla22" ref="F18:R31" totalsRowShown="0" headerRowDxfId="133" dataDxfId="131" headerRowBorderDxfId="132" tableBorderDxfId="130" totalsRowBorderDxfId="129">
  <autoFilter ref="F18:R31" xr:uid="{8BA8E693-D796-40BF-B4AD-D918D525B67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3010A4A7-2C3E-4E3B-B5B7-8FFFD0DE20EF}" name="Grupo Homogéneo" dataDxfId="128"/>
    <tableColumn id="2" xr3:uid="{82320684-33E6-4907-83E9-4A23DECEFC47}" name="Proceso" dataDxfId="127"/>
    <tableColumn id="13" xr3:uid="{EA938859-EA6F-4854-9E8B-F0981BBCA95B}" name="Uso final de energía" dataDxfId="126"/>
    <tableColumn id="3" xr3:uid="{A5326CAB-4D6E-42E2-92CD-B881EB2B0348}" name="Energético" dataDxfId="125"/>
    <tableColumn id="4" xr3:uid="{6CAADE28-D72C-42F0-B45B-8A6141E03AF0}" name="Producto final" dataDxfId="124"/>
    <tableColumn id="5" xr3:uid="{A409B00C-EAF8-46F2-B3C5-C118FCB0F0D9}" name="Unidades indicador producción" dataDxfId="123"/>
    <tableColumn id="6" xr3:uid="{1F6BC1E6-6741-471F-8E87-7E84A777A5EC}" name="Indicador" dataDxfId="122"/>
    <tableColumn id="7" xr3:uid="{B4290B37-4FE2-45CF-AAED-E27B0FE750C0}" name="Parámetro" dataDxfId="121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96D71FC7-4D51-4420-A563-E5C0F10F103B}" name="Indicador área" dataDxfId="120">
      <calculatedColumnFormula>IF(Tabla22[[#This Row],[Parámetro]]="Tn",Tabla22[[#This Row],[Indicador]]*$B$6,Tabla22[[#This Row],[Indicador]])</calculatedColumnFormula>
    </tableColumn>
    <tableColumn id="9" xr3:uid="{0FC65F22-F5F0-4A3A-BC65-C7F901E69C16}" name="Unidades" dataDxfId="119">
      <calculatedColumnFormula>"MJ/Ha"</calculatedColumnFormula>
    </tableColumn>
    <tableColumn id="10" xr3:uid="{3266A90A-C47F-402B-8553-F7E788007C62}" name="Consumo energía [MJ/año]" dataDxfId="41">
      <calculatedColumnFormula>(Tabla22[[#This Row],[Indicador área]]*$B$5)</calculatedColumnFormula>
    </tableColumn>
    <tableColumn id="11" xr3:uid="{F45B2BA8-117C-488C-AB45-A9847A17EE81}" name="Participación" dataDxfId="40" dataCellStyle="Porcentaje">
      <calculatedColumnFormula>+Tabla22[[#This Row],[Consumo energía '[MJ/año']]]/$P$17</calculatedColumnFormula>
    </tableColumn>
    <tableColumn id="12" xr3:uid="{8BFFBD7F-946D-45F6-B7CC-AFAF0D809279}" name="Consumo energía corregida [MJ/año]" dataDxfId="39">
      <calculatedColumnFormula>IF(Tabla22[[#This Row],[Energético]]="Energía Eléctrica",((Tabla22[[#This Row],[Participación]]*$D$37)/SUMIF(Tabla22[Energético],"Energía Eléctrica",Tabla22[Participación]))*$B$40,Tabla22[[#This Row],[Consumo energía '[MJ/año']]])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078845C-4D5E-4A5F-9C58-A54926CD1F69}" name="Tabla2" displayName="Tabla2" ref="F2:K13" totalsRowCount="1" headerRowDxfId="60" dataDxfId="77" totalsRowDxfId="76" headerRowBorderDxfId="61" tableBorderDxfId="75" totalsRowBorderDxfId="74">
  <autoFilter ref="F2:K12" xr:uid="{9078845C-4D5E-4A5F-9C58-A54926CD1F6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sortState xmlns:xlrd2="http://schemas.microsoft.com/office/spreadsheetml/2017/richdata2" ref="F3:K11">
    <sortCondition ref="F2:F11"/>
  </sortState>
  <tableColumns count="6">
    <tableColumn id="1" xr3:uid="{BBA5A151-90F9-4FB6-AE3D-F7B9B208EC3E}" name="Item" totalsRowLabel="Total" dataDxfId="72" totalsRowDxfId="73"/>
    <tableColumn id="6" xr3:uid="{B8A1926E-0791-4001-9171-218DB0F070EC}" name="Grupo homogeneo" dataDxfId="70" totalsRowDxfId="71"/>
    <tableColumn id="2" xr3:uid="{C1D45FC7-FF71-4BD9-A411-AA9825A0A256}" name="área [Ha]" totalsRowFunction="sum" dataDxfId="68" totalsRowDxfId="69"/>
    <tableColumn id="3" xr3:uid="{376B46C0-24A3-4B7F-B335-4ACAC0F04DA1}" name="Prod [Tn]" dataDxfId="66" totalsRowDxfId="67"/>
    <tableColumn id="4" xr3:uid="{EE2FDC1F-1A7F-47D9-9449-F2E2021C2342}" name="Rendimiento" dataDxfId="64" totalsRowDxfId="65"/>
    <tableColumn id="5" xr3:uid="{917DB0EE-0A91-4394-AED2-D54B809DAD7A}" name="% de participación área" totalsRowFunction="sum" dataDxfId="62" totalsRowDxfId="63" dataCellStyle="Porcentaje">
      <calculatedColumnFormula>Tabla2[[#This Row],[área '[Ha']]]/Tabla2[[#Totals],[área '[Ha']]]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CEB5B1B-8C3B-47DB-B3E1-1FEC6047B6AE}" name="Tabla6" displayName="Tabla6" ref="M2:P8" totalsRowCount="1" headerRowDxfId="38" dataDxfId="37" totalsRowDxfId="36" headerRowBorderDxfId="34" tableBorderDxfId="35" totalsRowBorderDxfId="33">
  <autoFilter ref="M2:P7" xr:uid="{6CEB5B1B-8C3B-47DB-B3E1-1FEC6047B6AE}">
    <filterColumn colId="0" hiddenButton="1"/>
    <filterColumn colId="1" hiddenButton="1"/>
    <filterColumn colId="2" hiddenButton="1"/>
    <filterColumn colId="3" hiddenButton="1"/>
  </autoFilter>
  <tableColumns count="4">
    <tableColumn id="1" xr3:uid="{3E1CC050-52AF-483B-B1B5-9CD7483D87C2}" name="Item" totalsRowLabel="Total" dataDxfId="31" totalsRowDxfId="32"/>
    <tableColumn id="2" xr3:uid="{EE0A0EBA-9D61-4B62-AE7B-97D094F888B8}" name="Área sembrada (Ha)" totalsRowFunction="sum" dataDxfId="29" totalsRowDxfId="30"/>
    <tableColumn id="3" xr3:uid="{21D595C8-56C4-4267-9790-0515B09CD67F}" name="Producción (Ton)" totalsRowFunction="sum" dataDxfId="27" totalsRowDxfId="28"/>
    <tableColumn id="4" xr3:uid="{46782747-663D-4179-BDC6-5067596939C7}" name="Rendimiento (Ton/Ha)" totalsRowFunction="sum" dataDxfId="25" totalsRowDxfId="26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5FF8DE2-C732-499C-BD3B-2D64349A19D1}" name="Tabla224" displayName="Tabla224" ref="F21:R34" totalsRowShown="0" headerRowDxfId="118" dataDxfId="116" headerRowBorderDxfId="117" tableBorderDxfId="115" totalsRowBorderDxfId="114">
  <autoFilter ref="F21:R34" xr:uid="{A5FF8DE2-C732-499C-BD3B-2D64349A19D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2D3E6D1F-6068-4285-AE7F-0FC83730AB21}" name="Grupo Homogéneo" dataDxfId="113"/>
    <tableColumn id="2" xr3:uid="{C99DE528-22C1-48CF-94D4-6A6170FA5150}" name="Proceso" dataDxfId="112"/>
    <tableColumn id="13" xr3:uid="{979DA743-CE9E-4444-89A2-71F0F3D81068}" name="Uso final de energía" dataDxfId="111"/>
    <tableColumn id="3" xr3:uid="{EAABC812-E737-4586-BC71-9431F1819105}" name="Energético" dataDxfId="110"/>
    <tableColumn id="4" xr3:uid="{0DBB3D2D-7CEB-4020-9297-A49ECA9C4AF0}" name="Producto final" dataDxfId="109"/>
    <tableColumn id="5" xr3:uid="{FFCCD92B-8C36-49D6-84C2-CE5A162A602C}" name="Unidades indicador producción" dataDxfId="108"/>
    <tableColumn id="6" xr3:uid="{3DEDDD81-EB6C-426B-A9D2-1CFDB08A3661}" name="Indicador" dataDxfId="107"/>
    <tableColumn id="7" xr3:uid="{2F8B638C-FC37-4C9B-9855-D648895CACBE}" name="Parámetro" dataDxfId="106">
      <calculatedColumnFormula>IFERROR(RIGHT(Tabla224[[#This Row],[Unidades indicador producción]], LEN(Tabla224[[#This Row],[Unidades indicador producción]])-FIND("/", Tabla224[[#This Row],[Unidades indicador producción]])), "")</calculatedColumnFormula>
    </tableColumn>
    <tableColumn id="8" xr3:uid="{2F945912-92FA-4803-BECA-E17C97F6BDF0}" name="Indicador área" dataDxfId="105">
      <calculatedColumnFormula>IF(Tabla224[[#This Row],[Parámetro]]="Tn",Tabla224[[#This Row],[Indicador]]*$B$6,Tabla224[[#This Row],[Indicador]])</calculatedColumnFormula>
    </tableColumn>
    <tableColumn id="9" xr3:uid="{451639E5-C238-45A5-8686-F26C388625CD}" name="Unidades" dataDxfId="104">
      <calculatedColumnFormula>"MJ/Ha"</calculatedColumnFormula>
    </tableColumn>
    <tableColumn id="10" xr3:uid="{B8F25EE3-17EE-4AF6-82E2-BA2ADC2C1EA9}" name="Consumo energía [MJ/año]" dataDxfId="10">
      <calculatedColumnFormula>(Tabla224[[#This Row],[Indicador área]]*$B$5)</calculatedColumnFormula>
    </tableColumn>
    <tableColumn id="11" xr3:uid="{D356987A-EFC1-4C36-813F-5D24A7E00DB5}" name="Participación" dataDxfId="8" dataCellStyle="Porcentaje">
      <calculatedColumnFormula>+Tabla224[[#This Row],[Consumo energía '[MJ/año']]]/$P$20</calculatedColumnFormula>
    </tableColumn>
    <tableColumn id="12" xr3:uid="{7807D9B5-EDA7-42A3-9C69-B9BDDDF63E13}" name="Consumo energía corregida [MJ/año]" dataDxfId="9">
      <calculatedColumnFormula>IF(Tabla224[[#This Row],[Energético]]="Energía Eléctrica",((Tabla224[[#This Row],[Participación]]*$D$40)/SUMIF(Tabla224[Energético],"Energía Eléctrica",Tabla224[Participación]))*$B$38,Tabla224[[#This Row],[Consumo energía '[MJ/año']]])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8BE4524-3EC8-4558-9CCB-1E28A031362C}" name="Tabla28" displayName="Tabla28" ref="F1:K12" totalsRowCount="1" headerRowDxfId="59" dataDxfId="58" totalsRowDxfId="57" headerRowBorderDxfId="55" tableBorderDxfId="56" totalsRowBorderDxfId="54">
  <autoFilter ref="F1:K11" xr:uid="{78BE4524-3EC8-4558-9CCB-1E28A031362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sortState xmlns:xlrd2="http://schemas.microsoft.com/office/spreadsheetml/2017/richdata2" ref="F2:K10">
    <sortCondition ref="F2:F11"/>
  </sortState>
  <tableColumns count="6">
    <tableColumn id="1" xr3:uid="{A2A25F89-89F4-44AF-95E7-6AD51FA96802}" name="Item" totalsRowLabel="Total" dataDxfId="52" totalsRowDxfId="53"/>
    <tableColumn id="6" xr3:uid="{3FE3A9FB-C1CE-4F9A-8C49-0BF6540EF7C5}" name="Grupo homogeneo" dataDxfId="50" totalsRowDxfId="51"/>
    <tableColumn id="2" xr3:uid="{A244D6CF-B16B-4AE0-B63B-07FE7CCDB0B2}" name="área [Ha]" totalsRowFunction="sum" dataDxfId="48" totalsRowDxfId="49"/>
    <tableColumn id="3" xr3:uid="{160D10DA-965A-4300-82B3-338E9FD7F9E1}" name="Prod [Tn]" dataDxfId="46" totalsRowDxfId="47"/>
    <tableColumn id="4" xr3:uid="{DE3D7E69-6633-43CE-A44A-FE1EC6E4C9B8}" name="Rendimiento" dataDxfId="44" totalsRowDxfId="45"/>
    <tableColumn id="5" xr3:uid="{6F016BF2-28E6-4CCA-A071-9418B3E2B611}" name="% de participación área" totalsRowFunction="sum" dataDxfId="42" totalsRowDxfId="43" dataCellStyle="Porcentaje">
      <calculatedColumnFormula>Tabla28[[#This Row],[área '[Ha']]]/Tabla28[[#Totals],[área '[Ha']]]</calculatedColumnFormula>
    </tableColumn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C092C86-150B-4F25-B73C-1DD12A2D3E5F}" name="Tabla69" displayName="Tabla69" ref="M1:P7" totalsRowCount="1" headerRowDxfId="24" dataDxfId="23" totalsRowDxfId="22" headerRowBorderDxfId="20" tableBorderDxfId="21" totalsRowBorderDxfId="19">
  <autoFilter ref="M1:P6" xr:uid="{2C092C86-150B-4F25-B73C-1DD12A2D3E5F}">
    <filterColumn colId="0" hiddenButton="1"/>
    <filterColumn colId="1" hiddenButton="1"/>
    <filterColumn colId="2" hiddenButton="1"/>
    <filterColumn colId="3" hiddenButton="1"/>
  </autoFilter>
  <tableColumns count="4">
    <tableColumn id="1" xr3:uid="{F741ACBB-FE49-4AC1-A532-5427C9D9B617}" name="Item" totalsRowLabel="Total" dataDxfId="17" totalsRowDxfId="18"/>
    <tableColumn id="2" xr3:uid="{340E5209-9EAB-42B7-A42E-8A70B568657A}" name="Área sembrada (Ha)" totalsRowFunction="sum" dataDxfId="15" totalsRowDxfId="16"/>
    <tableColumn id="3" xr3:uid="{B44893B2-625C-482B-BB29-67D2D4A5BF96}" name="Producción (Ton)" totalsRowFunction="sum" dataDxfId="13" totalsRowDxfId="14"/>
    <tableColumn id="4" xr3:uid="{9B83B864-1A57-4037-88DA-A8F82931EDA0}" name="Rendimiento (Ton/Ha)" totalsRowFunction="sum" dataDxfId="11" totalsRowDxfId="12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36E8FCE-4EA8-42F2-A64B-2950DFC98C0A}" name="Tabla2245" displayName="Tabla2245" ref="G10:S23" totalsRowShown="0" headerRowDxfId="103" dataDxfId="101" headerRowBorderDxfId="102" tableBorderDxfId="100" totalsRowBorderDxfId="99">
  <autoFilter ref="G10:S23" xr:uid="{736E8FCE-4EA8-42F2-A64B-2950DFC98C0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61A76F4-89A2-4537-BAB9-B811F4361789}" name="Grupo Homogéneo" dataDxfId="98"/>
    <tableColumn id="2" xr3:uid="{E78178F5-A402-41CC-A1B4-D8762794869D}" name="Proceso" dataDxfId="97"/>
    <tableColumn id="13" xr3:uid="{AE33BAE7-05D6-42DE-A78F-0028995E8EE0}" name="Uso final de energía" dataDxfId="96"/>
    <tableColumn id="3" xr3:uid="{4147ABBB-2EAA-4F16-8A8E-FEB92F63E737}" name="Energético" dataDxfId="95"/>
    <tableColumn id="4" xr3:uid="{1DB812C7-28C5-44F5-96BE-929425662981}" name="Producto final" dataDxfId="94"/>
    <tableColumn id="5" xr3:uid="{2A85AFCD-49BB-4801-B55B-E02A2BAF743A}" name="Unidades indicador producción" dataDxfId="93"/>
    <tableColumn id="6" xr3:uid="{18EC846D-3F5D-4A44-B480-C0901CDB4DAB}" name="Indicador" dataDxfId="92"/>
    <tableColumn id="7" xr3:uid="{6265DAE3-15E4-42B4-8EAB-CA42AD8A9459}" name="Parámetro" dataDxfId="91">
      <calculatedColumnFormula>IFERROR(RIGHT(Tabla2245[[#This Row],[Unidades indicador producción]], LEN(Tabla2245[[#This Row],[Unidades indicador producción]])-FIND("/", Tabla2245[[#This Row],[Unidades indicador producción]])), "")</calculatedColumnFormula>
    </tableColumn>
    <tableColumn id="8" xr3:uid="{29C30357-B8B5-4863-AA17-AAD8E60B5657}" name="Indicador área" dataDxfId="90">
      <calculatedColumnFormula>IF(Tabla2245[[#This Row],[Parámetro]]="Tn",Tabla2245[[#This Row],[Indicador]]*$B$6,Tabla2245[[#This Row],[Indicador]])</calculatedColumnFormula>
    </tableColumn>
    <tableColumn id="9" xr3:uid="{2CD2F35A-F02D-4A6D-B88C-160E21E1D167}" name="Unidades" dataDxfId="89">
      <calculatedColumnFormula>"MJ/Ha"</calculatedColumnFormula>
    </tableColumn>
    <tableColumn id="10" xr3:uid="{C8598080-30F2-4651-BB8D-9C3419C91264}" name="Consumo energía [MJ/año]" dataDxfId="7">
      <calculatedColumnFormula>(Tabla2245[[#This Row],[Indicador área]]*$B$5)</calculatedColumnFormula>
    </tableColumn>
    <tableColumn id="11" xr3:uid="{CC06CD2B-8082-4FB6-9559-C438DB84E4CD}" name="Participación" dataDxfId="6">
      <calculatedColumnFormula>+Tabla2245[[#This Row],[Consumo energía '[MJ/año']]]/$Q$9</calculatedColumnFormula>
    </tableColumn>
    <tableColumn id="12" xr3:uid="{37F6A3C5-52B7-4D1C-BFA6-92B9EF082920}" name="Consumo energía corregida [MJ/año]" dataDxfId="5">
      <calculatedColumnFormula>IF(Tabla2245[[#This Row],[Energético]]="Energía Eléctrica",((Tabla2245[[#This Row],[Participación]]*$D$29)/SUMIF(Tabla2245[Energético],"Energía Eléctrica",Tabla2245[Participación]))*$B$27,Tabla2245[[#This Row],[Consumo energía '[MJ/año']]])</calculatedColumnFormula>
    </tableColumn>
  </tableColumns>
  <tableStyleInfo name="TableStyleLight1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2E24AE5-63B0-4B30-9FBB-5846B49068EC}" name="Tabla5" displayName="Tabla5" ref="A14:E22" totalsRowCount="1" headerRowDxfId="78" dataDxfId="88" totalsRowDxfId="80" headerRowBorderDxfId="79" tableBorderDxfId="87" totalsRowBorderDxfId="86">
  <autoFilter ref="A14:E21" xr:uid="{D2E24AE5-63B0-4B30-9FBB-5846B49068EC}">
    <filterColumn colId="0" hiddenButton="1"/>
    <filterColumn colId="1" hiddenButton="1"/>
    <filterColumn colId="2" hiddenButton="1"/>
    <filterColumn colId="3" hiddenButton="1"/>
    <filterColumn colId="4" hiddenButton="1"/>
  </autoFilter>
  <sortState xmlns:xlrd2="http://schemas.microsoft.com/office/spreadsheetml/2017/richdata2" ref="A15:E21">
    <sortCondition ref="A14:A21"/>
  </sortState>
  <tableColumns count="5">
    <tableColumn id="1" xr3:uid="{C065D6DE-BA14-4908-82E8-79A2F700B6DD}" name="Otros cereales" totalsRowLabel="Total" dataDxfId="85" totalsRowDxfId="4"/>
    <tableColumn id="2" xr3:uid="{07814E3E-A21A-4735-BDBF-7F74C2964CB0}" name="área [Ha]" dataDxfId="84" totalsRowDxfId="3"/>
    <tableColumn id="3" xr3:uid="{AD5F0FB6-F942-45C5-9C2A-54E3A4B09ADB}" name="Prod [Tn]" dataDxfId="83" totalsRowDxfId="2"/>
    <tableColumn id="4" xr3:uid="{42D04C69-0263-480D-A99F-F8D9F5F2AC15}" name="Rendimiento" dataDxfId="82" totalsRowDxfId="1"/>
    <tableColumn id="5" xr3:uid="{A3A668ED-F76E-4D78-B939-8D0F7004623B}" name="% de participación área" totalsRowFunction="sum" dataDxfId="81" totalsRowDxfId="0" dataCellStyle="Porcentaje">
      <calculatedColumnFormula>VLOOKUP(Tabla5[[#This Row],[Otros cereales]],Tabla2[#All],6,FALSE)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8B952-E7FF-46C8-963E-AD222DABC3E7}">
  <dimension ref="A1:R49"/>
  <sheetViews>
    <sheetView showGridLines="0" zoomScaleNormal="100" workbookViewId="0">
      <selection activeCell="A14" sqref="A14"/>
    </sheetView>
  </sheetViews>
  <sheetFormatPr baseColWidth="10" defaultRowHeight="12.75" x14ac:dyDescent="0.2"/>
  <cols>
    <col min="1" max="1" width="40.28515625" customWidth="1"/>
    <col min="2" max="2" width="17.42578125" bestFit="1" customWidth="1"/>
    <col min="3" max="3" width="36.42578125" bestFit="1" customWidth="1"/>
    <col min="4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5.5703125" bestFit="1" customWidth="1"/>
    <col min="18" max="18" width="21.28515625" customWidth="1"/>
  </cols>
  <sheetData>
    <row r="1" spans="1:18" ht="18" x14ac:dyDescent="0.25">
      <c r="A1" s="12"/>
    </row>
    <row r="2" spans="1:18" ht="25.5" x14ac:dyDescent="0.2">
      <c r="F2" s="79" t="s">
        <v>69</v>
      </c>
      <c r="G2" s="79" t="s">
        <v>81</v>
      </c>
      <c r="H2" s="79" t="s">
        <v>66</v>
      </c>
      <c r="I2" s="79" t="s">
        <v>67</v>
      </c>
      <c r="J2" s="79" t="s">
        <v>14</v>
      </c>
      <c r="K2" s="79" t="s">
        <v>68</v>
      </c>
      <c r="M2" s="100" t="s">
        <v>69</v>
      </c>
      <c r="N2" s="100" t="s">
        <v>70</v>
      </c>
      <c r="O2" s="100" t="s">
        <v>71</v>
      </c>
      <c r="P2" s="100" t="s">
        <v>72</v>
      </c>
    </row>
    <row r="3" spans="1:18" ht="20.25" x14ac:dyDescent="0.2">
      <c r="A3" s="71" t="s">
        <v>90</v>
      </c>
      <c r="B3" s="72"/>
      <c r="F3" s="37" t="s">
        <v>54</v>
      </c>
      <c r="G3" s="37" t="s">
        <v>80</v>
      </c>
      <c r="H3" s="38">
        <v>4604</v>
      </c>
      <c r="I3" s="38">
        <v>3950</v>
      </c>
      <c r="J3" s="38">
        <v>0.98</v>
      </c>
      <c r="K3" s="39">
        <f>Tabla2[[#This Row],[área '[Ha']]]/Tabla2[[#Totals],[área '[Ha']]]</f>
        <v>6.1282244173884136E-3</v>
      </c>
      <c r="M3" s="101" t="s">
        <v>73</v>
      </c>
      <c r="N3" s="102">
        <v>28079.07</v>
      </c>
      <c r="O3" s="103">
        <v>68058.289999999994</v>
      </c>
      <c r="P3" s="104">
        <v>28.29</v>
      </c>
    </row>
    <row r="4" spans="1:18" x14ac:dyDescent="0.2">
      <c r="A4" s="5" t="s">
        <v>44</v>
      </c>
      <c r="B4" s="21" t="s">
        <v>51</v>
      </c>
      <c r="F4" s="37" t="s">
        <v>55</v>
      </c>
      <c r="G4" s="37" t="s">
        <v>80</v>
      </c>
      <c r="H4" s="38">
        <v>1532</v>
      </c>
      <c r="I4" s="38">
        <v>3793</v>
      </c>
      <c r="J4" s="38">
        <v>2.67</v>
      </c>
      <c r="K4" s="39">
        <f>Tabla2[[#This Row],[área '[Ha']]]/Tabla2[[#Totals],[área '[Ha']]]</f>
        <v>2.0391919651257711E-3</v>
      </c>
      <c r="M4" s="101" t="s">
        <v>74</v>
      </c>
      <c r="N4" s="102">
        <v>96244.58</v>
      </c>
      <c r="O4" s="103">
        <v>148829.32999999999</v>
      </c>
      <c r="P4" s="104">
        <v>42.32</v>
      </c>
    </row>
    <row r="5" spans="1:18" x14ac:dyDescent="0.2">
      <c r="A5" s="5" t="s">
        <v>13</v>
      </c>
      <c r="B5" s="22">
        <v>535129</v>
      </c>
      <c r="C5" s="25" t="s">
        <v>95</v>
      </c>
      <c r="F5" s="37" t="s">
        <v>56</v>
      </c>
      <c r="G5" s="37" t="s">
        <v>80</v>
      </c>
      <c r="H5" s="38">
        <v>1494</v>
      </c>
      <c r="I5" s="38">
        <v>3704</v>
      </c>
      <c r="J5" s="38">
        <v>2.65</v>
      </c>
      <c r="K5" s="39">
        <f>Tabla2[[#This Row],[área '[Ha']]]/Tabla2[[#Totals],[área '[Ha']]]</f>
        <v>1.9886114855730431E-3</v>
      </c>
      <c r="M5" s="101" t="s">
        <v>75</v>
      </c>
      <c r="N5" s="102">
        <v>1200</v>
      </c>
      <c r="O5" s="103">
        <v>3320.8</v>
      </c>
      <c r="P5" s="104">
        <v>9.99</v>
      </c>
    </row>
    <row r="6" spans="1:18" x14ac:dyDescent="0.2">
      <c r="A6" s="5" t="s">
        <v>14</v>
      </c>
      <c r="B6" s="22">
        <v>2.92</v>
      </c>
      <c r="C6" s="25" t="s">
        <v>96</v>
      </c>
      <c r="F6" s="44" t="s">
        <v>51</v>
      </c>
      <c r="G6" s="44" t="s">
        <v>80</v>
      </c>
      <c r="H6" s="45">
        <v>535129</v>
      </c>
      <c r="I6" s="45">
        <v>1772851</v>
      </c>
      <c r="J6" s="45">
        <v>2.92</v>
      </c>
      <c r="K6" s="46">
        <f>Tabla2[[#This Row],[área '[Ha']]]/Tabla2[[#Totals],[área '[Ha']]]</f>
        <v>0.71229161690978382</v>
      </c>
      <c r="M6" s="101" t="s">
        <v>76</v>
      </c>
      <c r="N6" s="102">
        <v>1076.8900000000001</v>
      </c>
      <c r="O6" s="103">
        <v>2792.03</v>
      </c>
      <c r="P6" s="104">
        <v>12.6</v>
      </c>
    </row>
    <row r="7" spans="1:18" x14ac:dyDescent="0.2">
      <c r="A7" s="7" t="s">
        <v>15</v>
      </c>
      <c r="B7" s="22">
        <f>B16</f>
        <v>2122106.184930495</v>
      </c>
      <c r="C7" s="25" t="s">
        <v>89</v>
      </c>
      <c r="F7" s="37" t="s">
        <v>58</v>
      </c>
      <c r="G7" s="37" t="s">
        <v>80</v>
      </c>
      <c r="H7" s="38">
        <v>1805</v>
      </c>
      <c r="I7" s="38">
        <v>2645</v>
      </c>
      <c r="J7" s="38">
        <v>1.17</v>
      </c>
      <c r="K7" s="39">
        <f>Tabla2[[#This Row],[área '[Ha']]]/Tabla2[[#Totals],[área '[Ha']]]</f>
        <v>2.4025727787545803E-3</v>
      </c>
      <c r="M7" s="97" t="s">
        <v>77</v>
      </c>
      <c r="N7" s="105">
        <v>6258.43</v>
      </c>
      <c r="O7" s="106">
        <v>53737.120000000003</v>
      </c>
      <c r="P7" s="107">
        <v>143.55000000000001</v>
      </c>
    </row>
    <row r="8" spans="1:18" x14ac:dyDescent="0.2">
      <c r="A8" s="7" t="s">
        <v>93</v>
      </c>
      <c r="B8" s="24">
        <f>+B7*3.6</f>
        <v>7639582.2657497823</v>
      </c>
      <c r="C8" s="1"/>
      <c r="F8" s="37" t="s">
        <v>59</v>
      </c>
      <c r="G8" s="37" t="s">
        <v>80</v>
      </c>
      <c r="H8" s="38">
        <v>454</v>
      </c>
      <c r="I8" s="38">
        <v>808</v>
      </c>
      <c r="J8" s="38">
        <v>2.17</v>
      </c>
      <c r="K8" s="39">
        <f>Tabla2[[#This Row],[área '[Ha']]]/Tabla2[[#Totals],[área '[Ha']]]</f>
        <v>6.0430362412996087E-4</v>
      </c>
      <c r="M8" s="97" t="s">
        <v>78</v>
      </c>
      <c r="N8" s="105">
        <f>SUBTOTAL(109,Tabla6[Área sembrada (Ha)])</f>
        <v>132858.97</v>
      </c>
      <c r="O8" s="106">
        <f>SUBTOTAL(109,Tabla6[Producción (Ton)])</f>
        <v>276737.57</v>
      </c>
      <c r="P8" s="107">
        <f>SUBTOTAL(109,Tabla6[Rendimiento (Ton/Ha)])</f>
        <v>236.75</v>
      </c>
    </row>
    <row r="9" spans="1:18" ht="15.75" x14ac:dyDescent="0.25">
      <c r="A9" s="77"/>
      <c r="B9" s="78"/>
      <c r="C9" s="1"/>
      <c r="F9" s="37" t="s">
        <v>53</v>
      </c>
      <c r="G9" s="37" t="s">
        <v>80</v>
      </c>
      <c r="H9" s="38">
        <v>1380</v>
      </c>
      <c r="I9" s="38">
        <v>4206</v>
      </c>
      <c r="J9" s="38">
        <v>2.66</v>
      </c>
      <c r="K9" s="39">
        <f>Tabla2[[#This Row],[área '[Ha']]]/Tabla2[[#Totals],[área '[Ha']]]</f>
        <v>1.8368700469148589E-3</v>
      </c>
      <c r="L9" s="33"/>
      <c r="P9" s="11"/>
    </row>
    <row r="10" spans="1:18" ht="15.75" x14ac:dyDescent="0.25">
      <c r="A10" s="77"/>
      <c r="B10" s="78"/>
      <c r="C10" s="1"/>
      <c r="F10" s="37" t="s">
        <v>52</v>
      </c>
      <c r="G10" s="37" t="s">
        <v>80</v>
      </c>
      <c r="H10" s="38">
        <v>70530</v>
      </c>
      <c r="I10" s="38">
        <v>173760</v>
      </c>
      <c r="J10" s="38">
        <v>2.46</v>
      </c>
      <c r="K10" s="39">
        <f>Tabla2[[#This Row],[área '[Ha']]]/Tabla2[[#Totals],[área '[Ha']]]</f>
        <v>9.3880032180365947E-2</v>
      </c>
      <c r="L10" s="33"/>
      <c r="P10" s="11"/>
    </row>
    <row r="11" spans="1:18" ht="15.75" x14ac:dyDescent="0.25">
      <c r="A11" s="77"/>
      <c r="B11" s="78"/>
      <c r="C11" s="1"/>
      <c r="F11" s="52" t="s">
        <v>57</v>
      </c>
      <c r="G11" s="37" t="s">
        <v>80</v>
      </c>
      <c r="H11" s="53">
        <v>1491</v>
      </c>
      <c r="I11" s="53">
        <v>2873</v>
      </c>
      <c r="J11" s="53">
        <v>1.72</v>
      </c>
      <c r="K11" s="54">
        <f>Tabla2[[#This Row],[área '[Ha']]]/Tabla2[[#Totals],[área '[Ha']]]</f>
        <v>1.9846182898188803E-3</v>
      </c>
      <c r="L11" s="33"/>
      <c r="P11" s="11"/>
    </row>
    <row r="12" spans="1:18" ht="25.5" x14ac:dyDescent="0.25">
      <c r="A12" s="13" t="s">
        <v>69</v>
      </c>
      <c r="B12" s="13" t="s">
        <v>94</v>
      </c>
      <c r="C12" s="1"/>
      <c r="F12" s="97" t="s">
        <v>79</v>
      </c>
      <c r="G12" s="97" t="s">
        <v>79</v>
      </c>
      <c r="H12" s="98">
        <v>132858.97</v>
      </c>
      <c r="I12" s="98">
        <v>276737.57</v>
      </c>
      <c r="J12" s="98"/>
      <c r="K12" s="99">
        <f>Tabla2[[#This Row],[área '[Ha']]]/Tabla2[[#Totals],[área '[Ha']]]</f>
        <v>0.17684395830214483</v>
      </c>
      <c r="L12" s="33"/>
      <c r="P12" s="11"/>
    </row>
    <row r="13" spans="1:18" ht="26.25" x14ac:dyDescent="0.25">
      <c r="A13" s="82" t="s">
        <v>88</v>
      </c>
      <c r="B13" s="83">
        <v>1872120.1083626912</v>
      </c>
      <c r="F13" s="47" t="s">
        <v>78</v>
      </c>
      <c r="G13" s="47"/>
      <c r="H13" s="58">
        <f>SUBTOTAL(109,Tabla2[área '[Ha']])</f>
        <v>751277.97</v>
      </c>
      <c r="I13" s="49"/>
      <c r="J13" s="49"/>
      <c r="K13" s="51">
        <f>SUBTOTAL(109,Tabla2[% de participación área])</f>
        <v>1.0000000000000002</v>
      </c>
      <c r="L13" s="33"/>
      <c r="P13" s="11"/>
    </row>
    <row r="14" spans="1:18" ht="15.75" x14ac:dyDescent="0.25">
      <c r="A14" s="84" t="s">
        <v>86</v>
      </c>
      <c r="B14" s="83">
        <v>3354881.25</v>
      </c>
      <c r="C14" s="70" t="s">
        <v>87</v>
      </c>
      <c r="D14" s="69">
        <f>1-0.67</f>
        <v>0.32999999999999996</v>
      </c>
      <c r="F14" s="33"/>
      <c r="G14" s="33"/>
      <c r="H14" s="33"/>
      <c r="I14" s="33"/>
      <c r="J14" s="33"/>
      <c r="K14" s="33"/>
      <c r="L14" s="33"/>
      <c r="P14" s="11"/>
    </row>
    <row r="15" spans="1:18" ht="15.75" x14ac:dyDescent="0.25">
      <c r="A15" s="85" t="s">
        <v>15</v>
      </c>
      <c r="B15" s="86">
        <f>+B13+(B14*D14)</f>
        <v>2979230.920862691</v>
      </c>
      <c r="C15" s="1"/>
      <c r="F15" s="33"/>
      <c r="G15" s="33"/>
      <c r="H15" s="33"/>
      <c r="I15" s="33"/>
      <c r="J15" s="33"/>
      <c r="K15" s="33"/>
      <c r="L15" s="33"/>
      <c r="P15" s="11"/>
    </row>
    <row r="16" spans="1:18" ht="26.25" x14ac:dyDescent="0.25">
      <c r="A16" s="87" t="s">
        <v>91</v>
      </c>
      <c r="B16" s="88">
        <f>B15*0.7123</f>
        <v>2122106.184930495</v>
      </c>
      <c r="C16" s="1"/>
      <c r="F16" s="34" t="s">
        <v>97</v>
      </c>
      <c r="G16" s="34"/>
      <c r="H16" s="34"/>
      <c r="I16" s="34"/>
      <c r="J16" s="34"/>
      <c r="K16" s="34"/>
      <c r="L16" s="34"/>
      <c r="P16" s="11"/>
      <c r="R16" s="10" t="s">
        <v>47</v>
      </c>
    </row>
    <row r="17" spans="6:18" ht="31.5" x14ac:dyDescent="0.25">
      <c r="K17" s="4" t="s">
        <v>40</v>
      </c>
      <c r="P17" s="11">
        <f>SUM(Tabla22[Consumo energía '[MJ/año']])</f>
        <v>2179903461.4657073</v>
      </c>
      <c r="R17" s="94">
        <f>SUM(Tabla22[Consumo energía corregida '[MJ/año']])</f>
        <v>2186681105.0296092</v>
      </c>
    </row>
    <row r="18" spans="6:18" s="2" customFormat="1" ht="25.5" x14ac:dyDescent="0.2">
      <c r="F18" s="17" t="s">
        <v>16</v>
      </c>
      <c r="G18" s="18" t="s">
        <v>17</v>
      </c>
      <c r="H18" s="18" t="s">
        <v>84</v>
      </c>
      <c r="I18" s="18" t="s">
        <v>18</v>
      </c>
      <c r="J18" s="18" t="s">
        <v>26</v>
      </c>
      <c r="K18" s="19" t="s">
        <v>27</v>
      </c>
      <c r="L18" s="18" t="s">
        <v>28</v>
      </c>
      <c r="M18" s="18" t="s">
        <v>36</v>
      </c>
      <c r="N18" s="18" t="s">
        <v>38</v>
      </c>
      <c r="O18" s="18" t="s">
        <v>39</v>
      </c>
      <c r="P18" s="95" t="s">
        <v>98</v>
      </c>
      <c r="Q18" s="95" t="s">
        <v>1</v>
      </c>
      <c r="R18" s="95" t="s">
        <v>99</v>
      </c>
    </row>
    <row r="19" spans="6:18" x14ac:dyDescent="0.2">
      <c r="F19" s="20" t="s">
        <v>61</v>
      </c>
      <c r="G19" s="21" t="s">
        <v>19</v>
      </c>
      <c r="H19" s="21" t="s">
        <v>85</v>
      </c>
      <c r="I19" s="21" t="s">
        <v>3</v>
      </c>
      <c r="J19" s="21" t="s">
        <v>82</v>
      </c>
      <c r="K19" s="21" t="s">
        <v>29</v>
      </c>
      <c r="L19" s="22">
        <v>595.89201679999996</v>
      </c>
      <c r="M19" s="23" t="str">
        <f>IFERROR(RIGHT(Tabla22[[#This Row],[Unidades indicador producción]], LEN(Tabla22[[#This Row],[Unidades indicador producción]])-FIND("/", Tabla22[[#This Row],[Unidades indicador producción]])), "")</f>
        <v>Tn</v>
      </c>
      <c r="N19" s="24">
        <f>IF(Tabla22[[#This Row],[Parámetro]]="Tn",Tabla22[[#This Row],[Indicador]]*$B$6,Tabla22[[#This Row],[Indicador]])</f>
        <v>1740.004689056</v>
      </c>
      <c r="O19" s="23" t="str">
        <f t="shared" ref="O19" si="0">"MJ/Ha"</f>
        <v>MJ/Ha</v>
      </c>
      <c r="P19" s="24">
        <f>(Tabla22[[#This Row],[Indicador área]]*$B$5)</f>
        <v>931126969.24984825</v>
      </c>
      <c r="Q19" s="96">
        <f>+Tabla22[[#This Row],[Consumo energía '[MJ/año']]]/$P$17</f>
        <v>0.42714137837268445</v>
      </c>
      <c r="R19" s="24">
        <f>IF(Tabla22[[#This Row],[Energético]]="Energía Eléctrica",((Tabla22[[#This Row],[Participación]]*$D$37)/SUMIF(Tabla22[Energético],"Energía Eléctrica",Tabla22[Participación]))*$B$40,Tabla22[[#This Row],[Consumo energía '[MJ/año']]])</f>
        <v>931126969.24984825</v>
      </c>
    </row>
    <row r="20" spans="6:18" x14ac:dyDescent="0.2">
      <c r="F20" s="20" t="s">
        <v>61</v>
      </c>
      <c r="G20" s="21" t="s">
        <v>20</v>
      </c>
      <c r="H20" s="21" t="s">
        <v>85</v>
      </c>
      <c r="I20" s="21" t="s">
        <v>3</v>
      </c>
      <c r="J20" s="21" t="s">
        <v>30</v>
      </c>
      <c r="K20" s="21" t="s">
        <v>31</v>
      </c>
      <c r="L20" s="22">
        <v>107.8386124</v>
      </c>
      <c r="M20" s="31" t="str">
        <f>IFERROR(RIGHT(Tabla22[[#This Row],[Unidades indicador producción]], LEN(Tabla22[[#This Row],[Unidades indicador producción]])-FIND("/", Tabla22[[#This Row],[Unidades indicador producción]])), "")</f>
        <v>Ha</v>
      </c>
      <c r="N20" s="32">
        <f>IF(Tabla22[[#This Row],[Parámetro]]="Tn",Tabla22[[#This Row],[Indicador]]*$B$6,Tabla22[[#This Row],[Indicador]])</f>
        <v>107.8386124</v>
      </c>
      <c r="O20" s="31" t="str">
        <f t="shared" ref="O20:O31" si="1">"MJ/Ha"</f>
        <v>MJ/Ha</v>
      </c>
      <c r="P20" s="24">
        <f>(Tabla22[[#This Row],[Indicador área]]*$B$5)</f>
        <v>57707568.814999603</v>
      </c>
      <c r="Q20" s="96">
        <f>+Tabla22[[#This Row],[Consumo energía '[MJ/año']]]/$P$17</f>
        <v>2.6472534144332528E-2</v>
      </c>
      <c r="R20" s="24">
        <f>IF(Tabla22[[#This Row],[Energético]]="Energía Eléctrica",((Tabla22[[#This Row],[Participación]]*$D$37)/SUMIF(Tabla22[Energético],"Energía Eléctrica",Tabla22[Participación]))*$B$40,Tabla22[[#This Row],[Consumo energía '[MJ/año']]])</f>
        <v>57707568.814999603</v>
      </c>
    </row>
    <row r="21" spans="6:18" x14ac:dyDescent="0.2">
      <c r="F21" s="20" t="s">
        <v>61</v>
      </c>
      <c r="G21" s="21" t="s">
        <v>20</v>
      </c>
      <c r="H21" s="21" t="s">
        <v>85</v>
      </c>
      <c r="I21" s="21" t="s">
        <v>9</v>
      </c>
      <c r="J21" s="21" t="s">
        <v>30</v>
      </c>
      <c r="K21" s="21" t="s">
        <v>31</v>
      </c>
      <c r="L21" s="22">
        <v>25.761538460000001</v>
      </c>
      <c r="M21" s="31" t="str">
        <f>IFERROR(RIGHT(Tabla22[[#This Row],[Unidades indicador producción]], LEN(Tabla22[[#This Row],[Unidades indicador producción]])-FIND("/", Tabla22[[#This Row],[Unidades indicador producción]])), "")</f>
        <v>Ha</v>
      </c>
      <c r="N21" s="32">
        <f>IF(Tabla22[[#This Row],[Parámetro]]="Tn",Tabla22[[#This Row],[Indicador]]*$B$6,Tabla22[[#This Row],[Indicador]])</f>
        <v>25.761538460000001</v>
      </c>
      <c r="O21" s="31" t="str">
        <f t="shared" si="1"/>
        <v>MJ/Ha</v>
      </c>
      <c r="P21" s="24">
        <f>(Tabla22[[#This Row],[Indicador área]]*$B$5)</f>
        <v>13785746.314561341</v>
      </c>
      <c r="Q21" s="96">
        <f>+Tabla22[[#This Row],[Consumo energía '[MJ/año']]]/$P$17</f>
        <v>6.324016892606879E-3</v>
      </c>
      <c r="R21" s="24">
        <f>IF(Tabla22[[#This Row],[Energético]]="Energía Eléctrica",((Tabla22[[#This Row],[Participación]]*$D$37)/SUMIF(Tabla22[Energético],"Energía Eléctrica",Tabla22[Participación]))*$B$40,Tabla22[[#This Row],[Consumo energía '[MJ/año']]])</f>
        <v>13785746.314561341</v>
      </c>
    </row>
    <row r="22" spans="6:18" x14ac:dyDescent="0.2">
      <c r="F22" s="20" t="s">
        <v>61</v>
      </c>
      <c r="G22" s="21" t="s">
        <v>21</v>
      </c>
      <c r="H22" s="21" t="s">
        <v>85</v>
      </c>
      <c r="I22" s="21" t="s">
        <v>3</v>
      </c>
      <c r="J22" s="21" t="s">
        <v>32</v>
      </c>
      <c r="K22" s="21" t="s">
        <v>31</v>
      </c>
      <c r="L22" s="22">
        <v>232.04718579999999</v>
      </c>
      <c r="M22" s="31" t="str">
        <f>IFERROR(RIGHT(Tabla22[[#This Row],[Unidades indicador producción]], LEN(Tabla22[[#This Row],[Unidades indicador producción]])-FIND("/", Tabla22[[#This Row],[Unidades indicador producción]])), "")</f>
        <v>Ha</v>
      </c>
      <c r="N22" s="32">
        <f>IF(Tabla22[[#This Row],[Parámetro]]="Tn",Tabla22[[#This Row],[Indicador]]*$B$6,Tabla22[[#This Row],[Indicador]])</f>
        <v>232.04718579999999</v>
      </c>
      <c r="O22" s="31" t="str">
        <f t="shared" si="1"/>
        <v>MJ/Ha</v>
      </c>
      <c r="P22" s="24">
        <f>(Tabla22[[#This Row],[Indicador área]]*$B$5)</f>
        <v>124175178.4899682</v>
      </c>
      <c r="Q22" s="96">
        <f>+Tabla22[[#This Row],[Consumo energía '[MJ/año']]]/$P$17</f>
        <v>5.6963613611804721E-2</v>
      </c>
      <c r="R22" s="24">
        <f>IF(Tabla22[[#This Row],[Energético]]="Energía Eléctrica",((Tabla22[[#This Row],[Participación]]*$D$37)/SUMIF(Tabla22[Energético],"Energía Eléctrica",Tabla22[Participación]))*$B$40,Tabla22[[#This Row],[Consumo energía '[MJ/año']]])</f>
        <v>124175178.4899682</v>
      </c>
    </row>
    <row r="23" spans="6:18" x14ac:dyDescent="0.2">
      <c r="F23" s="20" t="s">
        <v>61</v>
      </c>
      <c r="G23" s="21" t="s">
        <v>21</v>
      </c>
      <c r="H23" s="21" t="s">
        <v>85</v>
      </c>
      <c r="I23" s="21" t="s">
        <v>2</v>
      </c>
      <c r="J23" s="21" t="s">
        <v>32</v>
      </c>
      <c r="K23" s="21" t="s">
        <v>31</v>
      </c>
      <c r="L23" s="22">
        <v>1.6107119999999999</v>
      </c>
      <c r="M23" s="31" t="str">
        <f>IFERROR(RIGHT(Tabla22[[#This Row],[Unidades indicador producción]], LEN(Tabla22[[#This Row],[Unidades indicador producción]])-FIND("/", Tabla22[[#This Row],[Unidades indicador producción]])), "")</f>
        <v>Ha</v>
      </c>
      <c r="N23" s="32">
        <f>IF(Tabla22[[#This Row],[Parámetro]]="Tn",Tabla22[[#This Row],[Indicador]]*$B$6,Tabla22[[#This Row],[Indicador]])</f>
        <v>1.6107119999999999</v>
      </c>
      <c r="O23" s="31" t="str">
        <f t="shared" si="1"/>
        <v>MJ/Ha</v>
      </c>
      <c r="P23" s="24">
        <f>(Tabla22[[#This Row],[Indicador área]]*$B$5)</f>
        <v>861938.70184799994</v>
      </c>
      <c r="Q23" s="96">
        <f>+Tabla22[[#This Row],[Consumo energía '[MJ/año']]]/$P$17</f>
        <v>3.9540223550471175E-4</v>
      </c>
      <c r="R23" s="24">
        <f>IF(Tabla22[[#This Row],[Energético]]="Energía Eléctrica",((Tabla22[[#This Row],[Participación]]*$D$37)/SUMIF(Tabla22[Energético],"Energía Eléctrica",Tabla22[Participación]))*$B$40,Tabla22[[#This Row],[Consumo energía '[MJ/año']]])</f>
        <v>7639582.2657497823</v>
      </c>
    </row>
    <row r="24" spans="6:18" x14ac:dyDescent="0.2">
      <c r="F24" s="20" t="s">
        <v>61</v>
      </c>
      <c r="G24" s="21" t="s">
        <v>21</v>
      </c>
      <c r="H24" s="21" t="s">
        <v>85</v>
      </c>
      <c r="I24" s="21" t="s">
        <v>9</v>
      </c>
      <c r="J24" s="21" t="s">
        <v>32</v>
      </c>
      <c r="K24" s="21" t="s">
        <v>31</v>
      </c>
      <c r="L24" s="22">
        <v>43.12033735</v>
      </c>
      <c r="M24" s="31" t="str">
        <f>IFERROR(RIGHT(Tabla22[[#This Row],[Unidades indicador producción]], LEN(Tabla22[[#This Row],[Unidades indicador producción]])-FIND("/", Tabla22[[#This Row],[Unidades indicador producción]])), "")</f>
        <v>Ha</v>
      </c>
      <c r="N24" s="32">
        <f>IF(Tabla22[[#This Row],[Parámetro]]="Tn",Tabla22[[#This Row],[Indicador]]*$B$6,Tabla22[[#This Row],[Indicador]])</f>
        <v>43.12033735</v>
      </c>
      <c r="O24" s="31" t="str">
        <f t="shared" si="1"/>
        <v>MJ/Ha</v>
      </c>
      <c r="P24" s="24">
        <f>(Tabla22[[#This Row],[Indicador área]]*$B$5)</f>
        <v>23074943.00576815</v>
      </c>
      <c r="Q24" s="96">
        <f>+Tabla22[[#This Row],[Consumo energía '[MJ/año']]]/$P$17</f>
        <v>1.0585304997980594E-2</v>
      </c>
      <c r="R24" s="24">
        <f>IF(Tabla22[[#This Row],[Energético]]="Energía Eléctrica",((Tabla22[[#This Row],[Participación]]*$D$37)/SUMIF(Tabla22[Energético],"Energía Eléctrica",Tabla22[Participación]))*$B$40,Tabla22[[#This Row],[Consumo energía '[MJ/año']]])</f>
        <v>23074943.00576815</v>
      </c>
    </row>
    <row r="25" spans="6:18" x14ac:dyDescent="0.2">
      <c r="F25" s="20" t="s">
        <v>61</v>
      </c>
      <c r="G25" s="21" t="s">
        <v>62</v>
      </c>
      <c r="H25" s="21" t="s">
        <v>85</v>
      </c>
      <c r="I25" s="21" t="s">
        <v>3</v>
      </c>
      <c r="J25" s="21" t="s">
        <v>25</v>
      </c>
      <c r="K25" s="21" t="s">
        <v>31</v>
      </c>
      <c r="L25" s="22">
        <v>7.2365384620000004</v>
      </c>
      <c r="M25" s="31" t="str">
        <f>IFERROR(RIGHT(Tabla22[[#This Row],[Unidades indicador producción]], LEN(Tabla22[[#This Row],[Unidades indicador producción]])-FIND("/", Tabla22[[#This Row],[Unidades indicador producción]])), "")</f>
        <v>Ha</v>
      </c>
      <c r="N25" s="32">
        <f>IF(Tabla22[[#This Row],[Parámetro]]="Tn",Tabla22[[#This Row],[Indicador]]*$B$6,Tabla22[[#This Row],[Indicador]])</f>
        <v>7.2365384620000004</v>
      </c>
      <c r="O25" s="31" t="str">
        <f t="shared" si="1"/>
        <v>MJ/Ha</v>
      </c>
      <c r="P25" s="24">
        <f>(Tabla22[[#This Row],[Indicador área]]*$B$5)</f>
        <v>3872481.5906315981</v>
      </c>
      <c r="Q25" s="96">
        <f>+Tabla22[[#This Row],[Consumo energía '[MJ/año']]]/$P$17</f>
        <v>1.7764463697983431E-3</v>
      </c>
      <c r="R25" s="24">
        <f>IF(Tabla22[[#This Row],[Energético]]="Energía Eléctrica",((Tabla22[[#This Row],[Participación]]*$D$37)/SUMIF(Tabla22[Energético],"Energía Eléctrica",Tabla22[Participación]))*$B$40,Tabla22[[#This Row],[Consumo energía '[MJ/año']]])</f>
        <v>3872481.5906315981</v>
      </c>
    </row>
    <row r="26" spans="6:18" x14ac:dyDescent="0.2">
      <c r="F26" s="20" t="s">
        <v>61</v>
      </c>
      <c r="G26" s="21" t="s">
        <v>62</v>
      </c>
      <c r="H26" s="21" t="s">
        <v>85</v>
      </c>
      <c r="I26" s="21" t="s">
        <v>9</v>
      </c>
      <c r="J26" s="21" t="s">
        <v>63</v>
      </c>
      <c r="K26" s="21" t="s">
        <v>31</v>
      </c>
      <c r="L26" s="22">
        <v>193.21153849999999</v>
      </c>
      <c r="M26" s="31" t="str">
        <f>IFERROR(RIGHT(Tabla22[[#This Row],[Unidades indicador producción]], LEN(Tabla22[[#This Row],[Unidades indicador producción]])-FIND("/", Tabla22[[#This Row],[Unidades indicador producción]])), "")</f>
        <v>Ha</v>
      </c>
      <c r="N26" s="32">
        <f>IF(Tabla22[[#This Row],[Parámetro]]="Tn",Tabla22[[#This Row],[Indicador]]*$B$6,Tabla22[[#This Row],[Indicador]])</f>
        <v>193.21153849999999</v>
      </c>
      <c r="O26" s="31" t="str">
        <f t="shared" si="1"/>
        <v>MJ/Ha</v>
      </c>
      <c r="P26" s="24">
        <f>(Tabla22[[#This Row],[Indicador área]]*$B$5)</f>
        <v>103393097.38596649</v>
      </c>
      <c r="Q26" s="96">
        <f>+Tabla22[[#This Row],[Consumo energía '[MJ/año']]]/$P$17</f>
        <v>4.7430126706825726E-2</v>
      </c>
      <c r="R26" s="24">
        <f>IF(Tabla22[[#This Row],[Energético]]="Energía Eléctrica",((Tabla22[[#This Row],[Participación]]*$D$37)/SUMIF(Tabla22[Energético],"Energía Eléctrica",Tabla22[Participación]))*$B$40,Tabla22[[#This Row],[Consumo energía '[MJ/año']]])</f>
        <v>103393097.38596649</v>
      </c>
    </row>
    <row r="27" spans="6:18" x14ac:dyDescent="0.2">
      <c r="F27" s="20" t="s">
        <v>61</v>
      </c>
      <c r="G27" s="21" t="s">
        <v>22</v>
      </c>
      <c r="H27" s="21" t="s">
        <v>85</v>
      </c>
      <c r="I27" s="21" t="s">
        <v>3</v>
      </c>
      <c r="J27" s="21" t="s">
        <v>33</v>
      </c>
      <c r="K27" s="21" t="s">
        <v>31</v>
      </c>
      <c r="L27" s="22">
        <v>708.60082220000004</v>
      </c>
      <c r="M27" s="31" t="str">
        <f>IFERROR(RIGHT(Tabla22[[#This Row],[Unidades indicador producción]], LEN(Tabla22[[#This Row],[Unidades indicador producción]])-FIND("/", Tabla22[[#This Row],[Unidades indicador producción]])), "")</f>
        <v>Ha</v>
      </c>
      <c r="N27" s="32">
        <f>IF(Tabla22[[#This Row],[Parámetro]]="Tn",Tabla22[[#This Row],[Indicador]]*$B$6,Tabla22[[#This Row],[Indicador]])</f>
        <v>708.60082220000004</v>
      </c>
      <c r="O27" s="31" t="str">
        <f t="shared" si="1"/>
        <v>MJ/Ha</v>
      </c>
      <c r="P27" s="24">
        <f>(Tabla22[[#This Row],[Indicador área]]*$B$5)</f>
        <v>379192849.38306379</v>
      </c>
      <c r="Q27" s="96">
        <f>+Tabla22[[#This Row],[Consumo energía '[MJ/año']]]/$P$17</f>
        <v>0.17394937715641082</v>
      </c>
      <c r="R27" s="24">
        <f>IF(Tabla22[[#This Row],[Energético]]="Energía Eléctrica",((Tabla22[[#This Row],[Participación]]*$D$37)/SUMIF(Tabla22[Energético],"Energía Eléctrica",Tabla22[Participación]))*$B$40,Tabla22[[#This Row],[Consumo energía '[MJ/año']]])</f>
        <v>379192849.38306379</v>
      </c>
    </row>
    <row r="28" spans="6:18" x14ac:dyDescent="0.2">
      <c r="F28" s="20" t="s">
        <v>61</v>
      </c>
      <c r="G28" s="21" t="s">
        <v>22</v>
      </c>
      <c r="H28" s="21" t="s">
        <v>85</v>
      </c>
      <c r="I28" s="21" t="s">
        <v>9</v>
      </c>
      <c r="J28" s="21" t="s">
        <v>63</v>
      </c>
      <c r="K28" s="21" t="s">
        <v>31</v>
      </c>
      <c r="L28" s="22">
        <v>100.47</v>
      </c>
      <c r="M28" s="31" t="str">
        <f>IFERROR(RIGHT(Tabla22[[#This Row],[Unidades indicador producción]], LEN(Tabla22[[#This Row],[Unidades indicador producción]])-FIND("/", Tabla22[[#This Row],[Unidades indicador producción]])), "")</f>
        <v>Ha</v>
      </c>
      <c r="N28" s="32">
        <f>IF(Tabla22[[#This Row],[Parámetro]]="Tn",Tabla22[[#This Row],[Indicador]]*$B$6,Tabla22[[#This Row],[Indicador]])</f>
        <v>100.47</v>
      </c>
      <c r="O28" s="31" t="str">
        <f t="shared" si="1"/>
        <v>MJ/Ha</v>
      </c>
      <c r="P28" s="24">
        <f>(Tabla22[[#This Row],[Indicador área]]*$B$5)</f>
        <v>53764410.630000003</v>
      </c>
      <c r="Q28" s="96">
        <f>+Tabla22[[#This Row],[Consumo energía '[MJ/año']]]/$P$17</f>
        <v>2.4663665882639723E-2</v>
      </c>
      <c r="R28" s="24">
        <f>IF(Tabla22[[#This Row],[Energético]]="Energía Eléctrica",((Tabla22[[#This Row],[Participación]]*$D$37)/SUMIF(Tabla22[Energético],"Energía Eléctrica",Tabla22[Participación]))*$B$40,Tabla22[[#This Row],[Consumo energía '[MJ/año']]])</f>
        <v>53764410.630000003</v>
      </c>
    </row>
    <row r="29" spans="6:18" x14ac:dyDescent="0.2">
      <c r="F29" s="20" t="s">
        <v>61</v>
      </c>
      <c r="G29" s="21" t="s">
        <v>23</v>
      </c>
      <c r="H29" s="21" t="s">
        <v>85</v>
      </c>
      <c r="I29" s="21" t="s">
        <v>3</v>
      </c>
      <c r="J29" s="21" t="s">
        <v>34</v>
      </c>
      <c r="K29" s="21" t="s">
        <v>31</v>
      </c>
      <c r="L29" s="22">
        <v>536.36791040000003</v>
      </c>
      <c r="M29" s="31" t="str">
        <f>IFERROR(RIGHT(Tabla22[[#This Row],[Unidades indicador producción]], LEN(Tabla22[[#This Row],[Unidades indicador producción]])-FIND("/", Tabla22[[#This Row],[Unidades indicador producción]])), "")</f>
        <v>Ha</v>
      </c>
      <c r="N29" s="32">
        <f>IF(Tabla22[[#This Row],[Parámetro]]="Tn",Tabla22[[#This Row],[Indicador]]*$B$6,Tabla22[[#This Row],[Indicador]])</f>
        <v>536.36791040000003</v>
      </c>
      <c r="O29" s="31" t="str">
        <f t="shared" si="1"/>
        <v>MJ/Ha</v>
      </c>
      <c r="P29" s="24">
        <f>(Tabla22[[#This Row],[Indicador área]]*$B$5)</f>
        <v>287026023.5244416</v>
      </c>
      <c r="Q29" s="96">
        <f>+Tabla22[[#This Row],[Consumo energía '[MJ/año']]]/$P$17</f>
        <v>0.13166914434433402</v>
      </c>
      <c r="R29" s="24">
        <f>IF(Tabla22[[#This Row],[Energético]]="Energía Eléctrica",((Tabla22[[#This Row],[Participación]]*$D$37)/SUMIF(Tabla22[Energético],"Energía Eléctrica",Tabla22[Participación]))*$B$40,Tabla22[[#This Row],[Consumo energía '[MJ/año']]])</f>
        <v>287026023.5244416</v>
      </c>
    </row>
    <row r="30" spans="6:18" x14ac:dyDescent="0.2">
      <c r="F30" s="20" t="s">
        <v>61</v>
      </c>
      <c r="G30" s="21" t="s">
        <v>24</v>
      </c>
      <c r="H30" s="21" t="s">
        <v>85</v>
      </c>
      <c r="I30" s="21" t="s">
        <v>3</v>
      </c>
      <c r="J30" s="21" t="s">
        <v>35</v>
      </c>
      <c r="K30" s="21" t="s">
        <v>31</v>
      </c>
      <c r="L30" s="22">
        <v>372.16483520000003</v>
      </c>
      <c r="M30" s="31" t="str">
        <f>IFERROR(RIGHT(Tabla22[[#This Row],[Unidades indicador producción]], LEN(Tabla22[[#This Row],[Unidades indicador producción]])-FIND("/", Tabla22[[#This Row],[Unidades indicador producción]])), "")</f>
        <v>Ha</v>
      </c>
      <c r="N30" s="32">
        <f>IF(Tabla22[[#This Row],[Parámetro]]="Tn",Tabla22[[#This Row],[Indicador]]*$B$6,Tabla22[[#This Row],[Indicador]])</f>
        <v>372.16483520000003</v>
      </c>
      <c r="O30" s="31" t="str">
        <f t="shared" si="1"/>
        <v>MJ/Ha</v>
      </c>
      <c r="P30" s="24">
        <f>(Tabla22[[#This Row],[Indicador área]]*$B$5)</f>
        <v>199156196.09574082</v>
      </c>
      <c r="Q30" s="96">
        <f>+Tabla22[[#This Row],[Consumo energía '[MJ/año']]]/$P$17</f>
        <v>9.136009902100603E-2</v>
      </c>
      <c r="R30" s="24">
        <f>IF(Tabla22[[#This Row],[Energético]]="Energía Eléctrica",((Tabla22[[#This Row],[Participación]]*$D$37)/SUMIF(Tabla22[Energético],"Energía Eléctrica",Tabla22[Participación]))*$B$40,Tabla22[[#This Row],[Consumo energía '[MJ/año']]])</f>
        <v>199156196.09574082</v>
      </c>
    </row>
    <row r="31" spans="6:18" x14ac:dyDescent="0.2">
      <c r="F31" s="20" t="s">
        <v>61</v>
      </c>
      <c r="G31" s="21" t="s">
        <v>25</v>
      </c>
      <c r="H31" s="21" t="s">
        <v>85</v>
      </c>
      <c r="I31" s="21" t="s">
        <v>3</v>
      </c>
      <c r="J31" s="21" t="s">
        <v>25</v>
      </c>
      <c r="K31" s="21" t="s">
        <v>31</v>
      </c>
      <c r="L31" s="22">
        <v>5.1689560439999997</v>
      </c>
      <c r="M31" s="31" t="str">
        <f>IFERROR(RIGHT(Tabla22[[#This Row],[Unidades indicador producción]], LEN(Tabla22[[#This Row],[Unidades indicador producción]])-FIND("/", Tabla22[[#This Row],[Unidades indicador producción]])), "")</f>
        <v>Ha</v>
      </c>
      <c r="N31" s="32">
        <f>IF(Tabla22[[#This Row],[Parámetro]]="Tn",Tabla22[[#This Row],[Indicador]]*$B$6,Tabla22[[#This Row],[Indicador]])</f>
        <v>5.1689560439999997</v>
      </c>
      <c r="O31" s="31" t="str">
        <f t="shared" si="1"/>
        <v>MJ/Ha</v>
      </c>
      <c r="P31" s="24">
        <f>(Tabla22[[#This Row],[Indicador área]]*$B$5)</f>
        <v>2766058.2788696759</v>
      </c>
      <c r="Q31" s="96">
        <f>+Tabla22[[#This Row],[Consumo energía '[MJ/año']]]/$P$17</f>
        <v>1.2688902640715356E-3</v>
      </c>
      <c r="R31" s="24">
        <f>IF(Tabla22[[#This Row],[Energético]]="Energía Eléctrica",((Tabla22[[#This Row],[Participación]]*$D$37)/SUMIF(Tabla22[Energético],"Energía Eléctrica",Tabla22[Participación]))*$B$40,Tabla22[[#This Row],[Consumo energía '[MJ/año']]])</f>
        <v>2766058.2788696759</v>
      </c>
    </row>
    <row r="32" spans="6:18" x14ac:dyDescent="0.2">
      <c r="R32" s="29"/>
    </row>
    <row r="34" spans="1:18" ht="15.75" x14ac:dyDescent="0.25">
      <c r="A34" s="34" t="s">
        <v>41</v>
      </c>
      <c r="B34" s="34"/>
      <c r="C34" s="34"/>
      <c r="D34" s="34"/>
    </row>
    <row r="36" spans="1:18" x14ac:dyDescent="0.2">
      <c r="A36" s="13" t="s">
        <v>0</v>
      </c>
      <c r="B36" s="13" t="s">
        <v>45</v>
      </c>
      <c r="C36" s="13" t="s">
        <v>46</v>
      </c>
      <c r="D36" s="13" t="s">
        <v>1</v>
      </c>
    </row>
    <row r="37" spans="1:18" x14ac:dyDescent="0.2">
      <c r="A37" s="14" t="s">
        <v>2</v>
      </c>
      <c r="B37" s="15">
        <f>B8</f>
        <v>7639582.2657497823</v>
      </c>
      <c r="C37" s="9">
        <f>B37/1000000</f>
        <v>7.6395822657497821</v>
      </c>
      <c r="D37" s="16">
        <f>B37/$B$40</f>
        <v>3.4936883335104953E-3</v>
      </c>
    </row>
    <row r="38" spans="1:18" x14ac:dyDescent="0.2">
      <c r="A38" s="14" t="s">
        <v>3</v>
      </c>
      <c r="B38" s="6">
        <f>SUMIF(Tabla22[Energético],A38,Tabla22[Consumo energía '[MJ/año']])</f>
        <v>1985023325.4275632</v>
      </c>
      <c r="C38" s="9">
        <f t="shared" ref="C38:C39" si="2">B38/1000000</f>
        <v>1985.0233254275631</v>
      </c>
      <c r="D38" s="16">
        <f>B38/$B$40</f>
        <v>0.9077790633768178</v>
      </c>
    </row>
    <row r="39" spans="1:18" x14ac:dyDescent="0.2">
      <c r="A39" s="14" t="s">
        <v>9</v>
      </c>
      <c r="B39" s="6">
        <f>SUMIF(Tabla22[Energético],A39,Tabla22[Consumo energía '[MJ/año']])</f>
        <v>194018197.33629596</v>
      </c>
      <c r="C39" s="9">
        <f t="shared" si="2"/>
        <v>194.01819733629597</v>
      </c>
      <c r="D39" s="16">
        <f>B39/$B$40</f>
        <v>8.8727248289671781E-2</v>
      </c>
      <c r="R39" s="29"/>
    </row>
    <row r="40" spans="1:18" x14ac:dyDescent="0.2">
      <c r="A40" s="92" t="s">
        <v>78</v>
      </c>
      <c r="B40" s="88">
        <f>SUM(B37:B39)</f>
        <v>2186681105.0296087</v>
      </c>
      <c r="C40" s="88">
        <f>SUM(C37:C39)</f>
        <v>2186.6811050296087</v>
      </c>
      <c r="D40" s="93">
        <f>SUM(D37:D39)</f>
        <v>1</v>
      </c>
    </row>
    <row r="44" spans="1:18" ht="18" x14ac:dyDescent="0.25">
      <c r="A44" s="35" t="s">
        <v>49</v>
      </c>
      <c r="B44" s="35"/>
      <c r="C44" s="35"/>
    </row>
    <row r="45" spans="1:18" x14ac:dyDescent="0.2">
      <c r="A45" s="8" t="str">
        <f>+A4</f>
        <v>Grupo Homogeneo</v>
      </c>
      <c r="B45" s="8" t="s">
        <v>42</v>
      </c>
      <c r="C45" s="8" t="s">
        <v>43</v>
      </c>
    </row>
    <row r="46" spans="1:18" x14ac:dyDescent="0.2">
      <c r="A46" s="90" t="s">
        <v>51</v>
      </c>
      <c r="B46" s="91">
        <f>+B40/B5</f>
        <v>4086.2691146052798</v>
      </c>
      <c r="C46" s="91">
        <f>B46/$B$6</f>
        <v>1399.4072310292054</v>
      </c>
      <c r="D46" s="36"/>
    </row>
    <row r="49" spans="3:3" x14ac:dyDescent="0.2">
      <c r="C49" s="29"/>
    </row>
  </sheetData>
  <mergeCells count="4">
    <mergeCell ref="A3:B3"/>
    <mergeCell ref="F16:L16"/>
    <mergeCell ref="A34:D34"/>
    <mergeCell ref="A44:C44"/>
  </mergeCells>
  <phoneticPr fontId="9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C95E8E-4632-497C-BF57-ECF4A3091923}">
          <x14:formula1>
            <xm:f>hoja2!$A$1:$A$11</xm:f>
          </x14:formula1>
          <xm:sqref>A37:A39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99B22-8AB7-4DB1-BB0B-A862642CC7E7}">
  <dimension ref="A1:R49"/>
  <sheetViews>
    <sheetView showGridLines="0" topLeftCell="A13" workbookViewId="0">
      <selection activeCell="A31" sqref="A31"/>
    </sheetView>
  </sheetViews>
  <sheetFormatPr baseColWidth="10" defaultRowHeight="12.75" x14ac:dyDescent="0.2"/>
  <cols>
    <col min="1" max="1" width="41.28515625" customWidth="1"/>
    <col min="2" max="2" width="17.42578125" bestFit="1" customWidth="1"/>
    <col min="3" max="3" width="36.42578125" bestFit="1" customWidth="1"/>
    <col min="4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8" max="18" width="17.42578125" bestFit="1" customWidth="1"/>
  </cols>
  <sheetData>
    <row r="1" spans="1:16" ht="25.5" x14ac:dyDescent="0.25">
      <c r="A1" s="12"/>
      <c r="F1" s="79" t="s">
        <v>69</v>
      </c>
      <c r="G1" s="79" t="s">
        <v>81</v>
      </c>
      <c r="H1" s="79" t="s">
        <v>66</v>
      </c>
      <c r="I1" s="79" t="s">
        <v>67</v>
      </c>
      <c r="J1" s="79" t="s">
        <v>14</v>
      </c>
      <c r="K1" s="79" t="s">
        <v>68</v>
      </c>
      <c r="M1" s="100" t="s">
        <v>69</v>
      </c>
      <c r="N1" s="100" t="s">
        <v>70</v>
      </c>
      <c r="O1" s="100" t="s">
        <v>71</v>
      </c>
      <c r="P1" s="100" t="s">
        <v>72</v>
      </c>
    </row>
    <row r="2" spans="1:16" x14ac:dyDescent="0.2">
      <c r="F2" s="37" t="s">
        <v>54</v>
      </c>
      <c r="G2" s="37" t="s">
        <v>80</v>
      </c>
      <c r="H2" s="38">
        <v>4604</v>
      </c>
      <c r="I2" s="38">
        <v>3950</v>
      </c>
      <c r="J2" s="38">
        <v>0.98</v>
      </c>
      <c r="K2" s="39">
        <f>Tabla28[[#This Row],[área '[Ha']]]/Tabla28[[#Totals],[área '[Ha']]]</f>
        <v>6.1282244173884136E-3</v>
      </c>
      <c r="M2" s="101" t="s">
        <v>73</v>
      </c>
      <c r="N2" s="102">
        <v>28079.07</v>
      </c>
      <c r="O2" s="103">
        <v>68058.289999999994</v>
      </c>
      <c r="P2" s="104">
        <v>28.29</v>
      </c>
    </row>
    <row r="3" spans="1:16" ht="20.25" x14ac:dyDescent="0.2">
      <c r="A3" s="71" t="s">
        <v>90</v>
      </c>
      <c r="B3" s="72"/>
      <c r="F3" s="37" t="s">
        <v>55</v>
      </c>
      <c r="G3" s="37" t="s">
        <v>80</v>
      </c>
      <c r="H3" s="38">
        <v>1532</v>
      </c>
      <c r="I3" s="38">
        <v>3793</v>
      </c>
      <c r="J3" s="38">
        <v>2.67</v>
      </c>
      <c r="K3" s="39">
        <f>Tabla28[[#This Row],[área '[Ha']]]/Tabla28[[#Totals],[área '[Ha']]]</f>
        <v>2.0391919651257711E-3</v>
      </c>
      <c r="M3" s="101" t="s">
        <v>74</v>
      </c>
      <c r="N3" s="102">
        <v>96244.58</v>
      </c>
      <c r="O3" s="103">
        <v>148829.32999999999</v>
      </c>
      <c r="P3" s="104">
        <v>42.32</v>
      </c>
    </row>
    <row r="4" spans="1:16" x14ac:dyDescent="0.2">
      <c r="A4" s="5" t="s">
        <v>44</v>
      </c>
      <c r="B4" s="21" t="s">
        <v>52</v>
      </c>
      <c r="F4" s="37" t="s">
        <v>56</v>
      </c>
      <c r="G4" s="37" t="s">
        <v>80</v>
      </c>
      <c r="H4" s="38">
        <v>1494</v>
      </c>
      <c r="I4" s="38">
        <v>3704</v>
      </c>
      <c r="J4" s="38">
        <v>2.65</v>
      </c>
      <c r="K4" s="39">
        <f>Tabla28[[#This Row],[área '[Ha']]]/Tabla28[[#Totals],[área '[Ha']]]</f>
        <v>1.9886114855730431E-3</v>
      </c>
      <c r="M4" s="101" t="s">
        <v>75</v>
      </c>
      <c r="N4" s="102">
        <v>1200</v>
      </c>
      <c r="O4" s="103">
        <v>3320.8</v>
      </c>
      <c r="P4" s="104">
        <v>9.99</v>
      </c>
    </row>
    <row r="5" spans="1:16" x14ac:dyDescent="0.2">
      <c r="A5" s="5" t="s">
        <v>13</v>
      </c>
      <c r="B5" s="22">
        <v>70530</v>
      </c>
      <c r="C5" s="25" t="s">
        <v>95</v>
      </c>
      <c r="F5" s="37" t="s">
        <v>51</v>
      </c>
      <c r="G5" s="37" t="s">
        <v>80</v>
      </c>
      <c r="H5" s="38">
        <v>535129</v>
      </c>
      <c r="I5" s="38">
        <v>1772851</v>
      </c>
      <c r="J5" s="38">
        <v>2.92</v>
      </c>
      <c r="K5" s="39">
        <f>Tabla28[[#This Row],[área '[Ha']]]/Tabla28[[#Totals],[área '[Ha']]]</f>
        <v>0.71229161690978382</v>
      </c>
      <c r="L5" s="81"/>
      <c r="M5" s="101" t="s">
        <v>76</v>
      </c>
      <c r="N5" s="102">
        <v>1076.8900000000001</v>
      </c>
      <c r="O5" s="103">
        <v>2792.03</v>
      </c>
      <c r="P5" s="104">
        <v>12.6</v>
      </c>
    </row>
    <row r="6" spans="1:16" x14ac:dyDescent="0.2">
      <c r="A6" s="5" t="s">
        <v>14</v>
      </c>
      <c r="B6" s="22">
        <v>2.46</v>
      </c>
      <c r="C6" s="25" t="s">
        <v>100</v>
      </c>
      <c r="F6" s="37" t="s">
        <v>58</v>
      </c>
      <c r="G6" s="37" t="s">
        <v>80</v>
      </c>
      <c r="H6" s="38">
        <v>1805</v>
      </c>
      <c r="I6" s="38">
        <v>2645</v>
      </c>
      <c r="J6" s="38">
        <v>1.17</v>
      </c>
      <c r="K6" s="39">
        <f>Tabla28[[#This Row],[área '[Ha']]]/Tabla28[[#Totals],[área '[Ha']]]</f>
        <v>2.4025727787545803E-3</v>
      </c>
      <c r="M6" s="97" t="s">
        <v>77</v>
      </c>
      <c r="N6" s="105">
        <v>6258.43</v>
      </c>
      <c r="O6" s="106">
        <v>53737.120000000003</v>
      </c>
      <c r="P6" s="107">
        <v>143.55000000000001</v>
      </c>
    </row>
    <row r="7" spans="1:16" x14ac:dyDescent="0.2">
      <c r="A7" s="7" t="s">
        <v>15</v>
      </c>
      <c r="B7" s="22">
        <f>B12</f>
        <v>279749.78346900665</v>
      </c>
      <c r="C7" s="25" t="s">
        <v>89</v>
      </c>
      <c r="F7" s="37" t="s">
        <v>59</v>
      </c>
      <c r="G7" s="37" t="s">
        <v>80</v>
      </c>
      <c r="H7" s="38">
        <v>454</v>
      </c>
      <c r="I7" s="38">
        <v>808</v>
      </c>
      <c r="J7" s="38">
        <v>2.17</v>
      </c>
      <c r="K7" s="39">
        <f>Tabla28[[#This Row],[área '[Ha']]]/Tabla28[[#Totals],[área '[Ha']]]</f>
        <v>6.0430362412996087E-4</v>
      </c>
      <c r="M7" s="97" t="s">
        <v>78</v>
      </c>
      <c r="N7" s="105">
        <f>SUBTOTAL(109,Tabla69[Área sembrada (Ha)])</f>
        <v>132858.97</v>
      </c>
      <c r="O7" s="106">
        <f>SUBTOTAL(109,Tabla69[Producción (Ton)])</f>
        <v>276737.57</v>
      </c>
      <c r="P7" s="107">
        <f>SUBTOTAL(109,Tabla69[Rendimiento (Ton/Ha)])</f>
        <v>236.75</v>
      </c>
    </row>
    <row r="8" spans="1:16" ht="15.75" x14ac:dyDescent="0.25">
      <c r="A8" s="7" t="s">
        <v>93</v>
      </c>
      <c r="B8" s="24">
        <f>+B7*3.6</f>
        <v>1007099.2204884239</v>
      </c>
      <c r="C8" s="1"/>
      <c r="F8" s="37" t="s">
        <v>53</v>
      </c>
      <c r="G8" s="37" t="s">
        <v>80</v>
      </c>
      <c r="H8" s="38">
        <v>1380</v>
      </c>
      <c r="I8" s="38">
        <v>4206</v>
      </c>
      <c r="J8" s="38">
        <v>2.66</v>
      </c>
      <c r="K8" s="39">
        <f>Tabla28[[#This Row],[área '[Ha']]]/Tabla28[[#Totals],[área '[Ha']]]</f>
        <v>1.8368700469148589E-3</v>
      </c>
      <c r="L8" s="80"/>
      <c r="P8" s="11"/>
    </row>
    <row r="9" spans="1:16" ht="15.75" x14ac:dyDescent="0.25">
      <c r="A9" s="77"/>
      <c r="B9" s="78"/>
      <c r="C9" s="1"/>
      <c r="F9" s="44" t="s">
        <v>52</v>
      </c>
      <c r="G9" s="44" t="s">
        <v>80</v>
      </c>
      <c r="H9" s="45">
        <v>70530</v>
      </c>
      <c r="I9" s="45">
        <v>173760</v>
      </c>
      <c r="J9" s="45">
        <v>2.46</v>
      </c>
      <c r="K9" s="46">
        <f>Tabla28[[#This Row],[área '[Ha']]]/Tabla28[[#Totals],[área '[Ha']]]</f>
        <v>9.3880032180365947E-2</v>
      </c>
      <c r="L9" s="33"/>
      <c r="P9" s="11"/>
    </row>
    <row r="10" spans="1:16" ht="15.75" x14ac:dyDescent="0.25">
      <c r="A10" s="77"/>
      <c r="B10" s="78"/>
      <c r="C10" s="1"/>
      <c r="F10" s="52" t="s">
        <v>57</v>
      </c>
      <c r="G10" s="37" t="s">
        <v>80</v>
      </c>
      <c r="H10" s="53">
        <v>1491</v>
      </c>
      <c r="I10" s="53">
        <v>2873</v>
      </c>
      <c r="J10" s="53">
        <v>1.72</v>
      </c>
      <c r="K10" s="54">
        <f>Tabla28[[#This Row],[área '[Ha']]]/Tabla28[[#Totals],[área '[Ha']]]</f>
        <v>1.9846182898188803E-3</v>
      </c>
      <c r="L10" s="33"/>
      <c r="P10" s="11"/>
    </row>
    <row r="11" spans="1:16" ht="15.75" x14ac:dyDescent="0.25">
      <c r="A11" s="27" t="s">
        <v>15</v>
      </c>
      <c r="B11" s="28">
        <f>+Maíz!B15</f>
        <v>2979230.920862691</v>
      </c>
      <c r="C11" s="1"/>
      <c r="F11" s="97" t="s">
        <v>79</v>
      </c>
      <c r="G11" s="97" t="s">
        <v>79</v>
      </c>
      <c r="H11" s="98">
        <v>132858.97</v>
      </c>
      <c r="I11" s="98">
        <v>276737.57</v>
      </c>
      <c r="J11" s="98"/>
      <c r="K11" s="99">
        <f>Tabla28[[#This Row],[área '[Ha']]]/Tabla28[[#Totals],[área '[Ha']]]</f>
        <v>0.17684395830214483</v>
      </c>
      <c r="L11" s="33"/>
      <c r="P11" s="11"/>
    </row>
    <row r="12" spans="1:16" ht="26.25" x14ac:dyDescent="0.25">
      <c r="A12" s="27" t="s">
        <v>92</v>
      </c>
      <c r="B12" s="28">
        <f>B11*0.0939</f>
        <v>279749.78346900665</v>
      </c>
      <c r="C12" s="1"/>
      <c r="F12" s="47" t="s">
        <v>78</v>
      </c>
      <c r="G12" s="47"/>
      <c r="H12" s="58">
        <f>SUBTOTAL(109,Tabla28[área '[Ha']])</f>
        <v>751277.97</v>
      </c>
      <c r="I12" s="49"/>
      <c r="J12" s="49"/>
      <c r="K12" s="51">
        <f>SUBTOTAL(109,Tabla28[% de participación área])</f>
        <v>1.0000000000000002</v>
      </c>
      <c r="L12" s="33"/>
      <c r="P12" s="11"/>
    </row>
    <row r="13" spans="1:16" ht="15.75" x14ac:dyDescent="0.25">
      <c r="A13" s="77"/>
      <c r="B13" s="78"/>
      <c r="C13" s="1"/>
      <c r="F13" s="33"/>
      <c r="G13" s="33"/>
      <c r="H13" s="33"/>
      <c r="I13" s="33"/>
      <c r="J13" s="33"/>
      <c r="K13" s="33"/>
      <c r="L13" s="33"/>
      <c r="P13" s="11"/>
    </row>
    <row r="14" spans="1:16" ht="15.75" x14ac:dyDescent="0.25">
      <c r="A14" s="77"/>
      <c r="B14" s="78"/>
      <c r="C14" s="1"/>
      <c r="F14" s="33"/>
      <c r="G14" s="33"/>
      <c r="H14" s="33"/>
      <c r="I14" s="33"/>
      <c r="J14" s="33"/>
      <c r="K14" s="33"/>
      <c r="L14" s="33"/>
      <c r="P14" s="11"/>
    </row>
    <row r="15" spans="1:16" ht="15.75" x14ac:dyDescent="0.25">
      <c r="A15" s="77"/>
      <c r="B15" s="78"/>
      <c r="C15" s="1"/>
      <c r="F15" s="33"/>
      <c r="G15" s="33"/>
      <c r="H15" s="33"/>
      <c r="I15" s="33"/>
      <c r="J15" s="33"/>
      <c r="K15" s="33"/>
      <c r="L15" s="33"/>
      <c r="P15" s="11"/>
    </row>
    <row r="16" spans="1:16" ht="15.75" x14ac:dyDescent="0.25">
      <c r="A16" s="77"/>
      <c r="B16" s="78"/>
      <c r="C16" s="1"/>
      <c r="F16" s="33"/>
      <c r="G16" s="33"/>
      <c r="H16" s="33"/>
      <c r="I16" s="33"/>
      <c r="J16" s="33"/>
      <c r="K16" s="33"/>
      <c r="L16" s="33"/>
      <c r="P16" s="11"/>
    </row>
    <row r="17" spans="1:18" ht="15.75" x14ac:dyDescent="0.25">
      <c r="A17" s="77"/>
      <c r="B17" s="78"/>
      <c r="C17" s="1"/>
      <c r="F17" s="33"/>
      <c r="G17" s="33"/>
      <c r="H17" s="33"/>
      <c r="I17" s="33"/>
      <c r="J17" s="33"/>
      <c r="K17" s="33"/>
      <c r="L17" s="33"/>
      <c r="P17" s="11"/>
    </row>
    <row r="18" spans="1:18" ht="15.75" x14ac:dyDescent="0.25">
      <c r="A18" s="77"/>
      <c r="B18" s="78"/>
      <c r="C18" s="1"/>
      <c r="F18" s="33"/>
      <c r="G18" s="33"/>
      <c r="H18" s="33"/>
      <c r="I18" s="33"/>
      <c r="J18" s="33"/>
      <c r="K18" s="33"/>
      <c r="L18" s="33"/>
      <c r="P18" s="11"/>
    </row>
    <row r="19" spans="1:18" ht="15.75" x14ac:dyDescent="0.25">
      <c r="A19" s="77"/>
      <c r="B19" s="78"/>
      <c r="C19" s="1"/>
      <c r="F19" s="34" t="s">
        <v>97</v>
      </c>
      <c r="G19" s="34"/>
      <c r="H19" s="34"/>
      <c r="I19" s="34"/>
      <c r="J19" s="34"/>
      <c r="K19" s="34"/>
      <c r="L19" s="34"/>
      <c r="P19" s="11"/>
      <c r="R19" s="10" t="s">
        <v>47</v>
      </c>
    </row>
    <row r="20" spans="1:18" ht="31.5" x14ac:dyDescent="0.25">
      <c r="K20" s="4" t="s">
        <v>40</v>
      </c>
      <c r="P20" s="11">
        <f>SUM(Tabla224[Consumo energía '[MJ/año']])</f>
        <v>267978265.8445963</v>
      </c>
      <c r="R20" s="94">
        <f>SUM(Tabla224[Consumo energía corregida '[MJ/año']])</f>
        <v>268871761.54772472</v>
      </c>
    </row>
    <row r="21" spans="1:18" s="2" customFormat="1" ht="38.25" x14ac:dyDescent="0.2">
      <c r="F21" s="17" t="s">
        <v>16</v>
      </c>
      <c r="G21" s="18" t="s">
        <v>17</v>
      </c>
      <c r="H21" s="18" t="s">
        <v>84</v>
      </c>
      <c r="I21" s="18" t="s">
        <v>18</v>
      </c>
      <c r="J21" s="18" t="s">
        <v>26</v>
      </c>
      <c r="K21" s="19" t="s">
        <v>27</v>
      </c>
      <c r="L21" s="18" t="s">
        <v>28</v>
      </c>
      <c r="M21" s="18" t="s">
        <v>36</v>
      </c>
      <c r="N21" s="18" t="s">
        <v>38</v>
      </c>
      <c r="O21" s="18" t="s">
        <v>39</v>
      </c>
      <c r="P21" s="95" t="s">
        <v>98</v>
      </c>
      <c r="Q21" s="95" t="s">
        <v>1</v>
      </c>
      <c r="R21" s="95" t="s">
        <v>99</v>
      </c>
    </row>
    <row r="22" spans="1:18" x14ac:dyDescent="0.2">
      <c r="F22" s="20" t="s">
        <v>61</v>
      </c>
      <c r="G22" s="21" t="s">
        <v>19</v>
      </c>
      <c r="H22" s="21" t="s">
        <v>85</v>
      </c>
      <c r="I22" s="21" t="s">
        <v>3</v>
      </c>
      <c r="J22" s="21" t="s">
        <v>82</v>
      </c>
      <c r="K22" s="21" t="s">
        <v>29</v>
      </c>
      <c r="L22" s="22">
        <v>595.89201679999996</v>
      </c>
      <c r="M22" s="23" t="str">
        <f>IFERROR(RIGHT(Tabla224[[#This Row],[Unidades indicador producción]], LEN(Tabla224[[#This Row],[Unidades indicador producción]])-FIND("/", Tabla224[[#This Row],[Unidades indicador producción]])), "")</f>
        <v>Tn</v>
      </c>
      <c r="N22" s="24">
        <f>IF(Tabla224[[#This Row],[Parámetro]]="Tn",Tabla224[[#This Row],[Indicador]]*$B$6,Tabla224[[#This Row],[Indicador]])</f>
        <v>1465.8943613279998</v>
      </c>
      <c r="O22" s="23" t="str">
        <f t="shared" ref="O22" si="0">"MJ/Ha"</f>
        <v>MJ/Ha</v>
      </c>
      <c r="P22" s="24">
        <f>(Tabla224[[#This Row],[Indicador área]]*$B$5)</f>
        <v>103389529.30446383</v>
      </c>
      <c r="Q22" s="96">
        <f>+Tabla224[[#This Row],[Consumo energía '[MJ/año']]]/$P$20</f>
        <v>0.38581311427853116</v>
      </c>
      <c r="R22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103389529.30446383</v>
      </c>
    </row>
    <row r="23" spans="1:18" x14ac:dyDescent="0.2">
      <c r="F23" s="20" t="s">
        <v>61</v>
      </c>
      <c r="G23" s="21" t="s">
        <v>20</v>
      </c>
      <c r="H23" s="21" t="s">
        <v>85</v>
      </c>
      <c r="I23" s="21" t="s">
        <v>3</v>
      </c>
      <c r="J23" s="21" t="s">
        <v>30</v>
      </c>
      <c r="K23" s="21" t="s">
        <v>31</v>
      </c>
      <c r="L23" s="22">
        <v>107.8386124</v>
      </c>
      <c r="M23" s="31" t="str">
        <f>IFERROR(RIGHT(Tabla224[[#This Row],[Unidades indicador producción]], LEN(Tabla224[[#This Row],[Unidades indicador producción]])-FIND("/", Tabla224[[#This Row],[Unidades indicador producción]])), "")</f>
        <v>Ha</v>
      </c>
      <c r="N23" s="32">
        <f>IF(Tabla224[[#This Row],[Parámetro]]="Tn",Tabla224[[#This Row],[Indicador]]*$B$6,Tabla224[[#This Row],[Indicador]])</f>
        <v>107.8386124</v>
      </c>
      <c r="O23" s="31" t="str">
        <f t="shared" ref="O23:O34" si="1">"MJ/Ha"</f>
        <v>MJ/Ha</v>
      </c>
      <c r="P23" s="24">
        <f>(Tabla224[[#This Row],[Indicador área]]*$B$5)</f>
        <v>7605857.3325720001</v>
      </c>
      <c r="Q23" s="96">
        <f>+Tabla224[[#This Row],[Consumo energía '[MJ/año']]]/$P$20</f>
        <v>2.8382366415426859E-2</v>
      </c>
      <c r="R23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7605857.3325720001</v>
      </c>
    </row>
    <row r="24" spans="1:18" x14ac:dyDescent="0.2">
      <c r="F24" s="20" t="s">
        <v>61</v>
      </c>
      <c r="G24" s="21" t="s">
        <v>20</v>
      </c>
      <c r="H24" s="21" t="s">
        <v>85</v>
      </c>
      <c r="I24" s="21" t="s">
        <v>9</v>
      </c>
      <c r="J24" s="21" t="s">
        <v>30</v>
      </c>
      <c r="K24" s="21" t="s">
        <v>31</v>
      </c>
      <c r="L24" s="22">
        <v>25.761538460000001</v>
      </c>
      <c r="M24" s="31" t="str">
        <f>IFERROR(RIGHT(Tabla224[[#This Row],[Unidades indicador producción]], LEN(Tabla224[[#This Row],[Unidades indicador producción]])-FIND("/", Tabla224[[#This Row],[Unidades indicador producción]])), "")</f>
        <v>Ha</v>
      </c>
      <c r="N24" s="32">
        <f>IF(Tabla224[[#This Row],[Parámetro]]="Tn",Tabla224[[#This Row],[Indicador]]*$B$6,Tabla224[[#This Row],[Indicador]])</f>
        <v>25.761538460000001</v>
      </c>
      <c r="O24" s="31" t="str">
        <f t="shared" si="1"/>
        <v>MJ/Ha</v>
      </c>
      <c r="P24" s="24">
        <f>(Tabla224[[#This Row],[Indicador área]]*$B$5)</f>
        <v>1816961.3075838001</v>
      </c>
      <c r="Q24" s="96">
        <f>+Tabla224[[#This Row],[Consumo energía '[MJ/año']]]/$P$20</f>
        <v>6.7802562340539847E-3</v>
      </c>
      <c r="R24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1816961.3075838001</v>
      </c>
    </row>
    <row r="25" spans="1:18" x14ac:dyDescent="0.2">
      <c r="F25" s="20" t="s">
        <v>61</v>
      </c>
      <c r="G25" s="21" t="s">
        <v>21</v>
      </c>
      <c r="H25" s="21" t="s">
        <v>85</v>
      </c>
      <c r="I25" s="21" t="s">
        <v>3</v>
      </c>
      <c r="J25" s="21" t="s">
        <v>32</v>
      </c>
      <c r="K25" s="21" t="s">
        <v>31</v>
      </c>
      <c r="L25" s="22">
        <v>232.04718579999999</v>
      </c>
      <c r="M25" s="31" t="str">
        <f>IFERROR(RIGHT(Tabla224[[#This Row],[Unidades indicador producción]], LEN(Tabla224[[#This Row],[Unidades indicador producción]])-FIND("/", Tabla224[[#This Row],[Unidades indicador producción]])), "")</f>
        <v>Ha</v>
      </c>
      <c r="N25" s="32">
        <f>IF(Tabla224[[#This Row],[Parámetro]]="Tn",Tabla224[[#This Row],[Indicador]]*$B$6,Tabla224[[#This Row],[Indicador]])</f>
        <v>232.04718579999999</v>
      </c>
      <c r="O25" s="31" t="str">
        <f t="shared" si="1"/>
        <v>MJ/Ha</v>
      </c>
      <c r="P25" s="24">
        <f>(Tabla224[[#This Row],[Indicador área]]*$B$5)</f>
        <v>16366288.014473999</v>
      </c>
      <c r="Q25" s="96">
        <f>+Tabla224[[#This Row],[Consumo energía '[MJ/año']]]/$P$20</f>
        <v>6.1073191748934594E-2</v>
      </c>
      <c r="R25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16366288.014473999</v>
      </c>
    </row>
    <row r="26" spans="1:18" x14ac:dyDescent="0.2">
      <c r="F26" s="20" t="s">
        <v>61</v>
      </c>
      <c r="G26" s="21" t="s">
        <v>21</v>
      </c>
      <c r="H26" s="21" t="s">
        <v>85</v>
      </c>
      <c r="I26" s="21" t="s">
        <v>2</v>
      </c>
      <c r="J26" s="21" t="s">
        <v>32</v>
      </c>
      <c r="K26" s="21" t="s">
        <v>31</v>
      </c>
      <c r="L26" s="22">
        <v>1.6107119999999999</v>
      </c>
      <c r="M26" s="31" t="str">
        <f>IFERROR(RIGHT(Tabla224[[#This Row],[Unidades indicador producción]], LEN(Tabla224[[#This Row],[Unidades indicador producción]])-FIND("/", Tabla224[[#This Row],[Unidades indicador producción]])), "")</f>
        <v>Ha</v>
      </c>
      <c r="N26" s="32">
        <f>IF(Tabla224[[#This Row],[Parámetro]]="Tn",Tabla224[[#This Row],[Indicador]]*$B$6,Tabla224[[#This Row],[Indicador]])</f>
        <v>1.6107119999999999</v>
      </c>
      <c r="O26" s="31" t="str">
        <f t="shared" si="1"/>
        <v>MJ/Ha</v>
      </c>
      <c r="P26" s="24">
        <f>(Tabla224[[#This Row],[Indicador área]]*$B$5)</f>
        <v>113603.51736</v>
      </c>
      <c r="Q26" s="96">
        <f>+Tabla224[[#This Row],[Consumo energía '[MJ/año']]]/$P$20</f>
        <v>4.2392810104189567E-4</v>
      </c>
      <c r="R26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1007099.2204884239</v>
      </c>
    </row>
    <row r="27" spans="1:18" x14ac:dyDescent="0.2">
      <c r="F27" s="20" t="s">
        <v>61</v>
      </c>
      <c r="G27" s="21" t="s">
        <v>21</v>
      </c>
      <c r="H27" s="21" t="s">
        <v>85</v>
      </c>
      <c r="I27" s="21" t="s">
        <v>9</v>
      </c>
      <c r="J27" s="21" t="s">
        <v>32</v>
      </c>
      <c r="K27" s="21" t="s">
        <v>31</v>
      </c>
      <c r="L27" s="22">
        <v>43.12033735</v>
      </c>
      <c r="M27" s="31" t="str">
        <f>IFERROR(RIGHT(Tabla224[[#This Row],[Unidades indicador producción]], LEN(Tabla224[[#This Row],[Unidades indicador producción]])-FIND("/", Tabla224[[#This Row],[Unidades indicador producción]])), "")</f>
        <v>Ha</v>
      </c>
      <c r="N27" s="32">
        <f>IF(Tabla224[[#This Row],[Parámetro]]="Tn",Tabla224[[#This Row],[Indicador]]*$B$6,Tabla224[[#This Row],[Indicador]])</f>
        <v>43.12033735</v>
      </c>
      <c r="O27" s="31" t="str">
        <f t="shared" si="1"/>
        <v>MJ/Ha</v>
      </c>
      <c r="P27" s="24">
        <f>(Tabla224[[#This Row],[Indicador área]]*$B$5)</f>
        <v>3041277.3932955</v>
      </c>
      <c r="Q27" s="96">
        <f>+Tabla224[[#This Row],[Consumo energía '[MJ/año']]]/$P$20</f>
        <v>1.1348970349181869E-2</v>
      </c>
      <c r="R27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3041277.3932955</v>
      </c>
    </row>
    <row r="28" spans="1:18" x14ac:dyDescent="0.2">
      <c r="F28" s="20" t="s">
        <v>61</v>
      </c>
      <c r="G28" s="21" t="s">
        <v>62</v>
      </c>
      <c r="H28" s="21" t="s">
        <v>85</v>
      </c>
      <c r="I28" s="21" t="s">
        <v>3</v>
      </c>
      <c r="J28" s="21" t="s">
        <v>25</v>
      </c>
      <c r="K28" s="21" t="s">
        <v>31</v>
      </c>
      <c r="L28" s="22">
        <v>7.2365384620000004</v>
      </c>
      <c r="M28" s="31" t="str">
        <f>IFERROR(RIGHT(Tabla224[[#This Row],[Unidades indicador producción]], LEN(Tabla224[[#This Row],[Unidades indicador producción]])-FIND("/", Tabla224[[#This Row],[Unidades indicador producción]])), "")</f>
        <v>Ha</v>
      </c>
      <c r="N28" s="32">
        <f>IF(Tabla224[[#This Row],[Parámetro]]="Tn",Tabla224[[#This Row],[Indicador]]*$B$6,Tabla224[[#This Row],[Indicador]])</f>
        <v>7.2365384620000004</v>
      </c>
      <c r="O28" s="31" t="str">
        <f t="shared" si="1"/>
        <v>MJ/Ha</v>
      </c>
      <c r="P28" s="24">
        <f>(Tabla224[[#This Row],[Indicador área]]*$B$5)</f>
        <v>510393.05772486003</v>
      </c>
      <c r="Q28" s="96">
        <f>+Tabla224[[#This Row],[Consumo energía '[MJ/año']]]/$P$20</f>
        <v>1.9046061669077405E-3</v>
      </c>
      <c r="R28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510393.05772486003</v>
      </c>
    </row>
    <row r="29" spans="1:18" x14ac:dyDescent="0.2">
      <c r="F29" s="20" t="s">
        <v>61</v>
      </c>
      <c r="G29" s="21" t="s">
        <v>62</v>
      </c>
      <c r="H29" s="21" t="s">
        <v>85</v>
      </c>
      <c r="I29" s="21" t="s">
        <v>9</v>
      </c>
      <c r="J29" s="21" t="s">
        <v>63</v>
      </c>
      <c r="K29" s="21" t="s">
        <v>31</v>
      </c>
      <c r="L29" s="22">
        <v>193.21153849999999</v>
      </c>
      <c r="M29" s="31" t="str">
        <f>IFERROR(RIGHT(Tabla224[[#This Row],[Unidades indicador producción]], LEN(Tabla224[[#This Row],[Unidades indicador producción]])-FIND("/", Tabla224[[#This Row],[Unidades indicador producción]])), "")</f>
        <v>Ha</v>
      </c>
      <c r="N29" s="32">
        <f>IF(Tabla224[[#This Row],[Parámetro]]="Tn",Tabla224[[#This Row],[Indicador]]*$B$6,Tabla224[[#This Row],[Indicador]])</f>
        <v>193.21153849999999</v>
      </c>
      <c r="O29" s="31" t="str">
        <f t="shared" si="1"/>
        <v>MJ/Ha</v>
      </c>
      <c r="P29" s="24">
        <f>(Tabla224[[#This Row],[Indicador área]]*$B$5)</f>
        <v>13627209.810404999</v>
      </c>
      <c r="Q29" s="96">
        <f>+Tabla224[[#This Row],[Consumo energía '[MJ/año']]]/$P$20</f>
        <v>5.0851921768564533E-2</v>
      </c>
      <c r="R29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13627209.810404999</v>
      </c>
    </row>
    <row r="30" spans="1:18" x14ac:dyDescent="0.2">
      <c r="F30" s="20" t="s">
        <v>61</v>
      </c>
      <c r="G30" s="21" t="s">
        <v>22</v>
      </c>
      <c r="H30" s="21" t="s">
        <v>85</v>
      </c>
      <c r="I30" s="21" t="s">
        <v>3</v>
      </c>
      <c r="J30" s="21" t="s">
        <v>33</v>
      </c>
      <c r="K30" s="21" t="s">
        <v>31</v>
      </c>
      <c r="L30" s="22">
        <v>708.60082220000004</v>
      </c>
      <c r="M30" s="31" t="str">
        <f>IFERROR(RIGHT(Tabla224[[#This Row],[Unidades indicador producción]], LEN(Tabla224[[#This Row],[Unidades indicador producción]])-FIND("/", Tabla224[[#This Row],[Unidades indicador producción]])), "")</f>
        <v>Ha</v>
      </c>
      <c r="N30" s="32">
        <f>IF(Tabla224[[#This Row],[Parámetro]]="Tn",Tabla224[[#This Row],[Indicador]]*$B$6,Tabla224[[#This Row],[Indicador]])</f>
        <v>708.60082220000004</v>
      </c>
      <c r="O30" s="31" t="str">
        <f t="shared" si="1"/>
        <v>MJ/Ha</v>
      </c>
      <c r="P30" s="24">
        <f>(Tabla224[[#This Row],[Indicador área]]*$B$5)</f>
        <v>49977615.989766002</v>
      </c>
      <c r="Q30" s="96">
        <f>+Tabla224[[#This Row],[Consumo energía '[MJ/año']]]/$P$20</f>
        <v>0.18649876635424084</v>
      </c>
      <c r="R30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49977615.989766002</v>
      </c>
    </row>
    <row r="31" spans="1:18" x14ac:dyDescent="0.2">
      <c r="F31" s="20" t="s">
        <v>61</v>
      </c>
      <c r="G31" s="21" t="s">
        <v>22</v>
      </c>
      <c r="H31" s="21" t="s">
        <v>85</v>
      </c>
      <c r="I31" s="21" t="s">
        <v>9</v>
      </c>
      <c r="J31" s="21" t="s">
        <v>63</v>
      </c>
      <c r="K31" s="21" t="s">
        <v>31</v>
      </c>
      <c r="L31" s="22">
        <v>100.47</v>
      </c>
      <c r="M31" s="31" t="str">
        <f>IFERROR(RIGHT(Tabla224[[#This Row],[Unidades indicador producción]], LEN(Tabla224[[#This Row],[Unidades indicador producción]])-FIND("/", Tabla224[[#This Row],[Unidades indicador producción]])), "")</f>
        <v>Ha</v>
      </c>
      <c r="N31" s="32">
        <f>IF(Tabla224[[#This Row],[Parámetro]]="Tn",Tabla224[[#This Row],[Indicador]]*$B$6,Tabla224[[#This Row],[Indicador]])</f>
        <v>100.47</v>
      </c>
      <c r="O31" s="31" t="str">
        <f t="shared" si="1"/>
        <v>MJ/Ha</v>
      </c>
      <c r="P31" s="24">
        <f>(Tabla224[[#This Row],[Indicador área]]*$B$5)</f>
        <v>7086149.0999999996</v>
      </c>
      <c r="Q31" s="96">
        <f>+Tabla224[[#This Row],[Consumo energía '[MJ/año']]]/$P$20</f>
        <v>2.6442999314389697E-2</v>
      </c>
      <c r="R31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7086149.0999999996</v>
      </c>
    </row>
    <row r="32" spans="1:18" x14ac:dyDescent="0.2">
      <c r="F32" s="20" t="s">
        <v>61</v>
      </c>
      <c r="G32" s="21" t="s">
        <v>23</v>
      </c>
      <c r="H32" s="21" t="s">
        <v>85</v>
      </c>
      <c r="I32" s="21" t="s">
        <v>3</v>
      </c>
      <c r="J32" s="21" t="s">
        <v>34</v>
      </c>
      <c r="K32" s="21" t="s">
        <v>31</v>
      </c>
      <c r="L32" s="22">
        <v>536.36791040000003</v>
      </c>
      <c r="M32" s="31" t="str">
        <f>IFERROR(RIGHT(Tabla224[[#This Row],[Unidades indicador producción]], LEN(Tabla224[[#This Row],[Unidades indicador producción]])-FIND("/", Tabla224[[#This Row],[Unidades indicador producción]])), "")</f>
        <v>Ha</v>
      </c>
      <c r="N32" s="32">
        <f>IF(Tabla224[[#This Row],[Parámetro]]="Tn",Tabla224[[#This Row],[Indicador]]*$B$6,Tabla224[[#This Row],[Indicador]])</f>
        <v>536.36791040000003</v>
      </c>
      <c r="O32" s="31" t="str">
        <f t="shared" si="1"/>
        <v>MJ/Ha</v>
      </c>
      <c r="P32" s="24">
        <f>(Tabla224[[#This Row],[Indicador área]]*$B$5)</f>
        <v>37830028.720512003</v>
      </c>
      <c r="Q32" s="96">
        <f>+Tabla224[[#This Row],[Consumo energía '[MJ/año']]]/$P$20</f>
        <v>0.14116827199131915</v>
      </c>
      <c r="R32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37830028.720512003</v>
      </c>
    </row>
    <row r="33" spans="1:18" x14ac:dyDescent="0.2">
      <c r="F33" s="20" t="s">
        <v>61</v>
      </c>
      <c r="G33" s="21" t="s">
        <v>24</v>
      </c>
      <c r="H33" s="21" t="s">
        <v>85</v>
      </c>
      <c r="I33" s="21" t="s">
        <v>3</v>
      </c>
      <c r="J33" s="21" t="s">
        <v>35</v>
      </c>
      <c r="K33" s="21" t="s">
        <v>31</v>
      </c>
      <c r="L33" s="22">
        <v>372.16483520000003</v>
      </c>
      <c r="M33" s="31" t="str">
        <f>IFERROR(RIGHT(Tabla224[[#This Row],[Unidades indicador producción]], LEN(Tabla224[[#This Row],[Unidades indicador producción]])-FIND("/", Tabla224[[#This Row],[Unidades indicador producción]])), "")</f>
        <v>Ha</v>
      </c>
      <c r="N33" s="32">
        <f>IF(Tabla224[[#This Row],[Parámetro]]="Tn",Tabla224[[#This Row],[Indicador]]*$B$6,Tabla224[[#This Row],[Indicador]])</f>
        <v>372.16483520000003</v>
      </c>
      <c r="O33" s="31" t="str">
        <f t="shared" si="1"/>
        <v>MJ/Ha</v>
      </c>
      <c r="P33" s="24">
        <f>(Tabla224[[#This Row],[Indicador área]]*$B$5)</f>
        <v>26248785.826656003</v>
      </c>
      <c r="Q33" s="96">
        <f>+Tabla224[[#This Row],[Consumo energía '[MJ/año']]]/$P$20</f>
        <v>9.7951174301120297E-2</v>
      </c>
      <c r="R33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26248785.826656003</v>
      </c>
    </row>
    <row r="34" spans="1:18" x14ac:dyDescent="0.2">
      <c r="F34" s="20" t="s">
        <v>61</v>
      </c>
      <c r="G34" s="21" t="s">
        <v>25</v>
      </c>
      <c r="H34" s="21" t="s">
        <v>85</v>
      </c>
      <c r="I34" s="21" t="s">
        <v>3</v>
      </c>
      <c r="J34" s="21" t="s">
        <v>25</v>
      </c>
      <c r="K34" s="21" t="s">
        <v>31</v>
      </c>
      <c r="L34" s="22">
        <v>5.1689560439999997</v>
      </c>
      <c r="M34" s="31" t="str">
        <f>IFERROR(RIGHT(Tabla224[[#This Row],[Unidades indicador producción]], LEN(Tabla224[[#This Row],[Unidades indicador producción]])-FIND("/", Tabla224[[#This Row],[Unidades indicador producción]])), "")</f>
        <v>Ha</v>
      </c>
      <c r="N34" s="32">
        <f>IF(Tabla224[[#This Row],[Parámetro]]="Tn",Tabla224[[#This Row],[Indicador]]*$B$6,Tabla224[[#This Row],[Indicador]])</f>
        <v>5.1689560439999997</v>
      </c>
      <c r="O34" s="31" t="str">
        <f t="shared" si="1"/>
        <v>MJ/Ha</v>
      </c>
      <c r="P34" s="24">
        <f>(Tabla224[[#This Row],[Indicador área]]*$B$5)</f>
        <v>364566.46978331998</v>
      </c>
      <c r="Q34" s="96">
        <f>+Tabla224[[#This Row],[Consumo energía '[MJ/año']]]/$P$20</f>
        <v>1.3604329762874736E-3</v>
      </c>
      <c r="R34" s="24">
        <f>IF(Tabla224[[#This Row],[Energético]]="Energía Eléctrica",((Tabla224[[#This Row],[Participación]]*$D$40)/SUMIF(Tabla224[Energético],"Energía Eléctrica",Tabla224[Participación]))*$B$38,Tabla224[[#This Row],[Consumo energía '[MJ/año']]])</f>
        <v>364566.46978331998</v>
      </c>
    </row>
    <row r="35" spans="1:18" x14ac:dyDescent="0.2">
      <c r="R35" s="29"/>
    </row>
    <row r="37" spans="1:18" ht="15.75" x14ac:dyDescent="0.25">
      <c r="A37" s="34" t="s">
        <v>41</v>
      </c>
      <c r="B37" s="34"/>
      <c r="C37" s="34"/>
      <c r="D37" s="34"/>
    </row>
    <row r="38" spans="1:18" x14ac:dyDescent="0.2">
      <c r="B38" s="3">
        <f>SUM(B40:B42)</f>
        <v>268871761.54772478</v>
      </c>
    </row>
    <row r="39" spans="1:18" x14ac:dyDescent="0.2">
      <c r="A39" s="13" t="s">
        <v>0</v>
      </c>
      <c r="B39" s="13" t="s">
        <v>45</v>
      </c>
      <c r="C39" s="13" t="s">
        <v>46</v>
      </c>
      <c r="D39" s="13" t="s">
        <v>1</v>
      </c>
    </row>
    <row r="40" spans="1:18" x14ac:dyDescent="0.2">
      <c r="A40" s="14" t="s">
        <v>2</v>
      </c>
      <c r="B40" s="15">
        <f>B8</f>
        <v>1007099.2204884239</v>
      </c>
      <c r="C40" s="9">
        <f>B40/1000000</f>
        <v>1.0070992204884239</v>
      </c>
      <c r="D40" s="16">
        <f>B40/$B$38</f>
        <v>3.7456489096928227E-3</v>
      </c>
    </row>
    <row r="41" spans="1:18" x14ac:dyDescent="0.2">
      <c r="A41" s="14" t="s">
        <v>3</v>
      </c>
      <c r="B41" s="6">
        <f>SUMIF(Tabla224[Energético],A41,Tabla224[Consumo energía '[MJ/año']])</f>
        <v>242293064.71595204</v>
      </c>
      <c r="C41" s="9">
        <f t="shared" ref="C41:C42" si="2">B41/1000000</f>
        <v>242.29306471595203</v>
      </c>
      <c r="D41" s="16">
        <f t="shared" ref="D41:D42" si="3">B41/$B$38</f>
        <v>0.90114731023155425</v>
      </c>
    </row>
    <row r="42" spans="1:18" x14ac:dyDescent="0.2">
      <c r="A42" s="14" t="s">
        <v>9</v>
      </c>
      <c r="B42" s="6">
        <f>SUMIF(Tabla224[Energético],A42,Tabla224[Consumo energía '[MJ/año']])</f>
        <v>25571597.611284301</v>
      </c>
      <c r="C42" s="9">
        <f t="shared" si="2"/>
        <v>25.5715976112843</v>
      </c>
      <c r="D42" s="16">
        <f t="shared" si="3"/>
        <v>9.5107040858752795E-2</v>
      </c>
      <c r="R42" s="29"/>
    </row>
    <row r="43" spans="1:18" x14ac:dyDescent="0.2">
      <c r="A43" s="92" t="s">
        <v>78</v>
      </c>
      <c r="B43" s="88">
        <f>SUM(B40:B42)</f>
        <v>268871761.54772478</v>
      </c>
      <c r="C43" s="88">
        <f>SUM(C40:C42)</f>
        <v>268.87176154772476</v>
      </c>
      <c r="D43" s="93">
        <f>SUM(D40:D42)</f>
        <v>0.99999999999999989</v>
      </c>
    </row>
    <row r="47" spans="1:18" ht="18" x14ac:dyDescent="0.25">
      <c r="A47" s="35" t="s">
        <v>49</v>
      </c>
      <c r="B47" s="35"/>
      <c r="C47" s="35"/>
    </row>
    <row r="48" spans="1:18" x14ac:dyDescent="0.2">
      <c r="A48" s="8" t="str">
        <f>+A4</f>
        <v>Grupo Homogeneo</v>
      </c>
      <c r="B48" s="8" t="s">
        <v>42</v>
      </c>
      <c r="C48" s="8" t="s">
        <v>43</v>
      </c>
    </row>
    <row r="49" spans="1:3" x14ac:dyDescent="0.2">
      <c r="A49" s="89" t="s">
        <v>52</v>
      </c>
      <c r="B49" s="26">
        <f>B43/B5</f>
        <v>3812.1616552917167</v>
      </c>
      <c r="C49" s="26">
        <f>B49/$B$6</f>
        <v>1549.6592094681776</v>
      </c>
    </row>
  </sheetData>
  <mergeCells count="4">
    <mergeCell ref="A3:B3"/>
    <mergeCell ref="A37:D37"/>
    <mergeCell ref="A47:C47"/>
    <mergeCell ref="F19:L19"/>
  </mergeCells>
  <phoneticPr fontId="9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8E5064-093C-4E6E-8C3A-4DD7C03B6556}">
          <x14:formula1>
            <xm:f>hoja2!$A$1:$A$11</xm:f>
          </x14:formula1>
          <xm:sqref>A40:A42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9677F-B3E5-4000-A801-AC578D6B67B6}">
  <dimension ref="A1:S38"/>
  <sheetViews>
    <sheetView showGridLines="0" topLeftCell="H1" workbookViewId="0">
      <selection activeCell="H22" sqref="H22"/>
    </sheetView>
  </sheetViews>
  <sheetFormatPr baseColWidth="10" defaultRowHeight="12.75" x14ac:dyDescent="0.2"/>
  <cols>
    <col min="1" max="1" width="28.28515625" customWidth="1"/>
    <col min="2" max="2" width="17.42578125" bestFit="1" customWidth="1"/>
    <col min="3" max="3" width="18.140625" customWidth="1"/>
    <col min="4" max="5" width="16.42578125" customWidth="1"/>
    <col min="7" max="7" width="20.28515625" customWidth="1"/>
    <col min="8" max="9" width="24.5703125" customWidth="1"/>
    <col min="10" max="10" width="26.5703125" customWidth="1"/>
    <col min="11" max="11" width="17.7109375" bestFit="1" customWidth="1"/>
    <col min="12" max="12" width="19.7109375" customWidth="1"/>
    <col min="13" max="13" width="11.7109375" customWidth="1"/>
    <col min="15" max="15" width="15" customWidth="1"/>
    <col min="17" max="17" width="24.5703125" customWidth="1"/>
    <col min="19" max="19" width="17.42578125" bestFit="1" customWidth="1"/>
  </cols>
  <sheetData>
    <row r="1" spans="1:19" ht="18" x14ac:dyDescent="0.25">
      <c r="A1" s="12" t="s">
        <v>48</v>
      </c>
    </row>
    <row r="3" spans="1:19" ht="20.25" x14ac:dyDescent="0.2">
      <c r="A3" s="71" t="s">
        <v>90</v>
      </c>
      <c r="B3" s="72"/>
    </row>
    <row r="4" spans="1:19" x14ac:dyDescent="0.2">
      <c r="A4" s="5" t="s">
        <v>44</v>
      </c>
      <c r="B4" s="21" t="s">
        <v>65</v>
      </c>
    </row>
    <row r="5" spans="1:19" x14ac:dyDescent="0.2">
      <c r="A5" s="5" t="s">
        <v>13</v>
      </c>
      <c r="B5" s="22">
        <v>11518</v>
      </c>
      <c r="C5" s="25" t="s">
        <v>50</v>
      </c>
    </row>
    <row r="6" spans="1:19" x14ac:dyDescent="0.2">
      <c r="A6" s="5" t="s">
        <v>14</v>
      </c>
      <c r="B6" s="22">
        <v>1.57</v>
      </c>
      <c r="C6" s="25" t="s">
        <v>37</v>
      </c>
    </row>
    <row r="7" spans="1:19" ht="25.5" x14ac:dyDescent="0.2">
      <c r="A7" s="7" t="s">
        <v>15</v>
      </c>
      <c r="B7" s="22">
        <f>B11</f>
        <v>50646.925654665749</v>
      </c>
      <c r="C7" s="25" t="s">
        <v>89</v>
      </c>
      <c r="S7" s="29"/>
    </row>
    <row r="8" spans="1:19" ht="26.25" x14ac:dyDescent="0.25">
      <c r="A8" s="7" t="s">
        <v>15</v>
      </c>
      <c r="B8" s="24">
        <f>+B7*3.6</f>
        <v>182328.93235679669</v>
      </c>
      <c r="C8" s="1"/>
      <c r="G8" s="34" t="s">
        <v>97</v>
      </c>
      <c r="H8" s="34"/>
      <c r="I8" s="34"/>
      <c r="J8" s="34"/>
      <c r="K8" s="34"/>
      <c r="L8" s="34"/>
      <c r="M8" s="34"/>
      <c r="Q8" s="11"/>
      <c r="S8" s="10" t="s">
        <v>101</v>
      </c>
    </row>
    <row r="9" spans="1:19" ht="35.25" customHeight="1" x14ac:dyDescent="0.25">
      <c r="L9" s="4" t="s">
        <v>40</v>
      </c>
      <c r="Q9" s="11">
        <f>SUM(Tabla2245[Consumo energía '[MJ/año']])</f>
        <v>37654063.40186546</v>
      </c>
      <c r="S9" s="94">
        <f>+SUM(Tabla2245[Consumo energía corregida '[MJ/año']])</f>
        <v>37817840.153406255</v>
      </c>
    </row>
    <row r="10" spans="1:19" s="2" customFormat="1" ht="38.25" x14ac:dyDescent="0.2">
      <c r="A10" s="27" t="s">
        <v>15</v>
      </c>
      <c r="B10" s="28">
        <f>+Maíz!B15</f>
        <v>2979230.920862691</v>
      </c>
      <c r="G10" s="17" t="s">
        <v>16</v>
      </c>
      <c r="H10" s="18" t="s">
        <v>17</v>
      </c>
      <c r="I10" s="18" t="s">
        <v>84</v>
      </c>
      <c r="J10" s="18" t="s">
        <v>18</v>
      </c>
      <c r="K10" s="18" t="s">
        <v>26</v>
      </c>
      <c r="L10" s="19" t="s">
        <v>27</v>
      </c>
      <c r="M10" s="18" t="s">
        <v>28</v>
      </c>
      <c r="N10" s="18" t="s">
        <v>36</v>
      </c>
      <c r="O10" s="18" t="s">
        <v>38</v>
      </c>
      <c r="P10" s="18" t="s">
        <v>39</v>
      </c>
      <c r="Q10" s="95" t="s">
        <v>98</v>
      </c>
      <c r="R10" s="95" t="s">
        <v>1</v>
      </c>
      <c r="S10" s="95" t="s">
        <v>99</v>
      </c>
    </row>
    <row r="11" spans="1:19" x14ac:dyDescent="0.2">
      <c r="A11" s="27" t="s">
        <v>60</v>
      </c>
      <c r="B11" s="28">
        <f>B10*0.017</f>
        <v>50646.925654665749</v>
      </c>
      <c r="G11" s="20" t="s">
        <v>61</v>
      </c>
      <c r="H11" s="21" t="s">
        <v>19</v>
      </c>
      <c r="I11" s="21" t="s">
        <v>85</v>
      </c>
      <c r="J11" s="21" t="s">
        <v>3</v>
      </c>
      <c r="K11" s="21" t="s">
        <v>82</v>
      </c>
      <c r="L11" s="21" t="s">
        <v>29</v>
      </c>
      <c r="M11" s="22">
        <v>595.89201679999996</v>
      </c>
      <c r="N11" s="23" t="str">
        <f>IFERROR(RIGHT(Tabla2245[[#This Row],[Unidades indicador producción]], LEN(Tabla2245[[#This Row],[Unidades indicador producción]])-FIND("/", Tabla2245[[#This Row],[Unidades indicador producción]])), "")</f>
        <v>Tn</v>
      </c>
      <c r="O11" s="24">
        <f>IF(Tabla2245[[#This Row],[Parámetro]]="Tn",Tabla2245[[#This Row],[Indicador]]*$B$6,Tabla2245[[#This Row],[Indicador]])</f>
        <v>935.55046637600003</v>
      </c>
      <c r="P11" s="23" t="str">
        <f t="shared" ref="P11" si="0">"MJ/Ha"</f>
        <v>MJ/Ha</v>
      </c>
      <c r="Q11" s="24">
        <f>(Tabla2245[[#This Row],[Indicador área]]*$B$5)</f>
        <v>10775670.271718768</v>
      </c>
      <c r="R11" s="23">
        <f>+Tabla2245[[#This Row],[Consumo energía '[MJ/año']]]/$Q$9</f>
        <v>0.2861754960338469</v>
      </c>
      <c r="S11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10775670.271718768</v>
      </c>
    </row>
    <row r="12" spans="1:19" x14ac:dyDescent="0.2">
      <c r="G12" s="20" t="s">
        <v>61</v>
      </c>
      <c r="H12" s="21" t="s">
        <v>20</v>
      </c>
      <c r="I12" s="21" t="s">
        <v>85</v>
      </c>
      <c r="J12" s="21" t="s">
        <v>3</v>
      </c>
      <c r="K12" s="21" t="s">
        <v>30</v>
      </c>
      <c r="L12" s="21" t="s">
        <v>31</v>
      </c>
      <c r="M12" s="22">
        <v>107.8386124</v>
      </c>
      <c r="N12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2" s="32">
        <f>IF(Tabla2245[[#This Row],[Parámetro]]="Tn",Tabla2245[[#This Row],[Indicador]]*$B$6,Tabla2245[[#This Row],[Indicador]])</f>
        <v>107.8386124</v>
      </c>
      <c r="P12" s="31" t="str">
        <f t="shared" ref="P12:P23" si="1">"MJ/Ha"</f>
        <v>MJ/Ha</v>
      </c>
      <c r="Q12" s="24">
        <f>(Tabla2245[[#This Row],[Indicador área]]*$B$5)</f>
        <v>1242085.1376232</v>
      </c>
      <c r="R12" s="23">
        <f>+Tabla2245[[#This Row],[Consumo energía '[MJ/año']]]/$Q$9</f>
        <v>3.2986748982891036E-2</v>
      </c>
      <c r="S12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1242085.1376232</v>
      </c>
    </row>
    <row r="13" spans="1:19" x14ac:dyDescent="0.2">
      <c r="G13" s="20" t="s">
        <v>61</v>
      </c>
      <c r="H13" s="21" t="s">
        <v>20</v>
      </c>
      <c r="I13" s="21" t="s">
        <v>85</v>
      </c>
      <c r="J13" s="21" t="s">
        <v>9</v>
      </c>
      <c r="K13" s="21" t="s">
        <v>30</v>
      </c>
      <c r="L13" s="21" t="s">
        <v>31</v>
      </c>
      <c r="M13" s="22">
        <v>25.761538460000001</v>
      </c>
      <c r="N13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3" s="32">
        <f>IF(Tabla2245[[#This Row],[Parámetro]]="Tn",Tabla2245[[#This Row],[Indicador]]*$B$6,Tabla2245[[#This Row],[Indicador]])</f>
        <v>25.761538460000001</v>
      </c>
      <c r="P13" s="31" t="str">
        <f t="shared" si="1"/>
        <v>MJ/Ha</v>
      </c>
      <c r="Q13" s="24">
        <f>(Tabla2245[[#This Row],[Indicador área]]*$B$5)</f>
        <v>296721.39998227998</v>
      </c>
      <c r="R13" s="23">
        <f>+Tabla2245[[#This Row],[Consumo energía '[MJ/año']]]/$Q$9</f>
        <v>7.8801960047578772E-3</v>
      </c>
      <c r="S13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296721.39998227998</v>
      </c>
    </row>
    <row r="14" spans="1:19" ht="38.25" x14ac:dyDescent="0.2">
      <c r="A14" s="13" t="s">
        <v>83</v>
      </c>
      <c r="B14" s="13" t="s">
        <v>66</v>
      </c>
      <c r="C14" s="13" t="s">
        <v>67</v>
      </c>
      <c r="D14" s="13" t="s">
        <v>14</v>
      </c>
      <c r="E14" s="13" t="s">
        <v>68</v>
      </c>
      <c r="G14" s="20" t="s">
        <v>61</v>
      </c>
      <c r="H14" s="21" t="s">
        <v>21</v>
      </c>
      <c r="I14" s="21" t="s">
        <v>85</v>
      </c>
      <c r="J14" s="21" t="s">
        <v>3</v>
      </c>
      <c r="K14" s="21" t="s">
        <v>32</v>
      </c>
      <c r="L14" s="21" t="s">
        <v>31</v>
      </c>
      <c r="M14" s="22">
        <v>232.04718579999999</v>
      </c>
      <c r="N14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4" s="32">
        <f>IF(Tabla2245[[#This Row],[Parámetro]]="Tn",Tabla2245[[#This Row],[Indicador]]*$B$6,Tabla2245[[#This Row],[Indicador]])</f>
        <v>232.04718579999999</v>
      </c>
      <c r="P14" s="31" t="str">
        <f t="shared" si="1"/>
        <v>MJ/Ha</v>
      </c>
      <c r="Q14" s="24">
        <f>(Tabla2245[[#This Row],[Indicador área]]*$B$5)</f>
        <v>2672719.4860443999</v>
      </c>
      <c r="R14" s="23">
        <f>+Tabla2245[[#This Row],[Consumo energía '[MJ/año']]]/$Q$9</f>
        <v>7.098090470395256E-2</v>
      </c>
      <c r="S14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2672719.4860443999</v>
      </c>
    </row>
    <row r="15" spans="1:19" x14ac:dyDescent="0.2">
      <c r="A15" s="40" t="s">
        <v>54</v>
      </c>
      <c r="B15" s="41">
        <v>4604</v>
      </c>
      <c r="C15" s="42" t="s">
        <v>64</v>
      </c>
      <c r="D15" s="42">
        <v>0.98</v>
      </c>
      <c r="E15" s="43">
        <f>VLOOKUP(Tabla5[[#This Row],[Otros cereales]],Tabla2[#All],6,FALSE)</f>
        <v>6.1282244173884136E-3</v>
      </c>
      <c r="G15" s="20" t="s">
        <v>61</v>
      </c>
      <c r="H15" s="21" t="s">
        <v>21</v>
      </c>
      <c r="I15" s="21" t="s">
        <v>85</v>
      </c>
      <c r="J15" s="21" t="s">
        <v>2</v>
      </c>
      <c r="K15" s="21" t="s">
        <v>32</v>
      </c>
      <c r="L15" s="21" t="s">
        <v>31</v>
      </c>
      <c r="M15" s="22">
        <v>1.6107119999999999</v>
      </c>
      <c r="N15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5" s="32">
        <f>IF(Tabla2245[[#This Row],[Parámetro]]="Tn",Tabla2245[[#This Row],[Indicador]]*$B$6,Tabla2245[[#This Row],[Indicador]])</f>
        <v>1.6107119999999999</v>
      </c>
      <c r="P15" s="31" t="str">
        <f t="shared" si="1"/>
        <v>MJ/Ha</v>
      </c>
      <c r="Q15" s="24">
        <f>(Tabla2245[[#This Row],[Indicador área]]*$B$5)</f>
        <v>18552.180816</v>
      </c>
      <c r="R15" s="23">
        <f>+Tabla2245[[#This Row],[Consumo energía '[MJ/año']]]/$Q$9</f>
        <v>4.9270063148299913E-4</v>
      </c>
      <c r="S15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182328.93235679669</v>
      </c>
    </row>
    <row r="16" spans="1:19" x14ac:dyDescent="0.2">
      <c r="A16" s="40" t="s">
        <v>55</v>
      </c>
      <c r="B16" s="41">
        <v>1532</v>
      </c>
      <c r="C16" s="41">
        <v>3793</v>
      </c>
      <c r="D16" s="42">
        <v>2.67</v>
      </c>
      <c r="E16" s="43">
        <f>VLOOKUP(Tabla5[[#This Row],[Otros cereales]],Tabla2[#All],6,FALSE)</f>
        <v>2.0391919651257711E-3</v>
      </c>
      <c r="G16" s="20" t="s">
        <v>61</v>
      </c>
      <c r="H16" s="21" t="s">
        <v>21</v>
      </c>
      <c r="I16" s="21" t="s">
        <v>85</v>
      </c>
      <c r="J16" s="21" t="s">
        <v>9</v>
      </c>
      <c r="K16" s="21" t="s">
        <v>32</v>
      </c>
      <c r="L16" s="21" t="s">
        <v>31</v>
      </c>
      <c r="M16" s="22">
        <v>43.12033735</v>
      </c>
      <c r="N16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6" s="32">
        <f>IF(Tabla2245[[#This Row],[Parámetro]]="Tn",Tabla2245[[#This Row],[Indicador]]*$B$6,Tabla2245[[#This Row],[Indicador]])</f>
        <v>43.12033735</v>
      </c>
      <c r="P16" s="31" t="str">
        <f t="shared" si="1"/>
        <v>MJ/Ha</v>
      </c>
      <c r="Q16" s="24">
        <f>(Tabla2245[[#This Row],[Indicador área]]*$B$5)</f>
        <v>496660.04559729999</v>
      </c>
      <c r="R16" s="23">
        <f>+Tabla2245[[#This Row],[Consumo energía '[MJ/año']]]/$Q$9</f>
        <v>1.3190078326916889E-2</v>
      </c>
      <c r="S16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496660.04559729999</v>
      </c>
    </row>
    <row r="17" spans="1:19" x14ac:dyDescent="0.2">
      <c r="A17" s="40" t="s">
        <v>56</v>
      </c>
      <c r="B17" s="41">
        <v>1494</v>
      </c>
      <c r="C17" s="41">
        <v>3704</v>
      </c>
      <c r="D17" s="42">
        <v>2.65</v>
      </c>
      <c r="E17" s="43">
        <f>VLOOKUP(Tabla5[[#This Row],[Otros cereales]],Tabla2[#All],6,FALSE)</f>
        <v>1.9886114855730431E-3</v>
      </c>
      <c r="G17" s="20" t="s">
        <v>61</v>
      </c>
      <c r="H17" s="21" t="s">
        <v>62</v>
      </c>
      <c r="I17" s="21" t="s">
        <v>85</v>
      </c>
      <c r="J17" s="21" t="s">
        <v>3</v>
      </c>
      <c r="K17" s="21" t="s">
        <v>25</v>
      </c>
      <c r="L17" s="21" t="s">
        <v>31</v>
      </c>
      <c r="M17" s="22">
        <v>7.2365384620000004</v>
      </c>
      <c r="N17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7" s="32">
        <f>IF(Tabla2245[[#This Row],[Parámetro]]="Tn",Tabla2245[[#This Row],[Indicador]]*$B$6,Tabla2245[[#This Row],[Indicador]])</f>
        <v>7.2365384620000004</v>
      </c>
      <c r="P17" s="31" t="str">
        <f t="shared" si="1"/>
        <v>MJ/Ha</v>
      </c>
      <c r="Q17" s="24">
        <f>(Tabla2245[[#This Row],[Indicador área]]*$B$5)</f>
        <v>83350.450005316001</v>
      </c>
      <c r="R17" s="23">
        <f>+Tabla2245[[#This Row],[Consumo energía '[MJ/año']]]/$Q$9</f>
        <v>2.2135844707051365E-3</v>
      </c>
      <c r="S17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83350.450005316001</v>
      </c>
    </row>
    <row r="18" spans="1:19" x14ac:dyDescent="0.2">
      <c r="A18" s="40" t="s">
        <v>58</v>
      </c>
      <c r="B18" s="41">
        <v>1805</v>
      </c>
      <c r="C18" s="41">
        <v>2645</v>
      </c>
      <c r="D18" s="42">
        <v>1.17</v>
      </c>
      <c r="E18" s="43">
        <f>VLOOKUP(Tabla5[[#This Row],[Otros cereales]],Tabla2[#All],6,FALSE)</f>
        <v>2.4025727787545803E-3</v>
      </c>
      <c r="G18" s="20" t="s">
        <v>61</v>
      </c>
      <c r="H18" s="21" t="s">
        <v>62</v>
      </c>
      <c r="I18" s="21" t="s">
        <v>85</v>
      </c>
      <c r="J18" s="21" t="s">
        <v>9</v>
      </c>
      <c r="K18" s="21" t="s">
        <v>63</v>
      </c>
      <c r="L18" s="21" t="s">
        <v>31</v>
      </c>
      <c r="M18" s="22">
        <v>193.21153849999999</v>
      </c>
      <c r="N18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8" s="32">
        <f>IF(Tabla2245[[#This Row],[Parámetro]]="Tn",Tabla2245[[#This Row],[Indicador]]*$B$6,Tabla2245[[#This Row],[Indicador]])</f>
        <v>193.21153849999999</v>
      </c>
      <c r="P18" s="31" t="str">
        <f t="shared" si="1"/>
        <v>MJ/Ha</v>
      </c>
      <c r="Q18" s="24">
        <f>(Tabla2245[[#This Row],[Indicador área]]*$B$5)</f>
        <v>2225410.5004429999</v>
      </c>
      <c r="R18" s="23">
        <f>+Tabla2245[[#This Row],[Consumo energía '[MJ/año']]]/$Q$9</f>
        <v>5.9101470050978572E-2</v>
      </c>
      <c r="S18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2225410.5004429999</v>
      </c>
    </row>
    <row r="19" spans="1:19" x14ac:dyDescent="0.2">
      <c r="A19" s="40" t="s">
        <v>59</v>
      </c>
      <c r="B19" s="42">
        <v>454</v>
      </c>
      <c r="C19" s="42">
        <v>808</v>
      </c>
      <c r="D19" s="42">
        <v>2.17</v>
      </c>
      <c r="E19" s="43">
        <f>VLOOKUP(Tabla5[[#This Row],[Otros cereales]],Tabla2[#All],6,FALSE)</f>
        <v>6.0430362412996087E-4</v>
      </c>
      <c r="G19" s="20" t="s">
        <v>61</v>
      </c>
      <c r="H19" s="21" t="s">
        <v>22</v>
      </c>
      <c r="I19" s="21" t="s">
        <v>85</v>
      </c>
      <c r="J19" s="21" t="s">
        <v>3</v>
      </c>
      <c r="K19" s="21" t="s">
        <v>33</v>
      </c>
      <c r="L19" s="21" t="s">
        <v>31</v>
      </c>
      <c r="M19" s="22">
        <v>708.60082220000004</v>
      </c>
      <c r="N19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19" s="32">
        <f>IF(Tabla2245[[#This Row],[Parámetro]]="Tn",Tabla2245[[#This Row],[Indicador]]*$B$6,Tabla2245[[#This Row],[Indicador]])</f>
        <v>708.60082220000004</v>
      </c>
      <c r="P19" s="31" t="str">
        <f t="shared" si="1"/>
        <v>MJ/Ha</v>
      </c>
      <c r="Q19" s="24">
        <f>(Tabla2245[[#This Row],[Indicador área]]*$B$5)</f>
        <v>8161664.2700996008</v>
      </c>
      <c r="R19" s="23">
        <f>+Tabla2245[[#This Row],[Consumo energía '[MJ/año']]]/$Q$9</f>
        <v>0.21675387814042016</v>
      </c>
      <c r="S19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8161664.2700996008</v>
      </c>
    </row>
    <row r="20" spans="1:19" ht="12.75" hidden="1" customHeight="1" x14ac:dyDescent="0.2">
      <c r="A20" s="40" t="s">
        <v>53</v>
      </c>
      <c r="B20" s="42">
        <v>138</v>
      </c>
      <c r="C20" s="41">
        <v>4206</v>
      </c>
      <c r="D20" s="42">
        <v>2.66</v>
      </c>
      <c r="E20" s="43">
        <f>VLOOKUP(Tabla5[[#This Row],[Otros cereales]],Tabla2[#All],6,FALSE)</f>
        <v>1.8368700469148589E-3</v>
      </c>
      <c r="G20" s="20" t="s">
        <v>61</v>
      </c>
      <c r="H20" s="21" t="s">
        <v>22</v>
      </c>
      <c r="I20" s="21" t="s">
        <v>85</v>
      </c>
      <c r="J20" s="21" t="s">
        <v>9</v>
      </c>
      <c r="K20" s="21" t="s">
        <v>63</v>
      </c>
      <c r="L20" s="21" t="s">
        <v>31</v>
      </c>
      <c r="M20" s="22">
        <v>100.47</v>
      </c>
      <c r="N20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20" s="32">
        <f>IF(Tabla2245[[#This Row],[Parámetro]]="Tn",Tabla2245[[#This Row],[Indicador]]*$B$6,Tabla2245[[#This Row],[Indicador]])</f>
        <v>100.47</v>
      </c>
      <c r="P20" s="31" t="str">
        <f t="shared" si="1"/>
        <v>MJ/Ha</v>
      </c>
      <c r="Q20" s="24">
        <f>(Tabla2245[[#This Row],[Indicador área]]*$B$5)</f>
        <v>1157213.46</v>
      </c>
      <c r="R20" s="23">
        <f>+Tabla2245[[#This Row],[Consumo energía '[MJ/año']]]/$Q$9</f>
        <v>3.0732764420391061E-2</v>
      </c>
      <c r="S20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1157213.46</v>
      </c>
    </row>
    <row r="21" spans="1:19" x14ac:dyDescent="0.2">
      <c r="A21" s="47" t="s">
        <v>57</v>
      </c>
      <c r="B21" s="48">
        <v>1491</v>
      </c>
      <c r="C21" s="48">
        <v>2873</v>
      </c>
      <c r="D21" s="49">
        <v>1.72</v>
      </c>
      <c r="E21" s="50">
        <f>VLOOKUP(Tabla5[[#This Row],[Otros cereales]],Tabla2[#All],6,FALSE)</f>
        <v>1.9846182898188803E-3</v>
      </c>
      <c r="G21" s="20" t="s">
        <v>61</v>
      </c>
      <c r="H21" s="21" t="s">
        <v>23</v>
      </c>
      <c r="I21" s="21" t="s">
        <v>85</v>
      </c>
      <c r="J21" s="21" t="s">
        <v>3</v>
      </c>
      <c r="K21" s="21" t="s">
        <v>34</v>
      </c>
      <c r="L21" s="21" t="s">
        <v>31</v>
      </c>
      <c r="M21" s="22">
        <v>536.36791040000003</v>
      </c>
      <c r="N21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21" s="32">
        <f>IF(Tabla2245[[#This Row],[Parámetro]]="Tn",Tabla2245[[#This Row],[Indicador]]*$B$6,Tabla2245[[#This Row],[Indicador]])</f>
        <v>536.36791040000003</v>
      </c>
      <c r="P21" s="31" t="str">
        <f t="shared" si="1"/>
        <v>MJ/Ha</v>
      </c>
      <c r="Q21" s="24">
        <f>(Tabla2245[[#This Row],[Indicador área]]*$B$5)</f>
        <v>6177885.5919872001</v>
      </c>
      <c r="R21" s="23">
        <f>+Tabla2245[[#This Row],[Consumo energía '[MJ/año']]]/$Q$9</f>
        <v>0.16406955940062329</v>
      </c>
      <c r="S21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6177885.5919872001</v>
      </c>
    </row>
    <row r="22" spans="1:19" x14ac:dyDescent="0.2">
      <c r="A22" s="74" t="s">
        <v>78</v>
      </c>
      <c r="B22" s="75"/>
      <c r="C22" s="75"/>
      <c r="D22" s="75"/>
      <c r="E22" s="76">
        <f>SUBTOTAL(109,Tabla5[% de participación área])</f>
        <v>1.514752256079065E-2</v>
      </c>
      <c r="G22" s="20" t="s">
        <v>61</v>
      </c>
      <c r="H22" s="21" t="s">
        <v>24</v>
      </c>
      <c r="I22" s="21" t="s">
        <v>85</v>
      </c>
      <c r="J22" s="21" t="s">
        <v>3</v>
      </c>
      <c r="K22" s="21" t="s">
        <v>35</v>
      </c>
      <c r="L22" s="21" t="s">
        <v>31</v>
      </c>
      <c r="M22" s="22">
        <v>372.16483520000003</v>
      </c>
      <c r="N22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22" s="32">
        <f>IF(Tabla2245[[#This Row],[Parámetro]]="Tn",Tabla2245[[#This Row],[Indicador]]*$B$6,Tabla2245[[#This Row],[Indicador]])</f>
        <v>372.16483520000003</v>
      </c>
      <c r="P22" s="31" t="str">
        <f t="shared" si="1"/>
        <v>MJ/Ha</v>
      </c>
      <c r="Q22" s="24">
        <f>(Tabla2245[[#This Row],[Indicador área]]*$B$5)</f>
        <v>4286594.5718336003</v>
      </c>
      <c r="R22" s="23">
        <f>+Tabla2245[[#This Row],[Consumo energía '[MJ/año']]]/$Q$9</f>
        <v>0.11384148706833147</v>
      </c>
      <c r="S22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4286594.5718336003</v>
      </c>
    </row>
    <row r="23" spans="1:19" x14ac:dyDescent="0.2">
      <c r="G23" s="20" t="s">
        <v>61</v>
      </c>
      <c r="H23" s="21" t="s">
        <v>25</v>
      </c>
      <c r="I23" s="21" t="s">
        <v>85</v>
      </c>
      <c r="J23" s="21" t="s">
        <v>3</v>
      </c>
      <c r="K23" s="21" t="s">
        <v>25</v>
      </c>
      <c r="L23" s="21" t="s">
        <v>31</v>
      </c>
      <c r="M23" s="22">
        <v>5.1689560439999997</v>
      </c>
      <c r="N23" s="31" t="str">
        <f>IFERROR(RIGHT(Tabla2245[[#This Row],[Unidades indicador producción]], LEN(Tabla2245[[#This Row],[Unidades indicador producción]])-FIND("/", Tabla2245[[#This Row],[Unidades indicador producción]])), "")</f>
        <v>Ha</v>
      </c>
      <c r="O23" s="32">
        <f>IF(Tabla2245[[#This Row],[Parámetro]]="Tn",Tabla2245[[#This Row],[Indicador]]*$B$6,Tabla2245[[#This Row],[Indicador]])</f>
        <v>5.1689560439999997</v>
      </c>
      <c r="P23" s="31" t="str">
        <f t="shared" si="1"/>
        <v>MJ/Ha</v>
      </c>
      <c r="Q23" s="24">
        <f>(Tabla2245[[#This Row],[Indicador área]]*$B$5)</f>
        <v>59536.035714792</v>
      </c>
      <c r="R23" s="23">
        <f>+Tabla2245[[#This Row],[Consumo energía '[MJ/año']]]/$Q$9</f>
        <v>1.5811317647019859E-3</v>
      </c>
      <c r="S23" s="24">
        <f>IF(Tabla2245[[#This Row],[Energético]]="Energía Eléctrica",((Tabla2245[[#This Row],[Participación]]*$D$29)/SUMIF(Tabla2245[Energético],"Energía Eléctrica",Tabla2245[Participación]))*$B$27,Tabla2245[[#This Row],[Consumo energía '[MJ/año']]])</f>
        <v>59536.035714792</v>
      </c>
    </row>
    <row r="24" spans="1:19" x14ac:dyDescent="0.2">
      <c r="S24" s="29"/>
    </row>
    <row r="26" spans="1:19" ht="15.75" x14ac:dyDescent="0.25">
      <c r="A26" s="34" t="s">
        <v>41</v>
      </c>
      <c r="B26" s="34"/>
      <c r="C26" s="34"/>
      <c r="D26" s="34"/>
      <c r="E26" s="33"/>
    </row>
    <row r="27" spans="1:19" x14ac:dyDescent="0.2">
      <c r="B27" s="3">
        <f>SUM(B29:B31)</f>
        <v>37817840.153406247</v>
      </c>
    </row>
    <row r="28" spans="1:19" x14ac:dyDescent="0.2">
      <c r="A28" s="13" t="s">
        <v>0</v>
      </c>
      <c r="B28" s="13" t="s">
        <v>45</v>
      </c>
      <c r="C28" s="13" t="s">
        <v>46</v>
      </c>
      <c r="D28" s="13" t="s">
        <v>1</v>
      </c>
    </row>
    <row r="29" spans="1:19" x14ac:dyDescent="0.2">
      <c r="A29" s="14" t="s">
        <v>2</v>
      </c>
      <c r="B29" s="15">
        <f>B8</f>
        <v>182328.93235679669</v>
      </c>
      <c r="C29" s="9">
        <f>B29/1000000</f>
        <v>0.1823289323567967</v>
      </c>
      <c r="D29" s="16">
        <f>B29/$B$27</f>
        <v>4.8212412876353639E-3</v>
      </c>
      <c r="E29" s="73"/>
    </row>
    <row r="30" spans="1:19" x14ac:dyDescent="0.2">
      <c r="A30" s="14" t="s">
        <v>3</v>
      </c>
      <c r="B30" s="6">
        <f>SUMIF(Tabla2245[Energético],A30,Tabla2245[Consumo energía '[MJ/año']])</f>
        <v>33459505.815026876</v>
      </c>
      <c r="C30" s="9">
        <f t="shared" ref="C30:C31" si="2">B30/1000000</f>
        <v>33.459505815026873</v>
      </c>
      <c r="D30" s="16">
        <f t="shared" ref="D30:D31" si="3">B30/$B$27</f>
        <v>0.88475454122445918</v>
      </c>
      <c r="E30" s="73"/>
    </row>
    <row r="31" spans="1:19" x14ac:dyDescent="0.2">
      <c r="A31" s="14" t="s">
        <v>9</v>
      </c>
      <c r="B31" s="6">
        <f>SUMIF(Tabla2245[Energético],A31,Tabla2245[Consumo energía '[MJ/año']])</f>
        <v>4176005.4060225799</v>
      </c>
      <c r="C31" s="9">
        <f t="shared" si="2"/>
        <v>4.17600540602258</v>
      </c>
      <c r="D31" s="16">
        <f t="shared" si="3"/>
        <v>0.11042421748790558</v>
      </c>
      <c r="E31" s="73"/>
      <c r="S31" s="29"/>
    </row>
    <row r="32" spans="1:19" x14ac:dyDescent="0.2">
      <c r="A32" s="92" t="s">
        <v>78</v>
      </c>
      <c r="B32" s="88">
        <f>SUM(B29:B31)</f>
        <v>37817840.153406247</v>
      </c>
      <c r="C32" s="88">
        <f>SUM(C29:C31)</f>
        <v>37.817840153406252</v>
      </c>
      <c r="D32" s="88">
        <f>SUM(D29:D31)</f>
        <v>1.0000000000000002</v>
      </c>
    </row>
    <row r="33" spans="1:5" x14ac:dyDescent="0.2">
      <c r="E33" s="29"/>
    </row>
    <row r="36" spans="1:5" ht="18" x14ac:dyDescent="0.25">
      <c r="A36" s="35" t="s">
        <v>49</v>
      </c>
      <c r="B36" s="35"/>
      <c r="C36" s="35"/>
    </row>
    <row r="37" spans="1:5" x14ac:dyDescent="0.2">
      <c r="A37" s="8" t="str">
        <f>+A4</f>
        <v>Grupo Homogeneo</v>
      </c>
      <c r="B37" s="8" t="s">
        <v>42</v>
      </c>
      <c r="C37" s="8" t="s">
        <v>43</v>
      </c>
    </row>
    <row r="38" spans="1:5" x14ac:dyDescent="0.2">
      <c r="A38" s="89" t="s">
        <v>83</v>
      </c>
      <c r="B38" s="26">
        <f>B32/B5</f>
        <v>3283.3686537077833</v>
      </c>
      <c r="C38" s="26">
        <f>B38/$B$6</f>
        <v>2091.3176138266135</v>
      </c>
    </row>
  </sheetData>
  <mergeCells count="4">
    <mergeCell ref="A3:B3"/>
    <mergeCell ref="G8:M8"/>
    <mergeCell ref="A26:D26"/>
    <mergeCell ref="A36:C36"/>
  </mergeCells>
  <phoneticPr fontId="9" type="noConversion"/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ADC011-3A9C-4B89-8BB2-E127B3F7787C}">
          <x14:formula1>
            <xm:f>hoja2!$A$1:$A$11</xm:f>
          </x14:formula1>
          <xm:sqref>A29:A31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zoomScale="70" zoomScaleNormal="70" workbookViewId="0">
      <selection activeCell="C1" sqref="C1:Y46"/>
    </sheetView>
  </sheetViews>
  <sheetFormatPr baseColWidth="10" defaultRowHeight="12.75" x14ac:dyDescent="0.2"/>
  <cols>
    <col min="6" max="6" width="16.42578125" bestFit="1" customWidth="1"/>
    <col min="7" max="7" width="20.28515625" customWidth="1"/>
    <col min="10" max="10" width="14.7109375" customWidth="1"/>
    <col min="11" max="11" width="24.5703125" customWidth="1"/>
    <col min="14" max="14" width="11.5703125" bestFit="1" customWidth="1"/>
    <col min="15" max="15" width="12.85546875" bestFit="1" customWidth="1"/>
    <col min="16" max="16" width="14.7109375" customWidth="1"/>
    <col min="17" max="17" width="24.5703125" customWidth="1"/>
    <col min="21" max="21" width="18.5703125" customWidth="1"/>
    <col min="22" max="22" width="16.5703125" customWidth="1"/>
    <col min="23" max="23" width="20.28515625" customWidth="1"/>
  </cols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DE6EC-D5AF-45B1-82DC-225EC13B17FA}">
  <dimension ref="B2:M22"/>
  <sheetViews>
    <sheetView showGridLines="0" tabSelected="1" workbookViewId="0">
      <selection activeCell="D34" sqref="D34"/>
    </sheetView>
  </sheetViews>
  <sheetFormatPr baseColWidth="10" defaultRowHeight="12.75" x14ac:dyDescent="0.2"/>
  <cols>
    <col min="1" max="1" width="11.42578125" style="36"/>
    <col min="2" max="2" width="15.28515625" style="36" bestFit="1" customWidth="1"/>
    <col min="3" max="3" width="16.28515625" style="36" customWidth="1"/>
    <col min="4" max="5" width="15" style="36" customWidth="1"/>
    <col min="6" max="6" width="14.42578125" style="36" customWidth="1"/>
    <col min="7" max="7" width="11.5703125" style="36" bestFit="1" customWidth="1"/>
    <col min="8" max="9" width="11.42578125" style="36"/>
    <col min="10" max="11" width="11.5703125" style="36" bestFit="1" customWidth="1"/>
    <col min="12" max="12" width="14.42578125" style="36" customWidth="1"/>
    <col min="13" max="13" width="11.5703125" style="36" customWidth="1"/>
    <col min="14" max="15" width="11.42578125" style="36"/>
    <col min="16" max="17" width="11.5703125" style="36" bestFit="1" customWidth="1"/>
    <col min="18" max="18" width="12.7109375" style="36" customWidth="1"/>
    <col min="19" max="16384" width="11.42578125" style="36"/>
  </cols>
  <sheetData>
    <row r="2" spans="2:13" ht="27.75" x14ac:dyDescent="0.4">
      <c r="B2" s="63" t="s">
        <v>78</v>
      </c>
      <c r="C2" s="63"/>
      <c r="D2" s="63"/>
      <c r="E2" s="63"/>
    </row>
    <row r="3" spans="2:13" x14ac:dyDescent="0.2">
      <c r="B3" s="13" t="s">
        <v>0</v>
      </c>
      <c r="C3" s="13" t="s">
        <v>45</v>
      </c>
      <c r="D3" s="13" t="s">
        <v>46</v>
      </c>
      <c r="E3" s="13" t="s">
        <v>1</v>
      </c>
    </row>
    <row r="4" spans="2:13" s="68" customFormat="1" x14ac:dyDescent="0.2">
      <c r="B4" s="59" t="s">
        <v>2</v>
      </c>
      <c r="C4" s="62">
        <f>+Maíz!B37+Soya!B40+'Otros cereales '!B29</f>
        <v>8829010.418595003</v>
      </c>
      <c r="D4" s="60">
        <f>+C4/1000000</f>
        <v>8.8290104185950025</v>
      </c>
      <c r="E4" s="61">
        <f>C4/$C$7</f>
        <v>3.5409938822019106E-3</v>
      </c>
    </row>
    <row r="5" spans="2:13" x14ac:dyDescent="0.2">
      <c r="B5" s="59" t="s">
        <v>3</v>
      </c>
      <c r="C5" s="62">
        <f>+Maíz!B38+Soya!B41+'Otros cereales '!B30</f>
        <v>2260775895.9585419</v>
      </c>
      <c r="D5" s="60">
        <f>+C5/1000000</f>
        <v>2260.7758959585417</v>
      </c>
      <c r="E5" s="61">
        <f>C5/$C$7</f>
        <v>0.90671470947167276</v>
      </c>
    </row>
    <row r="6" spans="2:13" x14ac:dyDescent="0.2">
      <c r="B6" s="59" t="s">
        <v>9</v>
      </c>
      <c r="C6" s="62">
        <f>+Maíz!B39+Soya!B42+'Otros cereales '!B31</f>
        <v>223765800.35360286</v>
      </c>
      <c r="D6" s="60">
        <f>+C6/1000000</f>
        <v>223.76580035360286</v>
      </c>
      <c r="E6" s="61">
        <f>C6/$C$7</f>
        <v>8.9744296646125404E-2</v>
      </c>
    </row>
    <row r="7" spans="2:13" x14ac:dyDescent="0.2">
      <c r="B7" s="64" t="s">
        <v>78</v>
      </c>
      <c r="C7" s="65">
        <f>+Maíz!B40+Soya!B38+'Otros cereales '!B27</f>
        <v>2493370706.7307396</v>
      </c>
      <c r="D7" s="66">
        <f>+C7/1000000</f>
        <v>2493.3707067307396</v>
      </c>
      <c r="E7" s="67">
        <f>SUM(E4:E6)</f>
        <v>1</v>
      </c>
    </row>
    <row r="13" spans="2:13" x14ac:dyDescent="0.2">
      <c r="I13" s="55"/>
      <c r="J13" s="56"/>
      <c r="K13" s="56"/>
      <c r="L13" s="55"/>
      <c r="M13" s="57"/>
    </row>
    <row r="14" spans="2:13" x14ac:dyDescent="0.2">
      <c r="I14" s="55"/>
      <c r="J14" s="55"/>
      <c r="K14" s="55"/>
      <c r="L14" s="55"/>
      <c r="M14" s="57"/>
    </row>
    <row r="22" spans="9:9" x14ac:dyDescent="0.2">
      <c r="I22" s="30"/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Maíz</vt:lpstr>
      <vt:lpstr>Soya</vt:lpstr>
      <vt:lpstr>Otros cereales </vt:lpstr>
      <vt:lpstr>hoja2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2024-01-23T21:36:16Z</dcterms:modified>
</cp:coreProperties>
</file>