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E80E31C0-ABD8-4368-BE54-BCB6BAF74847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Ganado" sheetId="1" r:id="rId1"/>
    <sheet name="Hoja3" sheetId="3" state="hidden" r:id="rId2"/>
    <sheet name="Hoja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" i="1" l="1"/>
  <c r="D31" i="1"/>
  <c r="B6" i="1"/>
  <c r="C21" i="1" l="1"/>
  <c r="L33" i="1" l="1"/>
  <c r="B16" i="1" l="1"/>
  <c r="I83" i="1"/>
  <c r="A84" i="1"/>
  <c r="A46" i="1"/>
  <c r="B21" i="1"/>
  <c r="A83" i="1" l="1"/>
  <c r="C25" i="1" l="1"/>
  <c r="B53" i="1" s="1"/>
  <c r="B54" i="1" s="1"/>
  <c r="B75" i="1" s="1"/>
  <c r="C75" i="1" s="1"/>
  <c r="C24" i="1"/>
  <c r="B20" i="1" l="1"/>
  <c r="B52" i="1" s="1"/>
  <c r="B19" i="1"/>
  <c r="B5" i="1" s="1"/>
  <c r="L59" i="1" l="1"/>
  <c r="L72" i="1"/>
  <c r="N72" i="1" s="1"/>
  <c r="L74" i="1"/>
  <c r="N74" i="1" s="1"/>
  <c r="L58" i="1"/>
  <c r="N58" i="1" s="1"/>
  <c r="L73" i="1"/>
  <c r="L60" i="1"/>
  <c r="L71" i="1"/>
  <c r="L75" i="1"/>
  <c r="N75" i="1" s="1"/>
  <c r="N33" i="1"/>
  <c r="L32" i="1"/>
  <c r="N32" i="1" s="1"/>
  <c r="L28" i="1"/>
  <c r="N28" i="1" s="1"/>
  <c r="L23" i="1"/>
  <c r="N23" i="1" s="1"/>
  <c r="L31" i="1"/>
  <c r="L27" i="1"/>
  <c r="L22" i="1"/>
  <c r="N22" i="1" s="1"/>
  <c r="L30" i="1"/>
  <c r="L26" i="1"/>
  <c r="L21" i="1"/>
  <c r="L29" i="1"/>
  <c r="L24" i="1"/>
  <c r="L56" i="1"/>
  <c r="L69" i="1"/>
  <c r="L65" i="1"/>
  <c r="L61" i="1"/>
  <c r="L55" i="1"/>
  <c r="L53" i="1"/>
  <c r="L68" i="1"/>
  <c r="L64" i="1"/>
  <c r="L57" i="1"/>
  <c r="L54" i="1"/>
  <c r="L67" i="1"/>
  <c r="L63" i="1"/>
  <c r="L70" i="1"/>
  <c r="N70" i="1" s="1"/>
  <c r="L66" i="1"/>
  <c r="L62" i="1"/>
  <c r="N59" i="1"/>
  <c r="N31" i="1"/>
  <c r="L25" i="1"/>
  <c r="B7" i="1"/>
  <c r="B39" i="1" s="1"/>
  <c r="B103" i="1" s="1"/>
  <c r="C103" i="1" s="1"/>
  <c r="A45" i="1"/>
  <c r="B77" i="1" l="1"/>
  <c r="B76" i="1"/>
  <c r="K51" i="1"/>
  <c r="B78" i="1"/>
  <c r="C39" i="1"/>
  <c r="M74" i="1" l="1"/>
  <c r="M71" i="1"/>
  <c r="M75" i="1"/>
  <c r="M72" i="1"/>
  <c r="M73" i="1"/>
  <c r="M58" i="1"/>
  <c r="M59" i="1"/>
  <c r="M63" i="1"/>
  <c r="M67" i="1"/>
  <c r="M70" i="1"/>
  <c r="M60" i="1"/>
  <c r="M64" i="1"/>
  <c r="M68" i="1"/>
  <c r="M66" i="1"/>
  <c r="M61" i="1"/>
  <c r="M65" i="1"/>
  <c r="M69" i="1"/>
  <c r="M62" i="1"/>
  <c r="M56" i="1"/>
  <c r="M53" i="1"/>
  <c r="M55" i="1"/>
  <c r="M57" i="1"/>
  <c r="M54" i="1"/>
  <c r="C78" i="1"/>
  <c r="B106" i="1"/>
  <c r="C106" i="1" s="1"/>
  <c r="B79" i="1"/>
  <c r="D77" i="1" s="1"/>
  <c r="C76" i="1"/>
  <c r="C77" i="1"/>
  <c r="C79" i="1" l="1"/>
  <c r="B84" i="1"/>
  <c r="D75" i="1"/>
  <c r="D78" i="1"/>
  <c r="D76" i="1"/>
  <c r="D79" i="1" l="1"/>
  <c r="N71" i="1"/>
  <c r="N69" i="1"/>
  <c r="N65" i="1"/>
  <c r="N73" i="1"/>
  <c r="N67" i="1"/>
  <c r="N63" i="1"/>
  <c r="N56" i="1"/>
  <c r="N57" i="1"/>
  <c r="N54" i="1"/>
  <c r="N61" i="1"/>
  <c r="N68" i="1"/>
  <c r="N66" i="1"/>
  <c r="N64" i="1"/>
  <c r="N60" i="1"/>
  <c r="N62" i="1"/>
  <c r="N53" i="1"/>
  <c r="N55" i="1"/>
  <c r="N24" i="1"/>
  <c r="N30" i="1"/>
  <c r="B41" i="1"/>
  <c r="N26" i="1"/>
  <c r="B40" i="1"/>
  <c r="K19" i="1"/>
  <c r="M33" i="1" l="1"/>
  <c r="B42" i="1"/>
  <c r="D39" i="1" s="1"/>
  <c r="C40" i="1"/>
  <c r="M26" i="1"/>
  <c r="M24" i="1"/>
  <c r="M32" i="1"/>
  <c r="M22" i="1"/>
  <c r="M30" i="1"/>
  <c r="B104" i="1"/>
  <c r="M31" i="1"/>
  <c r="M21" i="1"/>
  <c r="M28" i="1"/>
  <c r="M25" i="1"/>
  <c r="M29" i="1"/>
  <c r="C41" i="1"/>
  <c r="B105" i="1"/>
  <c r="M27" i="1"/>
  <c r="M23" i="1"/>
  <c r="N21" i="1" l="1"/>
  <c r="N29" i="1"/>
  <c r="B46" i="1"/>
  <c r="N27" i="1"/>
  <c r="D41" i="1"/>
  <c r="D40" i="1"/>
  <c r="N25" i="1"/>
  <c r="C42" i="1"/>
  <c r="I85" i="1"/>
  <c r="I86" i="1" s="1"/>
  <c r="I87" i="1" s="1"/>
  <c r="C105" i="1"/>
  <c r="G85" i="1"/>
  <c r="G86" i="1" s="1"/>
  <c r="G87" i="1" s="1"/>
  <c r="B107" i="1"/>
  <c r="D104" i="1" s="1"/>
  <c r="C104" i="1"/>
  <c r="D42" i="1" l="1"/>
  <c r="C107" i="1"/>
  <c r="D103" i="1"/>
  <c r="D106" i="1"/>
  <c r="D105" i="1"/>
  <c r="D107" i="1" l="1"/>
</calcChain>
</file>

<file path=xl/sharedStrings.xml><?xml version="1.0" encoding="utf-8"?>
<sst xmlns="http://schemas.openxmlformats.org/spreadsheetml/2006/main" count="301" uniqueCount="92">
  <si>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</si>
  <si>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</si>
  <si>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</si>
  <si>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</si>
  <si>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</si>
  <si>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</si>
  <si>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</si>
  <si>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</si>
  <si>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</si>
  <si>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</si>
  <si>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</si>
  <si>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</si>
  <si>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</si>
  <si>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Consumo Eléctricidad por sector</t>
  </si>
  <si>
    <t>Grupo Homogéneo</t>
  </si>
  <si>
    <t>Proceso</t>
  </si>
  <si>
    <t>Energético</t>
  </si>
  <si>
    <t>Fumigación</t>
  </si>
  <si>
    <t>Preparación del terreno</t>
  </si>
  <si>
    <t>Transporte interno</t>
  </si>
  <si>
    <t>Indicador</t>
  </si>
  <si>
    <t>Consumo energía [MJ]</t>
  </si>
  <si>
    <t>Tabla 7 y Tabla 10</t>
  </si>
  <si>
    <t>Grupo Homogeneo</t>
  </si>
  <si>
    <t>MJ/año</t>
  </si>
  <si>
    <t>TJ/año</t>
  </si>
  <si>
    <t>Total [MJ]</t>
  </si>
  <si>
    <t>Tabla 9</t>
  </si>
  <si>
    <t>Tabla 8. Indicador producción (lo encerrado va al excel)</t>
  </si>
  <si>
    <t>Ganado</t>
  </si>
  <si>
    <t>Mantenimiento</t>
  </si>
  <si>
    <t>Crianza y crecimiento</t>
  </si>
  <si>
    <t>Alimentación</t>
  </si>
  <si>
    <t>Ordeño</t>
  </si>
  <si>
    <t>Preparación de alimento in situ</t>
  </si>
  <si>
    <t>Enfriamiento leche</t>
  </si>
  <si>
    <t>Aspersión antiparasitaria</t>
  </si>
  <si>
    <t xml:space="preserve">Mantenimiento </t>
  </si>
  <si>
    <t>Unidades indicador área</t>
  </si>
  <si>
    <t>Dato de información secundaria [Cabezas]</t>
  </si>
  <si>
    <t>Número de cabezas Colombia</t>
  </si>
  <si>
    <t>Ganado solo</t>
  </si>
  <si>
    <t>Leche</t>
  </si>
  <si>
    <t>Numero de cabezas totales</t>
  </si>
  <si>
    <t>Consumo Eléctricidad por sector [MJ]</t>
  </si>
  <si>
    <t>Ganado (Leche)</t>
  </si>
  <si>
    <t>Indicador [MJ/Cabeza]</t>
  </si>
  <si>
    <t>MJ/Número de cabezas</t>
  </si>
  <si>
    <t>TOTAL</t>
  </si>
  <si>
    <t>Consumo MJ/año</t>
  </si>
  <si>
    <t>Consumo Gal/año</t>
  </si>
  <si>
    <t>Gal/vaca</t>
  </si>
  <si>
    <t>Poder calorifico [MJ/Gal]</t>
  </si>
  <si>
    <t>Uso final de energía</t>
  </si>
  <si>
    <t>Fuerza motriz</t>
  </si>
  <si>
    <t>Otros</t>
  </si>
  <si>
    <t>Calor directo</t>
  </si>
  <si>
    <t>Refrigeración</t>
  </si>
  <si>
    <t xml:space="preserve">Explotación mixta (agrícola y pecuaria) </t>
  </si>
  <si>
    <t>&lt;1000</t>
  </si>
  <si>
    <t>501-1000</t>
  </si>
  <si>
    <t>251-500</t>
  </si>
  <si>
    <t>101-250</t>
  </si>
  <si>
    <t>&lt;100</t>
  </si>
  <si>
    <t>Ganado pequeño</t>
  </si>
  <si>
    <t>Ganado (Leche) grande</t>
  </si>
  <si>
    <t>Ganado (Leche) pequeño</t>
  </si>
  <si>
    <t>Ganado grande</t>
  </si>
  <si>
    <t>Tamaño según número de vacas</t>
  </si>
  <si>
    <t>040- Cifras referencia: https://www.fedegan.org.co/estadisticas/documentos-de-estadistica</t>
  </si>
  <si>
    <t>Referencia</t>
  </si>
  <si>
    <t>Cría de ganado bovino y bufalino</t>
  </si>
  <si>
    <t>Cría de ovejas y cabras</t>
  </si>
  <si>
    <t>Actividades de apoyo a la ganadería</t>
  </si>
  <si>
    <t>Caza ordinaria y mediante trampas y actividades de servicios conexas</t>
  </si>
  <si>
    <t>Sector</t>
  </si>
  <si>
    <t>Consumo Eléctricidad por sector [kWh/año]</t>
  </si>
  <si>
    <t>Total</t>
  </si>
  <si>
    <t>Numero de cabezas totales ganado solo</t>
  </si>
  <si>
    <t>Numero de cabezas totales ganado leche</t>
  </si>
  <si>
    <t>Tabla 8. Indicador producción</t>
  </si>
  <si>
    <t>Consumo energía corregido [MJ]</t>
  </si>
  <si>
    <t>Item</t>
  </si>
  <si>
    <t>Cantidad</t>
  </si>
  <si>
    <t>Distribución</t>
  </si>
  <si>
    <t>Consumo Eléctricidad [kWh/año]</t>
  </si>
  <si>
    <t>Dato comercial por CIIU de XM [kWh]</t>
  </si>
  <si>
    <t>Repartido entre ganado y hortalizas</t>
  </si>
  <si>
    <t>Dato de información secundaria [Cabezas] referencia ICA</t>
  </si>
  <si>
    <t>Participación total &gt;100 (ganado grande)</t>
  </si>
  <si>
    <t>Consumo Eléctricidad por sector [MJ/año]</t>
  </si>
  <si>
    <t>Dato comercial por CIIU de XM [kWh/año]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</si>
</sst>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theme="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b/>
      <sz val="14"/>
      <color theme="0"/>
      <name val="Arial"/>
      <family val="2"/>
    </font>
    <font>
      <b/>
      <sz val="10"/>
      <color rgb="FFFFFFFF"/>
      <name val="Arial"/>
      <family val="2"/>
    </font>
    <font>
      <sz val="10"/>
      <color theme="1" tint="4.9989318521683403E-2"/>
      <name val="Arial"/>
      <family val="2"/>
    </font>
    <font>
      <b/>
      <sz val="10"/>
      <color theme="1" tint="4.9989318521683403E-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70AD47"/>
        <bgColor rgb="FF70AD47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4" fontId="4" fillId="5" borderId="0" xfId="0" applyNumberFormat="1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4" fontId="3" fillId="9" borderId="1" xfId="0" applyNumberFormat="1" applyFont="1" applyFill="1" applyBorder="1" applyAlignment="1">
      <alignment horizontal="center" vertical="center"/>
    </xf>
    <xf numFmtId="10" fontId="3" fillId="9" borderId="1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9" fontId="0" fillId="0" borderId="1" xfId="0" applyNumberFormat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0" fontId="3" fillId="0" borderId="0" xfId="0" applyFont="1" applyBorder="1" applyAlignment="1">
      <alignment vertical="center" wrapText="1"/>
    </xf>
    <xf numFmtId="4" fontId="0" fillId="0" borderId="0" xfId="0" applyNumberFormat="1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Font="1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10" fontId="0" fillId="2" borderId="1" xfId="0" applyNumberFormat="1" applyFill="1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9" fontId="0" fillId="0" borderId="0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4" fontId="0" fillId="2" borderId="1" xfId="0" applyNumberFormat="1" applyFont="1" applyFill="1" applyBorder="1" applyAlignment="1">
      <alignment vertical="center"/>
    </xf>
    <xf numFmtId="0" fontId="3" fillId="9" borderId="1" xfId="0" applyFont="1" applyFill="1" applyBorder="1" applyAlignment="1">
      <alignment vertical="center"/>
    </xf>
    <xf numFmtId="4" fontId="3" fillId="9" borderId="1" xfId="0" applyNumberFormat="1" applyFont="1" applyFill="1" applyBorder="1" applyAlignment="1">
      <alignment vertical="center"/>
    </xf>
    <xf numFmtId="10" fontId="3" fillId="9" borderId="1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10" fontId="0" fillId="0" borderId="1" xfId="1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10" fontId="0" fillId="0" borderId="8" xfId="1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8" xfId="0" applyBorder="1" applyAlignment="1">
      <alignment vertical="center"/>
    </xf>
    <xf numFmtId="4" fontId="0" fillId="0" borderId="8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9" fontId="15" fillId="0" borderId="0" xfId="1" applyFont="1" applyFill="1" applyBorder="1" applyAlignment="1">
      <alignment vertical="center"/>
    </xf>
    <xf numFmtId="9" fontId="16" fillId="9" borderId="1" xfId="0" applyNumberFormat="1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vertical="center"/>
    </xf>
    <xf numFmtId="4" fontId="16" fillId="9" borderId="1" xfId="0" applyNumberFormat="1" applyFont="1" applyFill="1" applyBorder="1" applyAlignment="1">
      <alignment vertical="center"/>
    </xf>
    <xf numFmtId="9" fontId="15" fillId="0" borderId="1" xfId="1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28"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20:N33" totalsRowShown="0" headerRowDxfId="27" dataDxfId="25" headerRowBorderDxfId="26" tableBorderDxfId="24" totalsRowBorderDxfId="23">
  <autoFilter ref="F20:N33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sortState xmlns:xlrd2="http://schemas.microsoft.com/office/spreadsheetml/2017/richdata2" ref="F20:L21">
    <sortCondition descending="1" ref="L20"/>
  </sortState>
  <tableColumns count="9">
    <tableColumn id="1" xr3:uid="{097AA7CE-2C19-4522-AFCC-2D7077ABB6B9}" name="Grupo Homogéneo" dataDxfId="22"/>
    <tableColumn id="2" xr3:uid="{B5D1F10D-371F-4B26-972F-7E20D881EF10}" name="Proceso" dataDxfId="21"/>
    <tableColumn id="8" xr3:uid="{EC7508A9-FE6A-42E8-A4A0-44AC3FFEC97C}" name="Uso final de energía" dataDxfId="20"/>
    <tableColumn id="3" xr3:uid="{D5C4E4C9-E4CD-42F0-B878-EAED958F5FA0}" name="Energético" dataDxfId="19"/>
    <tableColumn id="4" xr3:uid="{B7B5D837-72C9-44E9-A5D9-0A2D73C6B023}" name="Unidades indicador área" dataDxfId="18"/>
    <tableColumn id="5" xr3:uid="{3CF749A7-0CC3-4EAE-8383-BA07291F80FF}" name="Indicador" dataDxfId="17"/>
    <tableColumn id="10" xr3:uid="{E16307D2-7B0D-4BEC-94C3-8D5C9401D2A7}" name="Consumo energía [MJ]" dataDxfId="16">
      <calculatedColumnFormula>+Tabla2[[#This Row],[Indicador]]*$B$5</calculatedColumnFormula>
    </tableColumn>
    <tableColumn id="6" xr3:uid="{29CE9E35-4AB5-4E2A-9FC3-AF7FF7E48311}" name="Participación" dataDxfId="15" dataCellStyle="Porcentaje">
      <calculatedColumnFormula>Tabla2[[#This Row],[Consumo energía '[MJ']]]/$K$19</calculatedColumnFormula>
    </tableColumn>
    <tableColumn id="7" xr3:uid="{41A1524C-293F-4F9C-9889-9346E92CE4D4}" name="Consumo energía corregido [MJ]" dataDxfId="14">
      <calculatedColumnFormula>IF(Tabla2[[#This Row],[Energético]]="Energía Eléctrica",((Tabla2[[#This Row],[Participación]]*$D$39)/SUMIF(Tabla2[Energético],"Energía Eléctrica",Tabla2[Participación]))*$B$42,Tabla2[[#This Row],[Consumo energía '[MJ']]])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0C7477-BE36-4777-BA9C-40498CDD0F54}" name="Tabla22" displayName="Tabla22" ref="F52:N75" totalsRowShown="0" headerRowDxfId="13" dataDxfId="11" headerRowBorderDxfId="12" tableBorderDxfId="10" totalsRowBorderDxfId="9">
  <autoFilter ref="F52:N75" xr:uid="{B90C7477-BE36-4777-BA9C-40498CDD0F5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sortState xmlns:xlrd2="http://schemas.microsoft.com/office/spreadsheetml/2017/richdata2" ref="F52:L53">
    <sortCondition descending="1" ref="L32"/>
  </sortState>
  <tableColumns count="9">
    <tableColumn id="1" xr3:uid="{9444A40F-2CE1-4371-A03D-2B4E8579D55C}" name="Grupo Homogéneo" dataDxfId="8"/>
    <tableColumn id="2" xr3:uid="{2387CC74-AC6D-482C-BED1-3370ED3A4420}" name="Proceso" dataDxfId="7"/>
    <tableColumn id="8" xr3:uid="{4AC77187-3B07-4E3F-A42C-C9E8D2FDBE7B}" name="Uso final de energía" dataDxfId="6"/>
    <tableColumn id="3" xr3:uid="{57EDC96B-CFED-408F-950F-A0CB02BC35DF}" name="Energético" dataDxfId="5"/>
    <tableColumn id="4" xr3:uid="{7877DE35-6BE5-4B13-A6BE-94F77CA701E0}" name="Unidades indicador área" dataDxfId="4"/>
    <tableColumn id="5" xr3:uid="{8CCBAA55-FF5D-423B-9650-5AC8E2672F91}" name="Indicador" dataDxfId="3"/>
    <tableColumn id="10" xr3:uid="{5B1FCE81-278A-4A0C-9C97-4A1EAE4ABE6E}" name="Consumo energía [MJ]" dataDxfId="2">
      <calculatedColumnFormula>Tabla22[[#This Row],[Indicador]]*$B$52</calculatedColumnFormula>
    </tableColumn>
    <tableColumn id="6" xr3:uid="{E6DCA151-DAA4-4B5F-9C5C-B9D1D9EDA315}" name="Participación" dataDxfId="1" dataCellStyle="Porcentaje">
      <calculatedColumnFormula>+Tabla22[[#This Row],[Consumo energía '[MJ']]]/$K$51</calculatedColumnFormula>
    </tableColumn>
    <tableColumn id="7" xr3:uid="{A99229EC-2E12-4249-9BC9-7B37CED2063E}" name="Consumo energía corregido [MJ]" dataDxfId="0">
      <calculatedColumnFormula>IF(Tabla22[[#This Row],[Energético]]="Energía Eléctrica",((Tabla22[[#This Row],[Participación]]*$D$75)/SUMIF(Tabla22[Energético],"Energía Eléctrica",Tabla22[Participación]))*$B$79,Tabla22[[#This Row],[Consumo energía '[MJ']]])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N107"/>
  <sheetViews>
    <sheetView showGridLines="0" tabSelected="1" zoomScaleNormal="100" workbookViewId="0">
      <selection activeCell="C7" sqref="C7"/>
    </sheetView>
  </sheetViews>
  <sheetFormatPr baseColWidth="10" defaultRowHeight="12.75" x14ac:dyDescent="0.2"/>
  <cols>
    <col min="1" max="1" width="46.5703125" style="23" customWidth="1"/>
    <col min="2" max="2" width="21.7109375" style="23" customWidth="1"/>
    <col min="3" max="3" width="40.140625" style="23" bestFit="1" customWidth="1"/>
    <col min="4" max="4" width="27.85546875" style="23" customWidth="1"/>
    <col min="5" max="5" width="21.42578125" style="23" customWidth="1"/>
    <col min="6" max="6" width="25.7109375" style="23" customWidth="1"/>
    <col min="7" max="7" width="30.5703125" style="23" customWidth="1"/>
    <col min="8" max="8" width="26.5703125" style="23" customWidth="1"/>
    <col min="9" max="9" width="30" style="23" customWidth="1"/>
    <col min="10" max="10" width="19.7109375" style="23" customWidth="1"/>
    <col min="11" max="11" width="24.5703125" style="23" customWidth="1"/>
    <col min="12" max="12" width="27.140625" style="23" customWidth="1"/>
    <col min="13" max="13" width="14.85546875" style="23" customWidth="1"/>
    <col min="14" max="14" width="23.7109375" style="23" customWidth="1"/>
    <col min="15" max="16384" width="11.42578125" style="23"/>
  </cols>
  <sheetData>
    <row r="1" spans="1:4" ht="18" x14ac:dyDescent="0.2">
      <c r="A1" s="22"/>
    </row>
    <row r="3" spans="1:4" ht="18" x14ac:dyDescent="0.2">
      <c r="A3" s="76" t="s">
        <v>75</v>
      </c>
      <c r="B3" s="77"/>
    </row>
    <row r="4" spans="1:4" x14ac:dyDescent="0.2">
      <c r="A4" s="27" t="s">
        <v>23</v>
      </c>
      <c r="B4" s="28" t="s">
        <v>29</v>
      </c>
    </row>
    <row r="5" spans="1:4" x14ac:dyDescent="0.2">
      <c r="A5" s="27" t="s">
        <v>40</v>
      </c>
      <c r="B5" s="29">
        <f>+B19</f>
        <v>18076523.399999999</v>
      </c>
      <c r="C5" s="30" t="s">
        <v>88</v>
      </c>
    </row>
    <row r="6" spans="1:4" x14ac:dyDescent="0.2">
      <c r="A6" s="31" t="s">
        <v>13</v>
      </c>
      <c r="B6" s="29">
        <f>+C24</f>
        <v>2642802.9227608168</v>
      </c>
      <c r="C6" s="30" t="s">
        <v>91</v>
      </c>
    </row>
    <row r="7" spans="1:4" x14ac:dyDescent="0.2">
      <c r="A7" s="31" t="s">
        <v>90</v>
      </c>
      <c r="B7" s="26">
        <f>+B6*3.6</f>
        <v>9514090.5219389405</v>
      </c>
      <c r="C7" s="32"/>
      <c r="D7" s="33"/>
    </row>
    <row r="8" spans="1:4" x14ac:dyDescent="0.2">
      <c r="A8" s="34"/>
      <c r="B8" s="35"/>
      <c r="C8" s="32"/>
      <c r="D8" s="33"/>
    </row>
    <row r="9" spans="1:4" x14ac:dyDescent="0.2">
      <c r="C9" s="1"/>
      <c r="D9" s="1"/>
    </row>
    <row r="10" spans="1:4" ht="25.5" x14ac:dyDescent="0.2">
      <c r="A10" s="17" t="s">
        <v>75</v>
      </c>
      <c r="B10" s="17" t="s">
        <v>76</v>
      </c>
    </row>
    <row r="11" spans="1:4" x14ac:dyDescent="0.2">
      <c r="A11" s="39" t="s">
        <v>71</v>
      </c>
      <c r="B11" s="40">
        <v>414382.0794331783</v>
      </c>
    </row>
    <row r="12" spans="1:4" x14ac:dyDescent="0.2">
      <c r="A12" s="39" t="s">
        <v>72</v>
      </c>
      <c r="B12" s="40">
        <v>110388.17899091047</v>
      </c>
    </row>
    <row r="13" spans="1:4" x14ac:dyDescent="0.2">
      <c r="A13" s="24" t="s">
        <v>73</v>
      </c>
      <c r="B13" s="40">
        <v>1287527.7213765914</v>
      </c>
    </row>
    <row r="14" spans="1:4" x14ac:dyDescent="0.2">
      <c r="A14" s="67" t="s">
        <v>74</v>
      </c>
      <c r="B14" s="68">
        <v>1053225.6467678719</v>
      </c>
    </row>
    <row r="15" spans="1:4" x14ac:dyDescent="0.2">
      <c r="A15" s="66" t="s">
        <v>58</v>
      </c>
      <c r="B15" s="40">
        <v>3078295.8227322856</v>
      </c>
      <c r="C15" s="70" t="s">
        <v>87</v>
      </c>
      <c r="D15" s="75">
        <v>0.5</v>
      </c>
    </row>
    <row r="16" spans="1:4" ht="15.75" x14ac:dyDescent="0.2">
      <c r="A16" s="17" t="s">
        <v>77</v>
      </c>
      <c r="B16" s="21">
        <f>+SUM(B11:B14)+B15*D15</f>
        <v>4404671.5379346944</v>
      </c>
      <c r="D16" s="71"/>
    </row>
    <row r="17" spans="1:14" x14ac:dyDescent="0.2">
      <c r="D17" s="33"/>
    </row>
    <row r="18" spans="1:14" ht="15.75" x14ac:dyDescent="0.2">
      <c r="A18" s="17" t="s">
        <v>82</v>
      </c>
      <c r="B18" s="17" t="s">
        <v>83</v>
      </c>
      <c r="C18" s="17" t="s">
        <v>84</v>
      </c>
      <c r="D18" s="33"/>
      <c r="F18" s="81" t="s">
        <v>80</v>
      </c>
      <c r="G18" s="81"/>
      <c r="H18" s="81"/>
      <c r="I18" s="81"/>
      <c r="J18" s="81"/>
      <c r="N18" s="5" t="s">
        <v>26</v>
      </c>
    </row>
    <row r="19" spans="1:14" ht="35.25" customHeight="1" x14ac:dyDescent="0.2">
      <c r="A19" s="24" t="s">
        <v>78</v>
      </c>
      <c r="B19" s="26">
        <f>C19*B21</f>
        <v>18076523.399999999</v>
      </c>
      <c r="C19" s="60">
        <v>0.6</v>
      </c>
      <c r="D19" s="33"/>
      <c r="K19" s="83">
        <f>SUM(Tabla2[Consumo energía '[MJ']])</f>
        <v>13272164483.716133</v>
      </c>
      <c r="N19" s="14">
        <f>SUM(Tabla2[Consumo energía corregido '[MJ']])</f>
        <v>12198086315.371004</v>
      </c>
    </row>
    <row r="20" spans="1:14" s="1" customFormat="1" ht="25.5" x14ac:dyDescent="0.2">
      <c r="A20" s="24" t="s">
        <v>79</v>
      </c>
      <c r="B20" s="26">
        <f>C20*B21</f>
        <v>12051015.600000001</v>
      </c>
      <c r="C20" s="60">
        <v>0.4</v>
      </c>
      <c r="F20" s="9" t="s">
        <v>14</v>
      </c>
      <c r="G20" s="10" t="s">
        <v>15</v>
      </c>
      <c r="H20" s="10" t="s">
        <v>53</v>
      </c>
      <c r="I20" s="10" t="s">
        <v>16</v>
      </c>
      <c r="J20" s="11" t="s">
        <v>38</v>
      </c>
      <c r="K20" s="10" t="s">
        <v>20</v>
      </c>
      <c r="L20" s="12" t="s">
        <v>21</v>
      </c>
      <c r="M20" s="10" t="s">
        <v>1</v>
      </c>
      <c r="N20" s="10" t="s">
        <v>81</v>
      </c>
    </row>
    <row r="21" spans="1:14" x14ac:dyDescent="0.2">
      <c r="A21" s="73" t="s">
        <v>43</v>
      </c>
      <c r="B21" s="74">
        <f>29642539+485000</f>
        <v>30127539</v>
      </c>
      <c r="C21" s="72">
        <f>SUM(C19:C20)</f>
        <v>1</v>
      </c>
      <c r="F21" s="36" t="s">
        <v>64</v>
      </c>
      <c r="G21" s="37" t="s">
        <v>31</v>
      </c>
      <c r="H21" s="37" t="s">
        <v>55</v>
      </c>
      <c r="I21" s="37" t="s">
        <v>2</v>
      </c>
      <c r="J21" s="37" t="s">
        <v>47</v>
      </c>
      <c r="K21" s="38">
        <v>3.8016000000000001</v>
      </c>
      <c r="L21" s="61">
        <f>+Tabla2[[#This Row],[Indicador]]*$B$5*B34</f>
        <v>27213005.69754624</v>
      </c>
      <c r="M21" s="62">
        <f>Tabla2[[#This Row],[Consumo energía '[MJ']]]/$K$19</f>
        <v>2.0503818899271771E-3</v>
      </c>
      <c r="N21" s="69">
        <f>IF(Tabla2[[#This Row],[Energético]]="Energía Eléctrica",((Tabla2[[#This Row],[Participación]]*$D$39)/SUMIF(Tabla2[Energético],"Energía Eléctrica",Tabla2[Participación]))*$B$42,Tabla2[[#This Row],[Consumo energía '[MJ']]])</f>
        <v>238933.96936149322</v>
      </c>
    </row>
    <row r="22" spans="1:14" x14ac:dyDescent="0.2">
      <c r="A22" s="34"/>
      <c r="B22" s="35"/>
      <c r="C22" s="32"/>
      <c r="F22" s="36" t="s">
        <v>64</v>
      </c>
      <c r="G22" s="37" t="s">
        <v>19</v>
      </c>
      <c r="H22" s="37" t="s">
        <v>54</v>
      </c>
      <c r="I22" s="37" t="s">
        <v>3</v>
      </c>
      <c r="J22" s="37" t="s">
        <v>47</v>
      </c>
      <c r="K22" s="38">
        <v>303.93461538461997</v>
      </c>
      <c r="L22" s="61">
        <f>+Tabla2[[#This Row],[Indicador]]*$B$5*B34</f>
        <v>2175656150.0797529</v>
      </c>
      <c r="M22" s="62">
        <f>Tabla2[[#This Row],[Consumo energía '[MJ']]]/$K$19</f>
        <v>0.16392624976499545</v>
      </c>
      <c r="N22" s="69">
        <f>IF(Tabla2[[#This Row],[Energético]]="Energía Eléctrica",((Tabla2[[#This Row],[Participación]]*$D$39)/SUMIF(Tabla2[Energético],"Energía Eléctrica",Tabla2[Participación]))*$B$42,Tabla2[[#This Row],[Consumo energía '[MJ']]])</f>
        <v>2175656150.0797529</v>
      </c>
    </row>
    <row r="23" spans="1:14" x14ac:dyDescent="0.2">
      <c r="A23" s="17" t="s">
        <v>82</v>
      </c>
      <c r="B23" s="17" t="s">
        <v>84</v>
      </c>
      <c r="C23" s="17" t="s">
        <v>85</v>
      </c>
      <c r="F23" s="36" t="s">
        <v>64</v>
      </c>
      <c r="G23" s="37" t="s">
        <v>32</v>
      </c>
      <c r="H23" s="37" t="s">
        <v>54</v>
      </c>
      <c r="I23" s="37" t="s">
        <v>9</v>
      </c>
      <c r="J23" s="37" t="s">
        <v>47</v>
      </c>
      <c r="K23" s="38">
        <v>300.87330128205002</v>
      </c>
      <c r="L23" s="61">
        <f>+Tabla2[[#This Row],[Indicador]]*$B$5*B34</f>
        <v>2153742335.3398499</v>
      </c>
      <c r="M23" s="62">
        <f>Tabla2[[#This Row],[Consumo energía '[MJ']]]/$K$19</f>
        <v>0.16227513891817094</v>
      </c>
      <c r="N23" s="69">
        <f>IF(Tabla2[[#This Row],[Energético]]="Energía Eléctrica",((Tabla2[[#This Row],[Participación]]*$D$39)/SUMIF(Tabla2[Energético],"Energía Eléctrica",Tabla2[Participación]))*$B$42,Tabla2[[#This Row],[Consumo energía '[MJ']]])</f>
        <v>2153742335.3398499</v>
      </c>
    </row>
    <row r="24" spans="1:14" x14ac:dyDescent="0.2">
      <c r="A24" s="24" t="s">
        <v>41</v>
      </c>
      <c r="B24" s="25">
        <v>0.6</v>
      </c>
      <c r="C24" s="26">
        <f>B24*B16</f>
        <v>2642802.9227608168</v>
      </c>
      <c r="F24" s="36" t="s">
        <v>64</v>
      </c>
      <c r="G24" s="37" t="s">
        <v>36</v>
      </c>
      <c r="H24" s="37" t="s">
        <v>54</v>
      </c>
      <c r="I24" s="37" t="s">
        <v>9</v>
      </c>
      <c r="J24" s="37" t="s">
        <v>47</v>
      </c>
      <c r="K24" s="38">
        <v>0.13119793814</v>
      </c>
      <c r="L24" s="61">
        <f>+Tabla2[[#This Row],[Indicador]]*$B$5*B34</f>
        <v>939154.62913250702</v>
      </c>
      <c r="M24" s="65">
        <f>Tabla2[[#This Row],[Consumo energía '[MJ']]]/$K$19</f>
        <v>7.0761225893845224E-5</v>
      </c>
      <c r="N24" s="69">
        <f>IF(Tabla2[[#This Row],[Energético]]="Energía Eléctrica",((Tabla2[[#This Row],[Participación]]*$D$39)/SUMIF(Tabla2[Energético],"Energía Eléctrica",Tabla2[Participación]))*$B$42,Tabla2[[#This Row],[Consumo energía '[MJ']]])</f>
        <v>939154.62913250702</v>
      </c>
    </row>
    <row r="25" spans="1:14" x14ac:dyDescent="0.2">
      <c r="A25" s="24" t="s">
        <v>42</v>
      </c>
      <c r="B25" s="25">
        <v>0.4</v>
      </c>
      <c r="C25" s="26">
        <f>+B16*B25</f>
        <v>1761868.6151738779</v>
      </c>
      <c r="F25" s="36" t="s">
        <v>64</v>
      </c>
      <c r="G25" s="37" t="s">
        <v>37</v>
      </c>
      <c r="H25" s="37" t="s">
        <v>54</v>
      </c>
      <c r="I25" s="37" t="s">
        <v>9</v>
      </c>
      <c r="J25" s="37" t="s">
        <v>47</v>
      </c>
      <c r="K25" s="38">
        <v>11.30088755485</v>
      </c>
      <c r="L25" s="61">
        <f>+Tabla2[[#This Row],[Indicador]]*$B$5*B34</f>
        <v>80895180.297101855</v>
      </c>
      <c r="M25" s="62">
        <f>Tabla2[[#This Row],[Consumo energía '[MJ']]]/$K$19</f>
        <v>6.0951007950778239E-3</v>
      </c>
      <c r="N25" s="63">
        <f>IF(Tabla2[[#This Row],[Energético]]="Energía Eléctrica",((Tabla2[[#This Row],[Participación]]*$D$39)/SUMIF(Tabla2[Energético],"Energía Eléctrica",Tabla2[Participación]))*$B$42,Tabla2[[#This Row],[Consumo energía '[MJ']]])</f>
        <v>80895180.297101855</v>
      </c>
    </row>
    <row r="26" spans="1:14" x14ac:dyDescent="0.2">
      <c r="F26" s="36" t="s">
        <v>67</v>
      </c>
      <c r="G26" s="37" t="s">
        <v>18</v>
      </c>
      <c r="H26" s="41" t="s">
        <v>54</v>
      </c>
      <c r="I26" s="41" t="s">
        <v>9</v>
      </c>
      <c r="J26" s="37" t="s">
        <v>47</v>
      </c>
      <c r="K26" s="38">
        <v>12.55875</v>
      </c>
      <c r="L26" s="61">
        <f>+Tabla2[[#This Row],[Indicador]]*$B$5*D31</f>
        <v>137119197.10284898</v>
      </c>
      <c r="M26" s="62">
        <f>Tabla2[[#This Row],[Consumo energía '[MJ']]]/$K$19</f>
        <v>1.033133648027668E-2</v>
      </c>
      <c r="N26" s="63">
        <f>IF(Tabla2[[#This Row],[Energético]]="Energía Eléctrica",((Tabla2[[#This Row],[Participación]]*$D$39)/SUMIF(Tabla2[Energético],"Energía Eléctrica",Tabla2[Participación]))*$B$42,Tabla2[[#This Row],[Consumo energía '[MJ']]])</f>
        <v>137119197.10284898</v>
      </c>
    </row>
    <row r="27" spans="1:14" x14ac:dyDescent="0.2">
      <c r="F27" s="36" t="s">
        <v>67</v>
      </c>
      <c r="G27" s="37" t="s">
        <v>31</v>
      </c>
      <c r="H27" s="37" t="s">
        <v>55</v>
      </c>
      <c r="I27" s="37" t="s">
        <v>2</v>
      </c>
      <c r="J27" s="37" t="s">
        <v>47</v>
      </c>
      <c r="K27" s="38">
        <v>3.8016000000000001</v>
      </c>
      <c r="L27" s="61">
        <f>+Tabla2[[#This Row],[Indicador]]*$B$5*D31</f>
        <v>41506705.659893759</v>
      </c>
      <c r="M27" s="62">
        <f>Tabla2[[#This Row],[Consumo energía '[MJ']]]/$K$19</f>
        <v>3.1273501553434717E-3</v>
      </c>
      <c r="N27" s="63">
        <f>IF(Tabla2[[#This Row],[Energético]]="Energía Eléctrica",((Tabla2[[#This Row],[Participación]]*$D$39)/SUMIF(Tabla2[Energético],"Energía Eléctrica",Tabla2[Participación]))*$B$42,Tabla2[[#This Row],[Consumo energía '[MJ']]])</f>
        <v>364434.64013722696</v>
      </c>
    </row>
    <row r="28" spans="1:14" x14ac:dyDescent="0.2">
      <c r="A28" s="42" t="s">
        <v>70</v>
      </c>
      <c r="B28" s="42" t="s">
        <v>69</v>
      </c>
      <c r="F28" s="36" t="s">
        <v>67</v>
      </c>
      <c r="G28" s="37" t="s">
        <v>19</v>
      </c>
      <c r="H28" s="37" t="s">
        <v>54</v>
      </c>
      <c r="I28" s="37" t="s">
        <v>3</v>
      </c>
      <c r="J28" s="37" t="s">
        <v>47</v>
      </c>
      <c r="K28" s="38">
        <v>303.93461538461997</v>
      </c>
      <c r="L28" s="61">
        <f>+Tabla2[[#This Row],[Indicador]]*$B$5*D31</f>
        <v>3318425036.9903297</v>
      </c>
      <c r="M28" s="62">
        <f>Tabla2[[#This Row],[Consumo energía '[MJ']]]/$K$19</f>
        <v>0.25002892640923546</v>
      </c>
      <c r="N28" s="63">
        <f>IF(Tabla2[[#This Row],[Energético]]="Energía Eléctrica",((Tabla2[[#This Row],[Participación]]*$D$39)/SUMIF(Tabla2[Energético],"Energía Eléctrica",Tabla2[Participación]))*$B$42,Tabla2[[#This Row],[Consumo energía '[MJ']]])</f>
        <v>3318425036.9903297</v>
      </c>
    </row>
    <row r="29" spans="1:14" x14ac:dyDescent="0.2">
      <c r="A29" s="6" t="s">
        <v>68</v>
      </c>
      <c r="B29" s="6" t="s">
        <v>1</v>
      </c>
      <c r="F29" s="36" t="s">
        <v>67</v>
      </c>
      <c r="G29" s="37" t="s">
        <v>32</v>
      </c>
      <c r="H29" s="37" t="s">
        <v>54</v>
      </c>
      <c r="I29" s="37" t="s">
        <v>2</v>
      </c>
      <c r="J29" s="37" t="s">
        <v>47</v>
      </c>
      <c r="K29" s="38">
        <v>92.952196886600007</v>
      </c>
      <c r="L29" s="61">
        <f>+Tabla2[[#This Row],[Indicador]]*$B$5*D31</f>
        <v>1014872547.5096272</v>
      </c>
      <c r="M29" s="62">
        <f>Tabla2[[#This Row],[Consumo energía '[MJ']]]/$K$19</f>
        <v>7.6466242469703669E-2</v>
      </c>
      <c r="N29" s="63">
        <f>IF(Tabla2[[#This Row],[Energético]]="Energía Eléctrica",((Tabla2[[#This Row],[Participación]]*$D$39)/SUMIF(Tabla2[Energético],"Energía Eléctrica",Tabla2[Participación]))*$B$42,Tabla2[[#This Row],[Consumo energía '[MJ']]])</f>
        <v>8910721.9124402199</v>
      </c>
    </row>
    <row r="30" spans="1:14" ht="25.5" x14ac:dyDescent="0.2">
      <c r="A30" s="43" t="s">
        <v>59</v>
      </c>
      <c r="B30" s="44">
        <v>0.106</v>
      </c>
      <c r="D30" s="6" t="s">
        <v>89</v>
      </c>
      <c r="F30" s="36" t="s">
        <v>67</v>
      </c>
      <c r="G30" s="37" t="s">
        <v>32</v>
      </c>
      <c r="H30" s="37" t="s">
        <v>54</v>
      </c>
      <c r="I30" s="37" t="s">
        <v>9</v>
      </c>
      <c r="J30" s="37" t="s">
        <v>47</v>
      </c>
      <c r="K30" s="38">
        <v>300.87330128205002</v>
      </c>
      <c r="L30" s="61">
        <f>+Tabla2[[#This Row],[Indicador]]*$B$5*D31</f>
        <v>3285000935.7203765</v>
      </c>
      <c r="M30" s="62">
        <f>Tabla2[[#This Row],[Consumo energía '[MJ']]]/$K$19</f>
        <v>0.24751056542064451</v>
      </c>
      <c r="N30" s="63">
        <f>IF(Tabla2[[#This Row],[Energético]]="Energía Eléctrica",((Tabla2[[#This Row],[Participación]]*$D$39)/SUMIF(Tabla2[Energético],"Energía Eléctrica",Tabla2[Participación]))*$B$42,Tabla2[[#This Row],[Consumo energía '[MJ']]])</f>
        <v>3285000935.7203765</v>
      </c>
    </row>
    <row r="31" spans="1:14" x14ac:dyDescent="0.2">
      <c r="A31" s="43" t="s">
        <v>60</v>
      </c>
      <c r="B31" s="44">
        <v>0.11899999999999999</v>
      </c>
      <c r="D31" s="16">
        <f>SUM(B30:B33)</f>
        <v>0.60399999999999998</v>
      </c>
      <c r="F31" s="36" t="s">
        <v>67</v>
      </c>
      <c r="G31" s="37" t="s">
        <v>36</v>
      </c>
      <c r="H31" s="37" t="s">
        <v>54</v>
      </c>
      <c r="I31" s="37" t="s">
        <v>9</v>
      </c>
      <c r="J31" s="37" t="s">
        <v>47</v>
      </c>
      <c r="K31" s="38">
        <v>0.13119793814</v>
      </c>
      <c r="L31" s="61">
        <f>+Tabla2[[#This Row],[Indicador]]*$B$5*D31</f>
        <v>1432447.969686955</v>
      </c>
      <c r="M31" s="62">
        <f>Tabla2[[#This Row],[Consumo energía '[MJ']]]/$K$19</f>
        <v>1.079287384845518E-4</v>
      </c>
      <c r="N31" s="63">
        <f>IF(Tabla2[[#This Row],[Energético]]="Energía Eléctrica",((Tabla2[[#This Row],[Participación]]*$D$39)/SUMIF(Tabla2[Energético],"Energía Eléctrica",Tabla2[Participación]))*$B$42,Tabla2[[#This Row],[Consumo energía '[MJ']]])</f>
        <v>1432447.969686955</v>
      </c>
    </row>
    <row r="32" spans="1:14" x14ac:dyDescent="0.2">
      <c r="A32" s="43" t="s">
        <v>61</v>
      </c>
      <c r="B32" s="44">
        <v>0.156</v>
      </c>
      <c r="F32" s="36" t="s">
        <v>67</v>
      </c>
      <c r="G32" s="37" t="s">
        <v>37</v>
      </c>
      <c r="H32" s="37" t="s">
        <v>54</v>
      </c>
      <c r="I32" s="37" t="s">
        <v>3</v>
      </c>
      <c r="J32" s="37" t="s">
        <v>47</v>
      </c>
      <c r="K32" s="38">
        <v>94.828806089739999</v>
      </c>
      <c r="L32" s="64">
        <f>+Tabla2[[#This Row],[Indicador]]*$B$5*D31</f>
        <v>1035361779.8942493</v>
      </c>
      <c r="M32" s="65">
        <f>Tabla2[[#This Row],[Consumo energía '[MJ']]]/$K$19</f>
        <v>7.8010017217956723E-2</v>
      </c>
      <c r="N32" s="63">
        <f>IF(Tabla2[[#This Row],[Energético]]="Energía Eléctrica",((Tabla2[[#This Row],[Participación]]*$D$39)/SUMIF(Tabla2[Energético],"Energía Eléctrica",Tabla2[Participación]))*$B$42,Tabla2[[#This Row],[Consumo energía '[MJ']]])</f>
        <v>1035361779.8942493</v>
      </c>
    </row>
    <row r="33" spans="1:14" x14ac:dyDescent="0.2">
      <c r="A33" s="43" t="s">
        <v>62</v>
      </c>
      <c r="B33" s="44">
        <v>0.223</v>
      </c>
      <c r="F33" s="36" t="s">
        <v>67</v>
      </c>
      <c r="G33" s="37" t="s">
        <v>37</v>
      </c>
      <c r="H33" s="37" t="s">
        <v>54</v>
      </c>
      <c r="I33" s="37" t="s">
        <v>9</v>
      </c>
      <c r="J33" s="37" t="s">
        <v>47</v>
      </c>
      <c r="K33" s="38">
        <v>11.30088755485</v>
      </c>
      <c r="L33" s="61">
        <f>+Tabla2[[#This Row],[Indicador]]*D31</f>
        <v>6.8257360831293994</v>
      </c>
      <c r="M33" s="62">
        <f>Tabla2[[#This Row],[Consumo energía '[MJ']]]/$K$19</f>
        <v>5.1428959394709301E-10</v>
      </c>
      <c r="N33" s="63">
        <f>IF(Tabla2[[#This Row],[Energético]]="Energía Eléctrica",((Tabla2[[#This Row],[Participación]]*$D$39)/SUMIF(Tabla2[Energético],"Energía Eléctrica",Tabla2[Participación]))*$B$42,Tabla2[[#This Row],[Consumo energía '[MJ']]])</f>
        <v>6.8257360831293994</v>
      </c>
    </row>
    <row r="34" spans="1:14" x14ac:dyDescent="0.2">
      <c r="A34" s="24" t="s">
        <v>63</v>
      </c>
      <c r="B34" s="45">
        <v>0.39600000000000002</v>
      </c>
      <c r="F34" s="46"/>
      <c r="G34" s="47"/>
      <c r="H34" s="35"/>
      <c r="I34" s="46"/>
    </row>
    <row r="35" spans="1:14" x14ac:dyDescent="0.2">
      <c r="F35" s="46"/>
      <c r="G35" s="46"/>
      <c r="H35" s="46"/>
      <c r="I35" s="46"/>
    </row>
    <row r="36" spans="1:14" ht="15.75" x14ac:dyDescent="0.2">
      <c r="A36" s="81" t="s">
        <v>22</v>
      </c>
      <c r="B36" s="81"/>
      <c r="C36" s="81"/>
      <c r="D36" s="81"/>
      <c r="F36" s="46"/>
      <c r="G36" s="47"/>
      <c r="H36" s="35"/>
      <c r="I36" s="46"/>
    </row>
    <row r="37" spans="1:14" x14ac:dyDescent="0.2">
      <c r="F37" s="46"/>
      <c r="G37" s="47"/>
      <c r="H37" s="35"/>
      <c r="I37" s="46"/>
    </row>
    <row r="38" spans="1:14" x14ac:dyDescent="0.2">
      <c r="A38" s="6" t="s">
        <v>0</v>
      </c>
      <c r="B38" s="6" t="s">
        <v>24</v>
      </c>
      <c r="C38" s="6" t="s">
        <v>25</v>
      </c>
      <c r="D38" s="6" t="s">
        <v>1</v>
      </c>
      <c r="F38" s="46"/>
      <c r="G38" s="47"/>
      <c r="H38" s="35"/>
      <c r="I38" s="46"/>
    </row>
    <row r="39" spans="1:14" x14ac:dyDescent="0.2">
      <c r="A39" s="48" t="s">
        <v>2</v>
      </c>
      <c r="B39" s="40">
        <f>B7</f>
        <v>9514090.5219389405</v>
      </c>
      <c r="C39" s="7">
        <f>Ganado!$B39/1000000</f>
        <v>9.5140905219389413</v>
      </c>
      <c r="D39" s="13">
        <f>B39/$B$42</f>
        <v>7.7996583037374348E-4</v>
      </c>
      <c r="F39" s="46"/>
      <c r="G39" s="47"/>
      <c r="H39" s="35"/>
      <c r="I39" s="46"/>
    </row>
    <row r="40" spans="1:14" x14ac:dyDescent="0.2">
      <c r="A40" s="48" t="s">
        <v>3</v>
      </c>
      <c r="B40" s="49">
        <f>SUMIF(Tabla2[Energético],A40,Tabla2[Consumo energía '[MJ']])</f>
        <v>6529442966.9643316</v>
      </c>
      <c r="C40" s="7">
        <f>Ganado!$B40/1000000</f>
        <v>6529.4429669643314</v>
      </c>
      <c r="D40" s="8">
        <f>B40/$B$42</f>
        <v>0.53528420755118589</v>
      </c>
      <c r="F40" s="46"/>
      <c r="G40" s="46"/>
      <c r="H40" s="46"/>
      <c r="I40" s="46"/>
    </row>
    <row r="41" spans="1:14" x14ac:dyDescent="0.2">
      <c r="A41" s="48" t="s">
        <v>9</v>
      </c>
      <c r="B41" s="49">
        <f>SUMIF(Tabla2[Energético],A41,Tabla2[Consumo energía '[MJ']])</f>
        <v>5659129257.8847322</v>
      </c>
      <c r="C41" s="7">
        <f>Ganado!$B41/1000000</f>
        <v>5659.1292578847324</v>
      </c>
      <c r="D41" s="8">
        <f>B41/$B$42</f>
        <v>0.46393582661844046</v>
      </c>
    </row>
    <row r="42" spans="1:14" x14ac:dyDescent="0.2">
      <c r="A42" s="50" t="s">
        <v>77</v>
      </c>
      <c r="B42" s="51">
        <f>SUM(B39:B41)</f>
        <v>12198086315.371002</v>
      </c>
      <c r="C42" s="18">
        <f>SUM(C39:C41)</f>
        <v>12198.086315371002</v>
      </c>
      <c r="D42" s="52">
        <f>+D41+D40+D39</f>
        <v>1</v>
      </c>
    </row>
    <row r="44" spans="1:14" ht="18" x14ac:dyDescent="0.2">
      <c r="A44" s="78" t="s">
        <v>27</v>
      </c>
      <c r="B44" s="78"/>
    </row>
    <row r="45" spans="1:14" x14ac:dyDescent="0.2">
      <c r="A45" s="2" t="str">
        <f>+A4</f>
        <v>Grupo Homogeneo</v>
      </c>
      <c r="B45" s="2" t="s">
        <v>46</v>
      </c>
    </row>
    <row r="46" spans="1:14" x14ac:dyDescent="0.2">
      <c r="A46" s="3" t="str">
        <f>+B4</f>
        <v>Ganado</v>
      </c>
      <c r="B46" s="4">
        <f>+B42/B5</f>
        <v>674.80267335980125</v>
      </c>
    </row>
    <row r="50" spans="1:14" ht="18" x14ac:dyDescent="0.2">
      <c r="A50" s="79" t="s">
        <v>75</v>
      </c>
      <c r="B50" s="80"/>
      <c r="F50" s="81" t="s">
        <v>28</v>
      </c>
      <c r="G50" s="81"/>
      <c r="H50" s="81"/>
      <c r="I50" s="81"/>
      <c r="J50" s="81"/>
      <c r="K50" s="5" t="s">
        <v>26</v>
      </c>
    </row>
    <row r="51" spans="1:14" ht="15.75" x14ac:dyDescent="0.2">
      <c r="A51" s="27" t="s">
        <v>23</v>
      </c>
      <c r="B51" s="28" t="s">
        <v>45</v>
      </c>
      <c r="K51" s="14">
        <f>SUM(Tabla22[Consumo energía '[MJ']])</f>
        <v>865472339.04870796</v>
      </c>
    </row>
    <row r="52" spans="1:14" ht="25.5" x14ac:dyDescent="0.2">
      <c r="A52" s="27" t="s">
        <v>40</v>
      </c>
      <c r="B52" s="29">
        <f>+B20</f>
        <v>12051015.600000001</v>
      </c>
      <c r="C52" s="30" t="s">
        <v>39</v>
      </c>
      <c r="F52" s="9" t="s">
        <v>14</v>
      </c>
      <c r="G52" s="10" t="s">
        <v>15</v>
      </c>
      <c r="H52" s="10" t="s">
        <v>53</v>
      </c>
      <c r="I52" s="10" t="s">
        <v>16</v>
      </c>
      <c r="J52" s="11" t="s">
        <v>38</v>
      </c>
      <c r="K52" s="10" t="s">
        <v>20</v>
      </c>
      <c r="L52" s="12" t="s">
        <v>21</v>
      </c>
      <c r="M52" s="10" t="s">
        <v>1</v>
      </c>
      <c r="N52" s="10" t="s">
        <v>81</v>
      </c>
    </row>
    <row r="53" spans="1:14" x14ac:dyDescent="0.2">
      <c r="A53" s="31" t="s">
        <v>13</v>
      </c>
      <c r="B53" s="29">
        <f>C25</f>
        <v>1761868.6151738779</v>
      </c>
      <c r="C53" s="30" t="s">
        <v>86</v>
      </c>
      <c r="F53" s="36" t="s">
        <v>66</v>
      </c>
      <c r="G53" s="53" t="s">
        <v>17</v>
      </c>
      <c r="H53" s="37" t="s">
        <v>54</v>
      </c>
      <c r="I53" s="37" t="s">
        <v>9</v>
      </c>
      <c r="J53" s="37" t="s">
        <v>47</v>
      </c>
      <c r="K53" s="38">
        <v>4.8660683760700003</v>
      </c>
      <c r="L53" s="61">
        <f>Tabla22[[#This Row],[Indicador]]*$B$52*B34</f>
        <v>23221862.100631755</v>
      </c>
      <c r="M53" s="62">
        <f>+Tabla22[[#This Row],[Consumo energía '[MJ']]]/$K$51</f>
        <v>2.6831431870088747E-2</v>
      </c>
      <c r="N53" s="63">
        <f>IF(Tabla22[[#This Row],[Energético]]="Energía Eléctrica",((Tabla22[[#This Row],[Participación]]*$D$75)/SUMIF(Tabla22[Energético],"Energía Eléctrica",Tabla22[Participación]))*$B$79,Tabla22[[#This Row],[Consumo energía '[MJ']]])</f>
        <v>23221862.100631755</v>
      </c>
    </row>
    <row r="54" spans="1:14" x14ac:dyDescent="0.2">
      <c r="A54" s="31" t="s">
        <v>44</v>
      </c>
      <c r="B54" s="26">
        <f>+B53*3.6</f>
        <v>6342727.014625961</v>
      </c>
      <c r="C54" s="32"/>
      <c r="F54" s="36" t="s">
        <v>66</v>
      </c>
      <c r="G54" s="37" t="s">
        <v>31</v>
      </c>
      <c r="H54" s="37" t="s">
        <v>54</v>
      </c>
      <c r="I54" s="37" t="s">
        <v>2</v>
      </c>
      <c r="J54" s="37" t="s">
        <v>47</v>
      </c>
      <c r="K54" s="38">
        <v>0.12474115384999999</v>
      </c>
      <c r="L54" s="61">
        <f>Tabla22[[#This Row],[Indicador]]*$B$52*B34</f>
        <v>595290.00603930675</v>
      </c>
      <c r="M54" s="62">
        <f>+Tabla22[[#This Row],[Consumo energía '[MJ']]]/$K$51</f>
        <v>6.8782094953332112E-4</v>
      </c>
      <c r="N54" s="63">
        <f>IF(Tabla22[[#This Row],[Energético]]="Energía Eléctrica",((Tabla22[[#This Row],[Participación]]*$D$75)/SUMIF(Tabla22[Energético],"Energía Eléctrica",Tabla22[Participación]))*$B$79,Tabla22[[#This Row],[Consumo energía '[MJ']]])</f>
        <v>8725.2183474532885</v>
      </c>
    </row>
    <row r="55" spans="1:14" ht="35.25" customHeight="1" x14ac:dyDescent="0.2">
      <c r="F55" s="36" t="s">
        <v>66</v>
      </c>
      <c r="G55" s="53" t="s">
        <v>31</v>
      </c>
      <c r="H55" s="37" t="s">
        <v>55</v>
      </c>
      <c r="I55" s="37" t="s">
        <v>2</v>
      </c>
      <c r="J55" s="37" t="s">
        <v>47</v>
      </c>
      <c r="K55" s="38">
        <v>0.12474115384999999</v>
      </c>
      <c r="L55" s="61">
        <f>Tabla22[[#This Row],[Indicador]]*$B$52*B34</f>
        <v>595290.00603930675</v>
      </c>
      <c r="M55" s="62">
        <f>+Tabla22[[#This Row],[Consumo energía '[MJ']]]/$K$51</f>
        <v>6.8782094953332112E-4</v>
      </c>
      <c r="N55" s="63">
        <f>IF(Tabla22[[#This Row],[Energético]]="Energía Eléctrica",((Tabla22[[#This Row],[Participación]]*$D$75)/SUMIF(Tabla22[Energético],"Energía Eléctrica",Tabla22[Participación]))*$B$79,Tabla22[[#This Row],[Consumo energía '[MJ']]])</f>
        <v>8725.2183474532885</v>
      </c>
    </row>
    <row r="56" spans="1:14" s="1" customFormat="1" x14ac:dyDescent="0.2">
      <c r="A56" s="20"/>
      <c r="B56" s="20"/>
      <c r="C56" s="20"/>
      <c r="F56" s="36" t="s">
        <v>66</v>
      </c>
      <c r="G56" s="37" t="s">
        <v>32</v>
      </c>
      <c r="H56" s="37" t="s">
        <v>54</v>
      </c>
      <c r="I56" s="37" t="s">
        <v>2</v>
      </c>
      <c r="J56" s="37" t="s">
        <v>47</v>
      </c>
      <c r="K56" s="38">
        <v>8.2686850232300007</v>
      </c>
      <c r="L56" s="61">
        <f>Tabla22[[#This Row],[Indicador]]*$B$52*B34</f>
        <v>39459836.67374672</v>
      </c>
      <c r="M56" s="62">
        <f>+Tabla22[[#This Row],[Consumo energía '[MJ']]]/$K$51</f>
        <v>4.5593411705242212E-2</v>
      </c>
      <c r="N56" s="63">
        <f>IF(Tabla22[[#This Row],[Energético]]="Energía Eléctrica",((Tabla22[[#This Row],[Participación]]*$D$75)/SUMIF(Tabla22[Energético],"Energía Eléctrica",Tabla22[Participación]))*$B$79,Tabla22[[#This Row],[Consumo energía '[MJ']]])</f>
        <v>578366.3213565714</v>
      </c>
    </row>
    <row r="57" spans="1:14" x14ac:dyDescent="0.2">
      <c r="A57" s="46"/>
      <c r="B57" s="46"/>
      <c r="C57" s="46"/>
      <c r="F57" s="36" t="s">
        <v>66</v>
      </c>
      <c r="G57" s="37" t="s">
        <v>33</v>
      </c>
      <c r="H57" s="37" t="s">
        <v>54</v>
      </c>
      <c r="I57" s="37" t="s">
        <v>2</v>
      </c>
      <c r="J57" s="54" t="s">
        <v>47</v>
      </c>
      <c r="K57" s="38">
        <v>0.89483999999999997</v>
      </c>
      <c r="L57" s="61">
        <f>Tabla22[[#This Row],[Indicador]]*$B$52*B34</f>
        <v>4270357.3966035843</v>
      </c>
      <c r="M57" s="62">
        <f>+Tabla22[[#This Row],[Consumo energía '[MJ']]]/$K$51</f>
        <v>4.9341350427182778E-3</v>
      </c>
      <c r="N57" s="63">
        <f>IF(Tabla22[[#This Row],[Energético]]="Energía Eléctrica",((Tabla22[[#This Row],[Participación]]*$D$75)/SUMIF(Tabla22[Energético],"Energía Eléctrica",Tabla22[Participación]))*$B$79,Tabla22[[#This Row],[Consumo energía '[MJ']]])</f>
        <v>62591.006616980238</v>
      </c>
    </row>
    <row r="58" spans="1:14" x14ac:dyDescent="0.2">
      <c r="A58" s="46"/>
      <c r="B58" s="46"/>
      <c r="C58" s="46"/>
      <c r="F58" s="36" t="s">
        <v>66</v>
      </c>
      <c r="G58" s="37" t="s">
        <v>33</v>
      </c>
      <c r="H58" s="37" t="s">
        <v>54</v>
      </c>
      <c r="I58" s="37" t="s">
        <v>9</v>
      </c>
      <c r="J58" s="37" t="s">
        <v>47</v>
      </c>
      <c r="K58" s="38">
        <v>6.4403846153800002</v>
      </c>
      <c r="L58" s="61">
        <f>Tabla22[[#This Row],[Indicador]]*$B$52*B34</f>
        <v>30734817.48609798</v>
      </c>
      <c r="M58" s="62">
        <f>+Tabla22[[#This Row],[Consumo energía '[MJ']]]/$K$51</f>
        <v>3.5512189239786038E-2</v>
      </c>
      <c r="N58" s="63">
        <f>IF(Tabla22[[#This Row],[Energético]]="Energía Eléctrica",((Tabla22[[#This Row],[Participación]]*$D$75)/SUMIF(Tabla22[Energético],"Energía Eléctrica",Tabla22[Participación]))*$B$79,Tabla22[[#This Row],[Consumo energía '[MJ']]])</f>
        <v>30734817.48609798</v>
      </c>
    </row>
    <row r="59" spans="1:14" x14ac:dyDescent="0.2">
      <c r="A59" s="46"/>
      <c r="B59" s="46"/>
      <c r="C59" s="46"/>
      <c r="F59" s="36" t="s">
        <v>66</v>
      </c>
      <c r="G59" s="37" t="s">
        <v>36</v>
      </c>
      <c r="H59" s="37" t="s">
        <v>54</v>
      </c>
      <c r="I59" s="37" t="s">
        <v>9</v>
      </c>
      <c r="J59" s="37" t="s">
        <v>47</v>
      </c>
      <c r="K59" s="38">
        <v>1.288076923</v>
      </c>
      <c r="L59" s="61">
        <f>Tabla22[[#This Row],[Indicador]]*$B$52*B34</f>
        <v>6146963.4968569083</v>
      </c>
      <c r="M59" s="62">
        <f>+Tabla22[[#This Row],[Consumo energía '[MJ']]]/$K$51</f>
        <v>7.1024378475381443E-3</v>
      </c>
      <c r="N59" s="63">
        <f>IF(Tabla22[[#This Row],[Energético]]="Energía Eléctrica",((Tabla22[[#This Row],[Participación]]*$D$75)/SUMIF(Tabla22[Energético],"Energía Eléctrica",Tabla22[Participación]))*$B$79,Tabla22[[#This Row],[Consumo energía '[MJ']]])</f>
        <v>6146963.4968569083</v>
      </c>
    </row>
    <row r="60" spans="1:14" x14ac:dyDescent="0.2">
      <c r="A60" s="46"/>
      <c r="B60" s="46"/>
      <c r="C60" s="46"/>
      <c r="F60" s="36" t="s">
        <v>66</v>
      </c>
      <c r="G60" s="37" t="s">
        <v>37</v>
      </c>
      <c r="H60" s="37" t="s">
        <v>54</v>
      </c>
      <c r="I60" s="37" t="s">
        <v>9</v>
      </c>
      <c r="J60" s="37" t="s">
        <v>47</v>
      </c>
      <c r="K60" s="38">
        <v>20.968342969999998</v>
      </c>
      <c r="L60" s="61">
        <f>Tabla22[[#This Row],[Indicador]]*$B$52*B34</f>
        <v>100065171.98209767</v>
      </c>
      <c r="M60" s="62">
        <f>+Tabla22[[#This Row],[Consumo energía '[MJ']]]/$K$51</f>
        <v>0.11561914513880968</v>
      </c>
      <c r="N60" s="63">
        <f>IF(Tabla22[[#This Row],[Energético]]="Energía Eléctrica",((Tabla22[[#This Row],[Participación]]*$D$75)/SUMIF(Tabla22[Energético],"Energía Eléctrica",Tabla22[Participación]))*$B$79,Tabla22[[#This Row],[Consumo energía '[MJ']]])</f>
        <v>100065171.98209767</v>
      </c>
    </row>
    <row r="61" spans="1:14" x14ac:dyDescent="0.2">
      <c r="A61" s="46"/>
      <c r="B61" s="46"/>
      <c r="C61" s="46"/>
      <c r="F61" s="36" t="s">
        <v>65</v>
      </c>
      <c r="G61" s="37" t="s">
        <v>17</v>
      </c>
      <c r="H61" s="41" t="s">
        <v>54</v>
      </c>
      <c r="I61" s="41" t="s">
        <v>3</v>
      </c>
      <c r="J61" s="37" t="s">
        <v>47</v>
      </c>
      <c r="K61" s="38">
        <v>0.55665680473000001</v>
      </c>
      <c r="L61" s="61">
        <f>Tabla22[[#This Row],[Indicador]]*$B$52*D31</f>
        <v>4051801.0219390206</v>
      </c>
      <c r="M61" s="62">
        <f>+Tabla22[[#This Row],[Consumo energía '[MJ']]]/$K$51</f>
        <v>4.6816066084706945E-3</v>
      </c>
      <c r="N61" s="63">
        <f>IF(Tabla22[[#This Row],[Energético]]="Energía Eléctrica",((Tabla22[[#This Row],[Participación]]*$D$75)/SUMIF(Tabla22[Energético],"Energía Eléctrica",Tabla22[Participación]))*$B$79,Tabla22[[#This Row],[Consumo energía '[MJ']]])</f>
        <v>4051801.0219390206</v>
      </c>
    </row>
    <row r="62" spans="1:14" x14ac:dyDescent="0.2">
      <c r="A62" s="46"/>
      <c r="B62" s="46"/>
      <c r="C62" s="46"/>
      <c r="F62" s="36" t="s">
        <v>65</v>
      </c>
      <c r="G62" s="53" t="s">
        <v>17</v>
      </c>
      <c r="H62" s="37" t="s">
        <v>54</v>
      </c>
      <c r="I62" s="37" t="s">
        <v>9</v>
      </c>
      <c r="J62" s="37" t="s">
        <v>47</v>
      </c>
      <c r="K62" s="38">
        <v>4.8660683760700003</v>
      </c>
      <c r="L62" s="61">
        <f>Tabla22[[#This Row],[Indicador]]*$B$52*D31</f>
        <v>35419203.810054488</v>
      </c>
      <c r="M62" s="62">
        <f>+Tabla22[[#This Row],[Consumo energía '[MJ']]]/$K$51</f>
        <v>4.0924709215993935E-2</v>
      </c>
      <c r="N62" s="63">
        <f>IF(Tabla22[[#This Row],[Energético]]="Energía Eléctrica",((Tabla22[[#This Row],[Participación]]*$D$75)/SUMIF(Tabla22[Energético],"Energía Eléctrica",Tabla22[Participación]))*$B$79,Tabla22[[#This Row],[Consumo energía '[MJ']]])</f>
        <v>35419203.810054488</v>
      </c>
    </row>
    <row r="63" spans="1:14" x14ac:dyDescent="0.2">
      <c r="A63" s="46"/>
      <c r="B63" s="46"/>
      <c r="C63" s="46"/>
      <c r="F63" s="36" t="s">
        <v>65</v>
      </c>
      <c r="G63" s="38" t="s">
        <v>30</v>
      </c>
      <c r="H63" s="37" t="s">
        <v>54</v>
      </c>
      <c r="I63" s="37" t="s">
        <v>2</v>
      </c>
      <c r="J63" s="37" t="s">
        <v>47</v>
      </c>
      <c r="K63" s="38">
        <v>8.9483999999999994E-2</v>
      </c>
      <c r="L63" s="61">
        <f>Tabla22[[#This Row],[Indicador]]*$B$52*D31</f>
        <v>651337.34029004164</v>
      </c>
      <c r="M63" s="62">
        <f>+Tabla22[[#This Row],[Consumo energía '[MJ']]]/$K$51</f>
        <v>7.5258019338430291E-4</v>
      </c>
      <c r="N63" s="63">
        <f>IF(Tabla22[[#This Row],[Energético]]="Energía Eléctrica",((Tabla22[[#This Row],[Participación]]*$D$75)/SUMIF(Tabla22[Energético],"Energía Eléctrica",Tabla22[Participación]))*$B$79,Tabla22[[#This Row],[Consumo energía '[MJ']]])</f>
        <v>9546.7090900646617</v>
      </c>
    </row>
    <row r="64" spans="1:14" x14ac:dyDescent="0.2">
      <c r="A64" s="46"/>
      <c r="B64" s="46"/>
      <c r="C64" s="46"/>
      <c r="F64" s="36" t="s">
        <v>65</v>
      </c>
      <c r="G64" s="37" t="s">
        <v>30</v>
      </c>
      <c r="H64" s="37" t="s">
        <v>56</v>
      </c>
      <c r="I64" s="37" t="s">
        <v>10</v>
      </c>
      <c r="J64" s="37" t="s">
        <v>47</v>
      </c>
      <c r="K64" s="38">
        <v>0.93282051282</v>
      </c>
      <c r="L64" s="61">
        <f>Tabla22[[#This Row],[Indicador]]*$B$52*D31</f>
        <v>6789826.4694042671</v>
      </c>
      <c r="M64" s="62">
        <f>+Tabla22[[#This Row],[Consumo energía '[MJ']]]/$K$51</f>
        <v>7.8452264307688549E-3</v>
      </c>
      <c r="N64" s="63">
        <f>IF(Tabla22[[#This Row],[Energético]]="Energía Eléctrica",((Tabla22[[#This Row],[Participación]]*$D$75)/SUMIF(Tabla22[Energético],"Energía Eléctrica",Tabla22[Participación]))*$B$79,Tabla22[[#This Row],[Consumo energía '[MJ']]])</f>
        <v>6789826.4694042671</v>
      </c>
    </row>
    <row r="65" spans="1:14" x14ac:dyDescent="0.2">
      <c r="A65" s="46"/>
      <c r="B65" s="46"/>
      <c r="C65" s="46"/>
      <c r="F65" s="36" t="s">
        <v>65</v>
      </c>
      <c r="G65" s="37" t="s">
        <v>31</v>
      </c>
      <c r="H65" s="37" t="s">
        <v>54</v>
      </c>
      <c r="I65" s="37" t="s">
        <v>2</v>
      </c>
      <c r="J65" s="37" t="s">
        <v>47</v>
      </c>
      <c r="K65" s="38">
        <v>0.12474115384999999</v>
      </c>
      <c r="L65" s="61">
        <f>Tabla22[[#This Row],[Indicador]]*$B$52*D31</f>
        <v>907967.5849690435</v>
      </c>
      <c r="M65" s="62">
        <f>+Tabla22[[#This Row],[Consumo energía '[MJ']]]/$K$51</f>
        <v>1.0491006401972876E-3</v>
      </c>
      <c r="N65" s="63">
        <f>IF(Tabla22[[#This Row],[Energético]]="Energía Eléctrica",((Tabla22[[#This Row],[Participación]]*$D$75)/SUMIF(Tabla22[Energético],"Energía Eléctrica",Tabla22[Participación]))*$B$79,Tabla22[[#This Row],[Consumo energía '[MJ']]])</f>
        <v>13308.16131783279</v>
      </c>
    </row>
    <row r="66" spans="1:14" x14ac:dyDescent="0.2">
      <c r="A66" s="46"/>
      <c r="B66" s="46"/>
      <c r="C66" s="46"/>
      <c r="F66" s="36" t="s">
        <v>65</v>
      </c>
      <c r="G66" s="53" t="s">
        <v>31</v>
      </c>
      <c r="H66" s="37" t="s">
        <v>55</v>
      </c>
      <c r="I66" s="37" t="s">
        <v>2</v>
      </c>
      <c r="J66" s="37" t="s">
        <v>47</v>
      </c>
      <c r="K66" s="38">
        <v>0.12474115384999999</v>
      </c>
      <c r="L66" s="61">
        <f>Tabla22[[#This Row],[Indicador]]*$B$52*D31</f>
        <v>907967.5849690435</v>
      </c>
      <c r="M66" s="62">
        <f>+Tabla22[[#This Row],[Consumo energía '[MJ']]]/$K$51</f>
        <v>1.0491006401972876E-3</v>
      </c>
      <c r="N66" s="63">
        <f>IF(Tabla22[[#This Row],[Energético]]="Energía Eléctrica",((Tabla22[[#This Row],[Participación]]*$D$75)/SUMIF(Tabla22[Energético],"Energía Eléctrica",Tabla22[Participación]))*$B$79,Tabla22[[#This Row],[Consumo energía '[MJ']]])</f>
        <v>13308.16131783279</v>
      </c>
    </row>
    <row r="67" spans="1:14" x14ac:dyDescent="0.2">
      <c r="F67" s="36" t="s">
        <v>65</v>
      </c>
      <c r="G67" s="37" t="s">
        <v>32</v>
      </c>
      <c r="H67" s="37" t="s">
        <v>54</v>
      </c>
      <c r="I67" s="37" t="s">
        <v>2</v>
      </c>
      <c r="J67" s="37" t="s">
        <v>47</v>
      </c>
      <c r="K67" s="38">
        <v>8.2686850232300007</v>
      </c>
      <c r="L67" s="61">
        <f>Tabla22[[#This Row],[Indicador]]*$B$52*D31</f>
        <v>60186215.532684386</v>
      </c>
      <c r="M67" s="62">
        <f>+Tabla22[[#This Row],[Consumo energía '[MJ']]]/$K$51</f>
        <v>6.9541466338298719E-2</v>
      </c>
      <c r="N67" s="63">
        <f>IF(Tabla22[[#This Row],[Energético]]="Energía Eléctrica",((Tabla22[[#This Row],[Participación]]*$D$75)/SUMIF(Tabla22[Energético],"Energía Eléctrica",Tabla22[Participación]))*$B$79,Tabla22[[#This Row],[Consumo energía '[MJ']]])</f>
        <v>882154.6921701238</v>
      </c>
    </row>
    <row r="68" spans="1:14" x14ac:dyDescent="0.2">
      <c r="F68" s="36" t="s">
        <v>65</v>
      </c>
      <c r="G68" s="37" t="s">
        <v>33</v>
      </c>
      <c r="H68" s="37" t="s">
        <v>54</v>
      </c>
      <c r="I68" s="37" t="s">
        <v>3</v>
      </c>
      <c r="J68" s="37" t="s">
        <v>47</v>
      </c>
      <c r="K68" s="38">
        <v>1.9482988165699999</v>
      </c>
      <c r="L68" s="61">
        <f>Tabla22[[#This Row],[Indicador]]*$B$52*D31</f>
        <v>14181303.576895751</v>
      </c>
      <c r="M68" s="62">
        <f>+Tabla22[[#This Row],[Consumo energía '[MJ']]]/$K$51</f>
        <v>1.6385623129773579E-2</v>
      </c>
      <c r="N68" s="63">
        <f>IF(Tabla22[[#This Row],[Energético]]="Energía Eléctrica",((Tabla22[[#This Row],[Participación]]*$D$75)/SUMIF(Tabla22[Energético],"Energía Eléctrica",Tabla22[Participación]))*$B$79,Tabla22[[#This Row],[Consumo energía '[MJ']]])</f>
        <v>14181303.576895751</v>
      </c>
    </row>
    <row r="69" spans="1:14" x14ac:dyDescent="0.2">
      <c r="F69" s="36" t="s">
        <v>65</v>
      </c>
      <c r="G69" s="37" t="s">
        <v>33</v>
      </c>
      <c r="H69" s="37" t="s">
        <v>54</v>
      </c>
      <c r="I69" s="37" t="s">
        <v>2</v>
      </c>
      <c r="J69" s="54" t="s">
        <v>47</v>
      </c>
      <c r="K69" s="38">
        <v>0.89483999999999997</v>
      </c>
      <c r="L69" s="61">
        <f>Tabla22[[#This Row],[Indicador]]*$B$52*D31</f>
        <v>6513373.4029004164</v>
      </c>
      <c r="M69" s="62">
        <f>+Tabla22[[#This Row],[Consumo energía '[MJ']]]/$K$51</f>
        <v>7.5258019338430293E-3</v>
      </c>
      <c r="N69" s="63">
        <f>IF(Tabla22[[#This Row],[Energético]]="Energía Eléctrica",((Tabla22[[#This Row],[Participación]]*$D$75)/SUMIF(Tabla22[Energético],"Energía Eléctrica",Tabla22[Participación]))*$B$79,Tabla22[[#This Row],[Consumo energía '[MJ']]])</f>
        <v>95467.09090064661</v>
      </c>
    </row>
    <row r="70" spans="1:14" x14ac:dyDescent="0.2">
      <c r="F70" s="36" t="s">
        <v>65</v>
      </c>
      <c r="G70" s="37" t="s">
        <v>33</v>
      </c>
      <c r="H70" s="37" t="s">
        <v>54</v>
      </c>
      <c r="I70" s="37" t="s">
        <v>9</v>
      </c>
      <c r="J70" s="37" t="s">
        <v>47</v>
      </c>
      <c r="K70" s="38">
        <v>6.4403846153800002</v>
      </c>
      <c r="L70" s="64">
        <f>Tabla22[[#This Row],[Indicador]]*$B$52*D31</f>
        <v>46878357.983846411</v>
      </c>
      <c r="M70" s="65">
        <f>+Tabla22[[#This Row],[Consumo energía '[MJ']]]/$K$51</f>
        <v>5.4165056315229207E-2</v>
      </c>
      <c r="N70" s="63">
        <f>IF(Tabla22[[#This Row],[Energético]]="Energía Eléctrica",((Tabla22[[#This Row],[Participación]]*$D$75)/SUMIF(Tabla22[Energético],"Energía Eléctrica",Tabla22[Participación]))*$B$79,Tabla22[[#This Row],[Consumo energía '[MJ']]])</f>
        <v>46878357.983846411</v>
      </c>
    </row>
    <row r="71" spans="1:14" x14ac:dyDescent="0.2">
      <c r="F71" s="36" t="s">
        <v>65</v>
      </c>
      <c r="G71" s="37" t="s">
        <v>34</v>
      </c>
      <c r="H71" s="37" t="s">
        <v>54</v>
      </c>
      <c r="I71" s="37" t="s">
        <v>2</v>
      </c>
      <c r="J71" s="37" t="s">
        <v>47</v>
      </c>
      <c r="K71" s="38">
        <v>43.101460000000003</v>
      </c>
      <c r="L71" s="61">
        <f>Tabla22[[#This Row],[Indicador]]*$B$52*D31</f>
        <v>313727485.57303679</v>
      </c>
      <c r="M71" s="62">
        <f>+Tabla22[[#This Row],[Consumo energía '[MJ']]]/$K$51</f>
        <v>0.36249279314677268</v>
      </c>
      <c r="N71" s="63">
        <f>IF(Tabla22[[#This Row],[Energético]]="Energía Eléctrica",((Tabla22[[#This Row],[Participación]]*$D$75)/SUMIF(Tabla22[Energético],"Energía Eléctrica",Tabla22[Participación]))*$B$79,Tabla22[[#This Row],[Consumo energía '[MJ']]])</f>
        <v>4598331.545047814</v>
      </c>
    </row>
    <row r="72" spans="1:14" ht="15.75" x14ac:dyDescent="0.2">
      <c r="A72" s="81" t="s">
        <v>22</v>
      </c>
      <c r="B72" s="81"/>
      <c r="C72" s="81"/>
      <c r="D72" s="81"/>
      <c r="F72" s="36" t="s">
        <v>65</v>
      </c>
      <c r="G72" s="37" t="s">
        <v>35</v>
      </c>
      <c r="H72" s="37" t="s">
        <v>57</v>
      </c>
      <c r="I72" s="37" t="s">
        <v>3</v>
      </c>
      <c r="J72" s="37" t="s">
        <v>47</v>
      </c>
      <c r="K72" s="38">
        <v>0.44532544379</v>
      </c>
      <c r="L72" s="61">
        <f>Tabla22[[#This Row],[Indicador]]*$B$52*D31</f>
        <v>3241440.8175948886</v>
      </c>
      <c r="M72" s="62">
        <f>+Tabla22[[#This Row],[Consumo energía '[MJ']]]/$K$51</f>
        <v>3.7452852868270158E-3</v>
      </c>
      <c r="N72" s="63">
        <f>IF(Tabla22[[#This Row],[Energético]]="Energía Eléctrica",((Tabla22[[#This Row],[Participación]]*$D$75)/SUMIF(Tabla22[Energético],"Energía Eléctrica",Tabla22[Participación]))*$B$79,Tabla22[[#This Row],[Consumo energía '[MJ']]])</f>
        <v>3241440.8175948886</v>
      </c>
    </row>
    <row r="73" spans="1:14" x14ac:dyDescent="0.2">
      <c r="F73" s="36" t="s">
        <v>65</v>
      </c>
      <c r="G73" s="37" t="s">
        <v>35</v>
      </c>
      <c r="H73" s="37" t="s">
        <v>57</v>
      </c>
      <c r="I73" s="37" t="s">
        <v>2</v>
      </c>
      <c r="J73" s="37" t="s">
        <v>47</v>
      </c>
      <c r="K73" s="38">
        <v>0.67677807692000003</v>
      </c>
      <c r="L73" s="61">
        <f>Tabla22[[#This Row],[Indicador]]*$B$52*D31</f>
        <v>4926141.3502713563</v>
      </c>
      <c r="M73" s="62">
        <f>+Tabla22[[#This Row],[Consumo energía '[MJ']]]/$K$51</f>
        <v>5.6918530240792796E-3</v>
      </c>
      <c r="N73" s="63">
        <f>IF(Tabla22[[#This Row],[Energético]]="Energía Eléctrica",((Tabla22[[#This Row],[Participación]]*$D$75)/SUMIF(Tabla22[Energético],"Energía Eléctrica",Tabla22[Participación]))*$B$79,Tabla22[[#This Row],[Consumo energía '[MJ']]])</f>
        <v>72202.890113189438</v>
      </c>
    </row>
    <row r="74" spans="1:14" x14ac:dyDescent="0.2">
      <c r="A74" s="6" t="s">
        <v>0</v>
      </c>
      <c r="B74" s="6" t="s">
        <v>24</v>
      </c>
      <c r="C74" s="6" t="s">
        <v>25</v>
      </c>
      <c r="D74" s="6" t="s">
        <v>1</v>
      </c>
      <c r="F74" s="36" t="s">
        <v>65</v>
      </c>
      <c r="G74" s="37" t="s">
        <v>36</v>
      </c>
      <c r="H74" s="37" t="s">
        <v>54</v>
      </c>
      <c r="I74" s="37" t="s">
        <v>9</v>
      </c>
      <c r="J74" s="37" t="s">
        <v>47</v>
      </c>
      <c r="K74" s="38">
        <v>1.288076923</v>
      </c>
      <c r="L74" s="61">
        <f>Tabla22[[#This Row],[Indicador]]*$B$52*D31</f>
        <v>9375671.5962160919</v>
      </c>
      <c r="M74" s="62">
        <f>+Tabla22[[#This Row],[Consumo energía '[MJ']]]/$K$51</f>
        <v>1.0833011262406664E-2</v>
      </c>
      <c r="N74" s="63">
        <f>IF(Tabla22[[#This Row],[Energético]]="Energía Eléctrica",((Tabla22[[#This Row],[Participación]]*$D$75)/SUMIF(Tabla22[Energético],"Energía Eléctrica",Tabla22[Participación]))*$B$79,Tabla22[[#This Row],[Consumo energía '[MJ']]])</f>
        <v>9375671.5962160919</v>
      </c>
    </row>
    <row r="75" spans="1:14" x14ac:dyDescent="0.2">
      <c r="A75" s="48" t="s">
        <v>2</v>
      </c>
      <c r="B75" s="40">
        <f>B54</f>
        <v>6342727.014625961</v>
      </c>
      <c r="C75" s="7">
        <f>Ganado!$B75/1000000</f>
        <v>6.3427270146259609</v>
      </c>
      <c r="D75" s="13">
        <f>B75/$B$79</f>
        <v>1.4672593364562489E-2</v>
      </c>
      <c r="F75" s="36" t="s">
        <v>65</v>
      </c>
      <c r="G75" s="37" t="s">
        <v>37</v>
      </c>
      <c r="H75" s="37" t="s">
        <v>54</v>
      </c>
      <c r="I75" s="37" t="s">
        <v>9</v>
      </c>
      <c r="J75" s="37" t="s">
        <v>47</v>
      </c>
      <c r="K75" s="38">
        <v>20.968342969999998</v>
      </c>
      <c r="L75" s="61">
        <f>Tabla22[[#This Row],[Indicador]]*$B$52*D31</f>
        <v>152624656.2555227</v>
      </c>
      <c r="M75" s="62">
        <f>+Tabla22[[#This Row],[Consumo energía '[MJ']]]/$K$51</f>
        <v>0.17634839309050768</v>
      </c>
      <c r="N75" s="63">
        <f>IF(Tabla22[[#This Row],[Energético]]="Energía Eléctrica",((Tabla22[[#This Row],[Participación]]*$D$75)/SUMIF(Tabla22[Energético],"Energía Eléctrica",Tabla22[Participación]))*$B$79,Tabla22[[#This Row],[Consumo energía '[MJ']]])</f>
        <v>152624656.2555227</v>
      </c>
    </row>
    <row r="76" spans="1:14" x14ac:dyDescent="0.2">
      <c r="A76" s="48" t="s">
        <v>3</v>
      </c>
      <c r="B76" s="49">
        <f>SUMIF(Tabla22[Energético],A76,Tabla22[Consumo energía '[MJ']])</f>
        <v>21474545.416429661</v>
      </c>
      <c r="C76" s="7">
        <f>Ganado!$B76/1000000</f>
        <v>21.47454541642966</v>
      </c>
      <c r="D76" s="13">
        <f>B76/$B$79</f>
        <v>4.9676940511160048E-2</v>
      </c>
    </row>
    <row r="77" spans="1:14" x14ac:dyDescent="0.2">
      <c r="A77" s="48" t="s">
        <v>9</v>
      </c>
      <c r="B77" s="49">
        <f>SUMIF(Tabla22[Energético],A77,Tabla22[Consumo energía '[MJ']])</f>
        <v>404466704.71132398</v>
      </c>
      <c r="C77" s="7">
        <f>Ganado!$B77/1000000</f>
        <v>404.46670471132398</v>
      </c>
      <c r="D77" s="13">
        <f>B77/$B$79</f>
        <v>0.93565046612427749</v>
      </c>
    </row>
    <row r="78" spans="1:14" x14ac:dyDescent="0.2">
      <c r="A78" s="48" t="s">
        <v>10</v>
      </c>
      <c r="B78" s="49">
        <f>SUMIF(Tabla22[Energético],A78,Tabla22[Consumo energía '[MJ']])</f>
        <v>6789826.4694042671</v>
      </c>
      <c r="C78" s="7">
        <f>Ganado!$B78/1000000</f>
        <v>6.7898264694042672</v>
      </c>
      <c r="D78" s="13">
        <f>B78/$B$79</f>
        <v>1.5706865922462655E-2</v>
      </c>
    </row>
    <row r="79" spans="1:14" x14ac:dyDescent="0.2">
      <c r="A79" s="50" t="s">
        <v>77</v>
      </c>
      <c r="B79" s="51">
        <f>SUM(B75:B77)</f>
        <v>432283977.14237958</v>
      </c>
      <c r="C79" s="18">
        <f>SUM(C75:C77)</f>
        <v>432.28397714237963</v>
      </c>
      <c r="D79" s="19">
        <f>SUM(D75:D77)</f>
        <v>1</v>
      </c>
    </row>
    <row r="82" spans="1:9" ht="18" x14ac:dyDescent="0.2">
      <c r="A82" s="78" t="s">
        <v>27</v>
      </c>
      <c r="B82" s="78"/>
    </row>
    <row r="83" spans="1:9" ht="15" x14ac:dyDescent="0.2">
      <c r="A83" s="2" t="str">
        <f>+A51</f>
        <v>Grupo Homogeneo</v>
      </c>
      <c r="B83" s="2" t="s">
        <v>46</v>
      </c>
      <c r="G83" s="55" t="s">
        <v>3</v>
      </c>
      <c r="H83" s="56"/>
      <c r="I83" s="55" t="str">
        <f>+A105</f>
        <v>Gasolina</v>
      </c>
    </row>
    <row r="84" spans="1:9" x14ac:dyDescent="0.2">
      <c r="A84" s="3" t="str">
        <f>+B51</f>
        <v>Ganado (Leche)</v>
      </c>
      <c r="B84" s="4">
        <f>+B79/B52</f>
        <v>35.871165675229854</v>
      </c>
      <c r="F84" s="43" t="s">
        <v>52</v>
      </c>
      <c r="G84" s="15">
        <v>144.72999999999999</v>
      </c>
      <c r="H84" s="43" t="s">
        <v>52</v>
      </c>
      <c r="I84" s="15">
        <v>128.81</v>
      </c>
    </row>
    <row r="85" spans="1:9" x14ac:dyDescent="0.2">
      <c r="F85" s="43" t="s">
        <v>49</v>
      </c>
      <c r="G85" s="57">
        <f>+B104</f>
        <v>6550917512.3807611</v>
      </c>
      <c r="H85" s="43" t="s">
        <v>49</v>
      </c>
      <c r="I85" s="57">
        <f>+B105</f>
        <v>6063595962.596056</v>
      </c>
    </row>
    <row r="86" spans="1:9" x14ac:dyDescent="0.2">
      <c r="F86" s="43" t="s">
        <v>50</v>
      </c>
      <c r="G86" s="58">
        <f>+G85/G84</f>
        <v>45263024.337599404</v>
      </c>
      <c r="H86" s="43" t="s">
        <v>50</v>
      </c>
      <c r="I86" s="58">
        <f>+I85/I84</f>
        <v>47073953.595187142</v>
      </c>
    </row>
    <row r="87" spans="1:9" x14ac:dyDescent="0.2">
      <c r="F87" s="43" t="s">
        <v>51</v>
      </c>
      <c r="G87" s="59">
        <f>+G86/B21</f>
        <v>1.5023804080910625</v>
      </c>
      <c r="H87" s="43" t="s">
        <v>51</v>
      </c>
      <c r="I87" s="59">
        <f>+I86/B21</f>
        <v>1.5624891762711566</v>
      </c>
    </row>
    <row r="97" spans="1:5" ht="15" x14ac:dyDescent="0.2">
      <c r="E97" s="56"/>
    </row>
    <row r="100" spans="1:5" ht="20.25" x14ac:dyDescent="0.2">
      <c r="A100" s="82" t="s">
        <v>48</v>
      </c>
      <c r="B100" s="82"/>
      <c r="C100" s="82"/>
      <c r="D100" s="82"/>
    </row>
    <row r="102" spans="1:5" x14ac:dyDescent="0.2">
      <c r="A102" s="6" t="s">
        <v>0</v>
      </c>
      <c r="B102" s="6" t="s">
        <v>24</v>
      </c>
      <c r="C102" s="6" t="s">
        <v>25</v>
      </c>
      <c r="D102" s="6" t="s">
        <v>1</v>
      </c>
    </row>
    <row r="103" spans="1:5" x14ac:dyDescent="0.2">
      <c r="A103" s="48" t="s">
        <v>2</v>
      </c>
      <c r="B103" s="40">
        <f>+B75+B39</f>
        <v>15856817.536564901</v>
      </c>
      <c r="C103" s="7">
        <f>Ganado!$B103/1000000</f>
        <v>15.856817536564902</v>
      </c>
      <c r="D103" s="13">
        <f>B103/$B$107</f>
        <v>1.254776974198953E-3</v>
      </c>
    </row>
    <row r="104" spans="1:5" x14ac:dyDescent="0.2">
      <c r="A104" s="48" t="s">
        <v>3</v>
      </c>
      <c r="B104" s="40">
        <f>+B76+B40</f>
        <v>6550917512.3807611</v>
      </c>
      <c r="C104" s="7">
        <f>Ganado!$B104/1000000</f>
        <v>6550.9175123807609</v>
      </c>
      <c r="D104" s="13">
        <f>B104/$B$107</f>
        <v>0.51838525829393933</v>
      </c>
    </row>
    <row r="105" spans="1:5" x14ac:dyDescent="0.2">
      <c r="A105" s="48" t="s">
        <v>9</v>
      </c>
      <c r="B105" s="40">
        <f>+B77+B41</f>
        <v>6063595962.596056</v>
      </c>
      <c r="C105" s="7">
        <f>Ganado!$B105/1000000</f>
        <v>6063.5959625960559</v>
      </c>
      <c r="D105" s="13">
        <f>B105/$B$107</f>
        <v>0.47982267420096109</v>
      </c>
    </row>
    <row r="106" spans="1:5" x14ac:dyDescent="0.2">
      <c r="A106" s="24" t="s">
        <v>10</v>
      </c>
      <c r="B106" s="57">
        <f>+B78</f>
        <v>6789826.4694042671</v>
      </c>
      <c r="C106" s="7">
        <f>Ganado!$B106/1000000</f>
        <v>6.7898264694042672</v>
      </c>
      <c r="D106" s="13">
        <f>B106/$B$107</f>
        <v>5.3729053090060923E-4</v>
      </c>
    </row>
    <row r="107" spans="1:5" x14ac:dyDescent="0.2">
      <c r="A107" s="50" t="s">
        <v>77</v>
      </c>
      <c r="B107" s="51">
        <f>SUM(B103:B106)</f>
        <v>12637160118.982786</v>
      </c>
      <c r="C107" s="18">
        <f>SUM(C103:C106)</f>
        <v>12637.160118982785</v>
      </c>
      <c r="D107" s="19">
        <f>SUM(D103:D106)</f>
        <v>0.99999999999999989</v>
      </c>
    </row>
  </sheetData>
  <mergeCells count="9">
    <mergeCell ref="A72:D72"/>
    <mergeCell ref="A82:B82"/>
    <mergeCell ref="A100:D100"/>
    <mergeCell ref="A3:B3"/>
    <mergeCell ref="A44:B44"/>
    <mergeCell ref="A50:B50"/>
    <mergeCell ref="F50:J50"/>
    <mergeCell ref="A36:D36"/>
    <mergeCell ref="F18:J18"/>
  </mergeCells>
  <phoneticPr fontId="11" type="noConversion"/>
  <pageMargins left="0.7" right="0.7" top="0.75" bottom="0.75" header="0.3" footer="0.3"/>
  <pageSetup paperSize="9" orientation="portrait" r:id="rId1"/>
  <ignoredErrors>
    <ignoredError sqref="B40:C40" evalError="1"/>
  </ignoredErrors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6025C92-C95A-4C51-AC01-1A2B533DB7BD}">
          <x14:formula1>
            <xm:f>Hoja2!$A$1:$A$11</xm:f>
          </x14:formula1>
          <xm:sqref>A39:A41 A75:A78 A103:A105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6D83C-09CB-482C-B647-FB94BC0141F7}">
  <dimension ref="A1"/>
  <sheetViews>
    <sheetView workbookViewId="0">
      <selection activeCell="B2" sqref="B2:C7"/>
    </sheetView>
  </sheetViews>
  <sheetFormatPr baseColWidth="10" defaultRowHeight="12.7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Ganado</vt:lpstr>
      <vt:lpstr>Hoja3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2024-01-23T20:58:29Z</dcterms:modified>
</cp:coreProperties>
</file>