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moralesr\Documents\1- Trabajos\3- Corpoema\2- Proyectos\8- Agroindustria\Plantillas\"/>
    </mc:Choice>
  </mc:AlternateContent>
  <xr:revisionPtr revIDLastSave="0" documentId="13_ncr:1_{F7E73C14-F1AE-4A7A-BCF4-E5B9A8C465FC}" xr6:coauthVersionLast="47" xr6:coauthVersionMax="47" xr10:uidLastSave="{00000000-0000-0000-0000-000000000000}"/>
  <bookViews>
    <workbookView xWindow="-19320" yWindow="-120" windowWidth="19440" windowHeight="15000" xr2:uid="{4F4AC0FB-F22A-4F96-AA86-2713B2BEDCFC}"/>
  </bookViews>
  <sheets>
    <sheet name="Café" sheetId="1" r:id="rId1"/>
    <sheet name="Hoja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D32" i="1"/>
  <c r="A38" i="1"/>
  <c r="M12" i="1" l="1"/>
  <c r="M13" i="1"/>
  <c r="M14" i="1"/>
  <c r="M15" i="1"/>
  <c r="M16" i="1"/>
  <c r="N16" i="1" s="1"/>
  <c r="P16" i="1" s="1"/>
  <c r="M17" i="1"/>
  <c r="N17" i="1" s="1"/>
  <c r="P17" i="1" s="1"/>
  <c r="R17" i="1" s="1"/>
  <c r="M18" i="1"/>
  <c r="N18" i="1" s="1"/>
  <c r="P18" i="1" s="1"/>
  <c r="R18" i="1" s="1"/>
  <c r="M19" i="1"/>
  <c r="N19" i="1" s="1"/>
  <c r="P19" i="1" s="1"/>
  <c r="R19" i="1" s="1"/>
  <c r="N12" i="1"/>
  <c r="P12" i="1" s="1"/>
  <c r="R12" i="1" s="1"/>
  <c r="N13" i="1"/>
  <c r="P13" i="1" s="1"/>
  <c r="R13" i="1" s="1"/>
  <c r="N14" i="1"/>
  <c r="P14" i="1" s="1"/>
  <c r="R14" i="1" s="1"/>
  <c r="N15" i="1"/>
  <c r="P15" i="1" s="1"/>
  <c r="O12" i="1"/>
  <c r="O13" i="1"/>
  <c r="O14" i="1"/>
  <c r="O15" i="1"/>
  <c r="O16" i="1"/>
  <c r="O17" i="1"/>
  <c r="O18" i="1"/>
  <c r="O19" i="1"/>
  <c r="B8" i="1"/>
  <c r="A37" i="1"/>
  <c r="O11" i="1"/>
  <c r="M11" i="1"/>
  <c r="N11" i="1" s="1"/>
  <c r="B29" i="1" l="1"/>
  <c r="C29" i="1" s="1"/>
  <c r="B31" i="1"/>
  <c r="C31" i="1" s="1"/>
  <c r="P11" i="1"/>
  <c r="B30" i="1" l="1"/>
  <c r="C30" i="1" s="1"/>
  <c r="C32" i="1" s="1"/>
  <c r="R11" i="1"/>
  <c r="P9" i="1"/>
  <c r="Q11" i="1" l="1"/>
  <c r="Q12" i="1"/>
  <c r="Q16" i="1"/>
  <c r="Q13" i="1"/>
  <c r="Q17" i="1"/>
  <c r="Q14" i="1"/>
  <c r="Q18" i="1"/>
  <c r="Q15" i="1"/>
  <c r="Q19" i="1"/>
  <c r="B32" i="1"/>
  <c r="B38" i="1" l="1"/>
  <c r="C38" i="1" s="1"/>
  <c r="D30" i="1"/>
  <c r="D29" i="1"/>
  <c r="D31" i="1"/>
  <c r="R15" i="1" l="1"/>
  <c r="R16" i="1"/>
</calcChain>
</file>

<file path=xl/sharedStrings.xml><?xml version="1.0" encoding="utf-8"?>
<sst xmlns="http://schemas.openxmlformats.org/spreadsheetml/2006/main" count="108" uniqueCount="68">
  <si>
    <t>Energetico</t>
  </si>
  <si>
    <t>Participación</t>
  </si>
  <si>
    <t>Energía Eléctrica</t>
  </si>
  <si>
    <t>ACPM</t>
  </si>
  <si>
    <t>Biomasa primaria</t>
  </si>
  <si>
    <t>Biomasa secundaria</t>
  </si>
  <si>
    <t>Carbón</t>
  </si>
  <si>
    <t>Gas licuado</t>
  </si>
  <si>
    <t>Gas Natural</t>
  </si>
  <si>
    <t>Gasolina</t>
  </si>
  <si>
    <t>GLP</t>
  </si>
  <si>
    <t>Kerosene</t>
  </si>
  <si>
    <t>Leña</t>
  </si>
  <si>
    <t>Área productiva total</t>
  </si>
  <si>
    <t>Rendimiento</t>
  </si>
  <si>
    <t>Consumo Eléctricidad por sector</t>
  </si>
  <si>
    <t>Grupo Homogéneo</t>
  </si>
  <si>
    <t>Proceso</t>
  </si>
  <si>
    <t>Energético</t>
  </si>
  <si>
    <t>Fumigación</t>
  </si>
  <si>
    <t>Preparación del terreno</t>
  </si>
  <si>
    <t>Siembra</t>
  </si>
  <si>
    <t>Producto final</t>
  </si>
  <si>
    <t>Unidades indicador producción</t>
  </si>
  <si>
    <t>Indicador</t>
  </si>
  <si>
    <t>MJ/Ha</t>
  </si>
  <si>
    <t>Parámetro</t>
  </si>
  <si>
    <t>Indicador área</t>
  </si>
  <si>
    <t>Unidades</t>
  </si>
  <si>
    <t>Debe estar en MJ/Tn o MJ/Ha</t>
  </si>
  <si>
    <t>Tabla 7 y Tabla 10</t>
  </si>
  <si>
    <t>Indicador [MJ/Ha]</t>
  </si>
  <si>
    <t>Indicador [MJ/Tn]</t>
  </si>
  <si>
    <t>Grupo Homogeneo</t>
  </si>
  <si>
    <t>MJ/año</t>
  </si>
  <si>
    <t>TJ/año</t>
  </si>
  <si>
    <t>Tabla 9</t>
  </si>
  <si>
    <t>Mantenimiento</t>
  </si>
  <si>
    <t>Café</t>
  </si>
  <si>
    <t>Cosecha</t>
  </si>
  <si>
    <t>Café verde</t>
  </si>
  <si>
    <t>MJ/Tn</t>
  </si>
  <si>
    <t>Fertilización</t>
  </si>
  <si>
    <t>Terreno fertilizado</t>
  </si>
  <si>
    <t>Terreno fumigado</t>
  </si>
  <si>
    <t>Terreno guadañado</t>
  </si>
  <si>
    <t>Postcosecha</t>
  </si>
  <si>
    <t>Terreno sembrado</t>
  </si>
  <si>
    <t>Sistema de Riego y drenaje</t>
  </si>
  <si>
    <t>Terreno irrigado</t>
  </si>
  <si>
    <t xml:space="preserve">La homogenización a café verde de la producción en cada uno de sus procesos se uso los factores de conversión </t>
  </si>
  <si>
    <t>https://slideplayer.es/slide/12964544/</t>
  </si>
  <si>
    <t>Principal</t>
  </si>
  <si>
    <t>Comprobación</t>
  </si>
  <si>
    <t>https://biblioteca.cenicafe.org/bitstream/10778/882/6/5.%20Rendimiento%20caf%C3%A9%20cereza.pdf</t>
  </si>
  <si>
    <t>Fuerza motriz</t>
  </si>
  <si>
    <t>Calor directo</t>
  </si>
  <si>
    <t>Uso final de energía</t>
  </si>
  <si>
    <t>Total</t>
  </si>
  <si>
    <t>Tabla 8. Indicador producción</t>
  </si>
  <si>
    <t>Dato comercial por CIIU de XM [kWh/año]</t>
  </si>
  <si>
    <t>Dato de información secundaria Tn/Ha Agronet</t>
  </si>
  <si>
    <t>Dato de información secundaria [Ha] Agronet</t>
  </si>
  <si>
    <t>Sector</t>
  </si>
  <si>
    <t>Total [MJ/año]</t>
  </si>
  <si>
    <t>Consumo energía corregido [MJ/año]</t>
  </si>
  <si>
    <t>Consumo energía [MJ/año]</t>
  </si>
  <si>
    <t>Consumo Eléctricidad por sector [MJ/año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</si>
</sst>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8"/>
      <name val="Arial"/>
      <family val="2"/>
    </font>
    <font>
      <b/>
      <sz val="14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 wrapText="1"/>
    </xf>
    <xf numFmtId="0" fontId="4" fillId="4" borderId="0" xfId="0" applyFont="1" applyFill="1" applyAlignment="1">
      <alignment horizontal="center" wrapText="1"/>
    </xf>
    <xf numFmtId="0" fontId="0" fillId="0" borderId="0" xfId="0" applyAlignment="1"/>
    <xf numFmtId="0" fontId="3" fillId="0" borderId="1" xfId="0" applyFont="1" applyBorder="1" applyAlignment="1"/>
    <xf numFmtId="0" fontId="3" fillId="0" borderId="1" xfId="0" applyFont="1" applyBorder="1"/>
    <xf numFmtId="4" fontId="0" fillId="2" borderId="1" xfId="0" applyNumberFormat="1" applyFill="1" applyBorder="1"/>
    <xf numFmtId="0" fontId="3" fillId="0" borderId="1" xfId="0" applyFont="1" applyBorder="1" applyAlignment="1">
      <alignment wrapText="1"/>
    </xf>
    <xf numFmtId="0" fontId="2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0" fillId="2" borderId="1" xfId="0" applyFill="1" applyBorder="1" applyAlignment="1"/>
    <xf numFmtId="0" fontId="6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4" fontId="0" fillId="0" borderId="1" xfId="0" applyNumberFormat="1" applyFont="1" applyFill="1" applyBorder="1"/>
    <xf numFmtId="4" fontId="0" fillId="0" borderId="1" xfId="0" applyNumberFormat="1" applyFont="1" applyBorder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4" fontId="0" fillId="2" borderId="1" xfId="0" applyNumberFormat="1" applyFont="1" applyFill="1" applyBorder="1"/>
    <xf numFmtId="4" fontId="0" fillId="0" borderId="1" xfId="0" applyNumberFormat="1" applyFill="1" applyBorder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2" borderId="6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0" fontId="7" fillId="0" borderId="0" xfId="0" applyFont="1"/>
    <xf numFmtId="0" fontId="0" fillId="0" borderId="1" xfId="0" applyNumberFormat="1" applyFill="1" applyBorder="1" applyAlignment="1">
      <alignment horizontal="center"/>
    </xf>
    <xf numFmtId="0" fontId="3" fillId="7" borderId="1" xfId="0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9" fontId="3" fillId="7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0" fontId="0" fillId="0" borderId="1" xfId="1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9" fillId="3" borderId="7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18">
    <dxf>
      <numFmt numFmtId="0" formatCode="General"/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4" formatCode="0.00%"/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5A9D08-1377-468A-AF05-D7853C9878D0}" name="Tabla2" displayName="Tabla2" ref="F10:R19" totalsRowShown="0" headerRowDxfId="17" dataDxfId="15" headerRowBorderDxfId="16" tableBorderDxfId="14" totalsRowBorderDxfId="13">
  <autoFilter ref="F10:R19" xr:uid="{775A9D08-1377-468A-AF05-D7853C9878D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097AA7CE-2C19-4522-AFCC-2D7077ABB6B9}" name="Grupo Homogéneo" dataDxfId="12"/>
    <tableColumn id="2" xr3:uid="{B5D1F10D-371F-4B26-972F-7E20D881EF10}" name="Proceso" dataDxfId="11"/>
    <tableColumn id="13" xr3:uid="{793412B3-58C2-473E-A5F4-F712B277888B}" name="Uso final de energía" dataDxfId="10"/>
    <tableColumn id="3" xr3:uid="{D5C4E4C9-E4CD-42F0-B878-EAED958F5FA0}" name="Energético" dataDxfId="9"/>
    <tableColumn id="4" xr3:uid="{B7B5D837-72C9-44E9-A5D9-0A2D73C6B023}" name="Producto final" dataDxfId="8"/>
    <tableColumn id="5" xr3:uid="{3CF749A7-0CC3-4EAE-8383-BA07291F80FF}" name="Unidades indicador producción" dataDxfId="7"/>
    <tableColumn id="6" xr3:uid="{380EDCBC-1202-4CB0-B868-AB32DBAE2810}" name="Indicador" dataDxfId="6"/>
    <tableColumn id="7" xr3:uid="{F7C4E07E-D41C-4EB3-84F4-91947724497C}" name="Parámetro" dataDxfId="5">
      <calculatedColumnFormula>IFERROR(RIGHT(Tabla2[[#This Row],[Unidades indicador producción]], LEN(Tabla2[[#This Row],[Unidades indicador producción]])-FIND("/", Tabla2[[#This Row],[Unidades indicador producción]])), "")</calculatedColumnFormula>
    </tableColumn>
    <tableColumn id="8" xr3:uid="{0FF27519-F70B-45F1-A622-B58EACF1F88B}" name="Indicador área" dataDxfId="4">
      <calculatedColumnFormula>IF(Tabla2[[#This Row],[Parámetro]]="Tn",Tabla2[[#This Row],[Indicador]]*$B$6,Tabla2[[#This Row],[Indicador]])</calculatedColumnFormula>
    </tableColumn>
    <tableColumn id="9" xr3:uid="{3AD82B07-3885-48D4-987A-DBF40EFD0198}" name="Unidades" dataDxfId="3">
      <calculatedColumnFormula>"MJ/Ha"</calculatedColumnFormula>
    </tableColumn>
    <tableColumn id="10" xr3:uid="{E16307D2-7B0D-4BEC-94C3-8D5C9401D2A7}" name="Consumo energía [MJ/año]" dataDxfId="2">
      <calculatedColumnFormula>(Tabla2[[#This Row],[Indicador área]]*$B$5)</calculatedColumnFormula>
    </tableColumn>
    <tableColumn id="11" xr3:uid="{CBB9A55E-1124-4886-BEDE-26FA5ECB45C8}" name="Participación" dataDxfId="1" dataCellStyle="Porcentaje">
      <calculatedColumnFormula>+Tabla2[[#This Row],[Consumo energía '[MJ/año']]]/$P$9</calculatedColumnFormula>
    </tableColumn>
    <tableColumn id="12" xr3:uid="{E2BB30C7-FA97-4FE9-B04F-FE5F36AFA926}" name="Consumo energía corregido [MJ/año]" dataDxfId="0">
      <calculatedColumnFormula>IF(Tabla2[[#This Row],[Energético]]="Energía Eléctrica",((Tabla2[[#This Row],[Participación]]*$D$29)/SUMIF(Tabla2[Energético],"Energía Eléctrica",Tabla2[Participación]))*$B$32,Tabla2[[#This Row],[Consumo energía '[MJ/año']]])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87B94-0509-445A-B37A-7AD68697CF57}">
  <dimension ref="A1:R38"/>
  <sheetViews>
    <sheetView showGridLines="0" tabSelected="1" workbookViewId="0">
      <selection activeCell="A9" sqref="A9"/>
    </sheetView>
  </sheetViews>
  <sheetFormatPr baseColWidth="10" defaultRowHeight="12.75" x14ac:dyDescent="0.2"/>
  <cols>
    <col min="1" max="1" width="28.28515625" customWidth="1"/>
    <col min="2" max="4" width="16.42578125" customWidth="1"/>
    <col min="6" max="6" width="20.28515625" customWidth="1"/>
    <col min="7" max="8" width="24.5703125" customWidth="1"/>
    <col min="9" max="9" width="26.5703125" customWidth="1"/>
    <col min="10" max="10" width="17.7109375" bestFit="1" customWidth="1"/>
    <col min="11" max="11" width="19.7109375" customWidth="1"/>
    <col min="12" max="12" width="11.7109375" customWidth="1"/>
    <col min="14" max="14" width="15" customWidth="1"/>
    <col min="16" max="16" width="24.5703125" customWidth="1"/>
    <col min="17" max="17" width="15.140625" customWidth="1"/>
    <col min="18" max="18" width="22" customWidth="1"/>
  </cols>
  <sheetData>
    <row r="1" spans="1:18" ht="18" x14ac:dyDescent="0.25">
      <c r="A1" s="15"/>
    </row>
    <row r="3" spans="1:18" ht="18" x14ac:dyDescent="0.2">
      <c r="A3" s="43" t="s">
        <v>63</v>
      </c>
      <c r="B3" s="44"/>
      <c r="C3" s="4"/>
    </row>
    <row r="4" spans="1:18" x14ac:dyDescent="0.2">
      <c r="A4" s="5" t="s">
        <v>33</v>
      </c>
      <c r="B4" s="14" t="s">
        <v>38</v>
      </c>
      <c r="C4" s="4"/>
    </row>
    <row r="5" spans="1:18" x14ac:dyDescent="0.2">
      <c r="A5" s="6" t="s">
        <v>13</v>
      </c>
      <c r="B5" s="7">
        <v>815192</v>
      </c>
      <c r="C5" s="33" t="s">
        <v>62</v>
      </c>
    </row>
    <row r="6" spans="1:18" x14ac:dyDescent="0.2">
      <c r="A6" s="6" t="s">
        <v>14</v>
      </c>
      <c r="B6" s="7">
        <v>0.8</v>
      </c>
      <c r="C6" s="33" t="s">
        <v>61</v>
      </c>
      <c r="J6" t="s">
        <v>52</v>
      </c>
      <c r="K6" t="s">
        <v>53</v>
      </c>
    </row>
    <row r="7" spans="1:18" ht="25.5" x14ac:dyDescent="0.2">
      <c r="A7" s="8" t="s">
        <v>15</v>
      </c>
      <c r="B7" s="7">
        <v>1358835.2213256508</v>
      </c>
      <c r="C7" s="33" t="s">
        <v>60</v>
      </c>
      <c r="F7" t="s">
        <v>50</v>
      </c>
      <c r="J7" t="s">
        <v>51</v>
      </c>
      <c r="K7" t="s">
        <v>54</v>
      </c>
    </row>
    <row r="8" spans="1:18" ht="26.25" x14ac:dyDescent="0.25">
      <c r="A8" s="8" t="s">
        <v>67</v>
      </c>
      <c r="B8" s="22">
        <f>+B7*3.6</f>
        <v>4891806.7967723431</v>
      </c>
      <c r="C8" s="1"/>
      <c r="F8" s="41" t="s">
        <v>59</v>
      </c>
      <c r="G8" s="41"/>
      <c r="H8" s="41"/>
      <c r="I8" s="41"/>
      <c r="J8" s="41"/>
      <c r="K8" s="41"/>
      <c r="L8" s="41"/>
      <c r="R8" s="12" t="s">
        <v>64</v>
      </c>
    </row>
    <row r="9" spans="1:18" ht="35.25" customHeight="1" x14ac:dyDescent="0.25">
      <c r="K9" s="3" t="s">
        <v>29</v>
      </c>
      <c r="P9" s="13">
        <f>SUM(Tabla2[Consumo energía '[MJ/año']])</f>
        <v>9628177118.5180149</v>
      </c>
      <c r="R9" s="13">
        <f>+SUM(Tabla2[Consumo energía corregido '[MJ/año']])</f>
        <v>3410789905.5525293</v>
      </c>
    </row>
    <row r="10" spans="1:18" s="2" customFormat="1" ht="25.5" x14ac:dyDescent="0.2">
      <c r="F10" s="23" t="s">
        <v>16</v>
      </c>
      <c r="G10" s="24" t="s">
        <v>17</v>
      </c>
      <c r="H10" s="24" t="s">
        <v>57</v>
      </c>
      <c r="I10" s="24" t="s">
        <v>18</v>
      </c>
      <c r="J10" s="24" t="s">
        <v>22</v>
      </c>
      <c r="K10" s="25" t="s">
        <v>23</v>
      </c>
      <c r="L10" s="24" t="s">
        <v>24</v>
      </c>
      <c r="M10" s="24" t="s">
        <v>26</v>
      </c>
      <c r="N10" s="24" t="s">
        <v>27</v>
      </c>
      <c r="O10" s="24" t="s">
        <v>28</v>
      </c>
      <c r="P10" s="26" t="s">
        <v>66</v>
      </c>
      <c r="Q10" s="38" t="s">
        <v>1</v>
      </c>
      <c r="R10" s="38" t="s">
        <v>65</v>
      </c>
    </row>
    <row r="11" spans="1:18" x14ac:dyDescent="0.2">
      <c r="F11" s="27" t="s">
        <v>38</v>
      </c>
      <c r="G11" s="28" t="s">
        <v>39</v>
      </c>
      <c r="H11" s="28" t="s">
        <v>55</v>
      </c>
      <c r="I11" s="28" t="s">
        <v>9</v>
      </c>
      <c r="J11" s="28" t="s">
        <v>40</v>
      </c>
      <c r="K11" s="28" t="s">
        <v>41</v>
      </c>
      <c r="L11" s="29">
        <v>2652.3959828957245</v>
      </c>
      <c r="M11" s="30" t="str">
        <f>IFERROR(RIGHT(Tabla2[[#This Row],[Unidades indicador producción]], LEN(Tabla2[[#This Row],[Unidades indicador producción]])-FIND("/", Tabla2[[#This Row],[Unidades indicador producción]])), "")</f>
        <v>Tn</v>
      </c>
      <c r="N11" s="31">
        <f>IF(Tabla2[[#This Row],[Parámetro]]="Tn",Tabla2[[#This Row],[Indicador]]*$B$6,Tabla2[[#This Row],[Indicador]])</f>
        <v>2121.9167863165799</v>
      </c>
      <c r="O11" s="30" t="str">
        <f t="shared" ref="O11" si="0">"MJ/Ha"</f>
        <v>MJ/Ha</v>
      </c>
      <c r="P11" s="32">
        <f>(Tabla2[[#This Row],[Indicador área]]*$B$5)</f>
        <v>1729769588.8709853</v>
      </c>
      <c r="Q11" s="40">
        <f>+Tabla2[[#This Row],[Consumo energía '[MJ/año']]]/$P$9</f>
        <v>0.17965701789429009</v>
      </c>
      <c r="R11" s="39">
        <f>IF(Tabla2[[#This Row],[Energético]]="Energía Eléctrica",((Tabla2[[#This Row],[Participación]]*$D$29)/SUMIF(Tabla2[Energético],"Energía Eléctrica",Tabla2[Participación]))*$B$32,Tabla2[[#This Row],[Consumo energía '[MJ/año']]])</f>
        <v>1729769588.8709853</v>
      </c>
    </row>
    <row r="12" spans="1:18" x14ac:dyDescent="0.2">
      <c r="F12" s="27" t="s">
        <v>38</v>
      </c>
      <c r="G12" s="28" t="s">
        <v>42</v>
      </c>
      <c r="H12" s="28" t="s">
        <v>55</v>
      </c>
      <c r="I12" s="28" t="s">
        <v>9</v>
      </c>
      <c r="J12" s="28" t="s">
        <v>43</v>
      </c>
      <c r="K12" s="28" t="s">
        <v>25</v>
      </c>
      <c r="L12" s="29">
        <v>193.21202149159225</v>
      </c>
      <c r="M12" s="34" t="str">
        <f>IFERROR(RIGHT(Tabla2[[#This Row],[Unidades indicador producción]], LEN(Tabla2[[#This Row],[Unidades indicador producción]])-FIND("/", Tabla2[[#This Row],[Unidades indicador producción]])), "")</f>
        <v>Ha</v>
      </c>
      <c r="N12" s="31">
        <f>IF(Tabla2[[#This Row],[Parámetro]]="Tn",Tabla2[[#This Row],[Indicador]]*$B$6,Tabla2[[#This Row],[Indicador]])</f>
        <v>193.21202149159225</v>
      </c>
      <c r="O12" s="34" t="str">
        <f t="shared" ref="O12:O19" si="1">"MJ/Ha"</f>
        <v>MJ/Ha</v>
      </c>
      <c r="P12" s="32">
        <f>(Tabla2[[#This Row],[Indicador área]]*$B$5)</f>
        <v>157504894.22377408</v>
      </c>
      <c r="Q12" s="40">
        <f>+Tabla2[[#This Row],[Consumo energía '[MJ/año']]]/$P$9</f>
        <v>1.6358744992428793E-2</v>
      </c>
      <c r="R12" s="39">
        <f>IF(Tabla2[[#This Row],[Energético]]="Energía Eléctrica",((Tabla2[[#This Row],[Participación]]*$D$29)/SUMIF(Tabla2[Energético],"Energía Eléctrica",Tabla2[Participación]))*$B$32,Tabla2[[#This Row],[Consumo energía '[MJ/año']]])</f>
        <v>157504894.22377408</v>
      </c>
    </row>
    <row r="13" spans="1:18" x14ac:dyDescent="0.2">
      <c r="F13" s="27" t="s">
        <v>38</v>
      </c>
      <c r="G13" s="28" t="s">
        <v>19</v>
      </c>
      <c r="H13" s="28" t="s">
        <v>55</v>
      </c>
      <c r="I13" s="28" t="s">
        <v>9</v>
      </c>
      <c r="J13" s="28" t="s">
        <v>44</v>
      </c>
      <c r="K13" s="28" t="s">
        <v>25</v>
      </c>
      <c r="L13" s="29">
        <v>241.51502686449027</v>
      </c>
      <c r="M13" s="34" t="str">
        <f>IFERROR(RIGHT(Tabla2[[#This Row],[Unidades indicador producción]], LEN(Tabla2[[#This Row],[Unidades indicador producción]])-FIND("/", Tabla2[[#This Row],[Unidades indicador producción]])), "")</f>
        <v>Ha</v>
      </c>
      <c r="N13" s="31">
        <f>IF(Tabla2[[#This Row],[Parámetro]]="Tn",Tabla2[[#This Row],[Indicador]]*$B$6,Tabla2[[#This Row],[Indicador]])</f>
        <v>241.51502686449027</v>
      </c>
      <c r="O13" s="34" t="str">
        <f t="shared" si="1"/>
        <v>MJ/Ha</v>
      </c>
      <c r="P13" s="32">
        <f>(Tabla2[[#This Row],[Indicador área]]*$B$5)</f>
        <v>196881117.77971753</v>
      </c>
      <c r="Q13" s="40">
        <f>+Tabla2[[#This Row],[Consumo energía '[MJ/año']]]/$P$9</f>
        <v>2.0448431240535987E-2</v>
      </c>
      <c r="R13" s="39">
        <f>IF(Tabla2[[#This Row],[Energético]]="Energía Eléctrica",((Tabla2[[#This Row],[Participación]]*$D$29)/SUMIF(Tabla2[Energético],"Energía Eléctrica",Tabla2[Participación]))*$B$32,Tabla2[[#This Row],[Consumo energía '[MJ/año']]])</f>
        <v>196881117.77971753</v>
      </c>
    </row>
    <row r="14" spans="1:18" x14ac:dyDescent="0.2">
      <c r="F14" s="27" t="s">
        <v>38</v>
      </c>
      <c r="G14" s="28" t="s">
        <v>37</v>
      </c>
      <c r="H14" s="28" t="s">
        <v>55</v>
      </c>
      <c r="I14" s="28" t="s">
        <v>9</v>
      </c>
      <c r="J14" s="28" t="s">
        <v>45</v>
      </c>
      <c r="K14" s="28" t="s">
        <v>25</v>
      </c>
      <c r="L14" s="29">
        <v>450.81508496795351</v>
      </c>
      <c r="M14" s="34" t="str">
        <f>IFERROR(RIGHT(Tabla2[[#This Row],[Unidades indicador producción]], LEN(Tabla2[[#This Row],[Unidades indicador producción]])-FIND("/", Tabla2[[#This Row],[Unidades indicador producción]])), "")</f>
        <v>Ha</v>
      </c>
      <c r="N14" s="31">
        <f>IF(Tabla2[[#This Row],[Parámetro]]="Tn",Tabla2[[#This Row],[Indicador]]*$B$6,Tabla2[[#This Row],[Indicador]])</f>
        <v>450.81508496795351</v>
      </c>
      <c r="O14" s="34" t="str">
        <f t="shared" si="1"/>
        <v>MJ/Ha</v>
      </c>
      <c r="P14" s="32">
        <f>(Tabla2[[#This Row],[Indicador área]]*$B$5)</f>
        <v>367500850.74519598</v>
      </c>
      <c r="Q14" s="40">
        <f>+Tabla2[[#This Row],[Consumo energía '[MJ/año']]]/$P$9</f>
        <v>3.8169307255303417E-2</v>
      </c>
      <c r="R14" s="39">
        <f>IF(Tabla2[[#This Row],[Energético]]="Energía Eléctrica",((Tabla2[[#This Row],[Participación]]*$D$29)/SUMIF(Tabla2[Energético],"Energía Eléctrica",Tabla2[Participación]))*$B$32,Tabla2[[#This Row],[Consumo energía '[MJ/año']]])</f>
        <v>367500850.74519598</v>
      </c>
    </row>
    <row r="15" spans="1:18" x14ac:dyDescent="0.2">
      <c r="F15" s="27" t="s">
        <v>38</v>
      </c>
      <c r="G15" s="28" t="s">
        <v>46</v>
      </c>
      <c r="H15" s="28" t="s">
        <v>56</v>
      </c>
      <c r="I15" s="28" t="s">
        <v>5</v>
      </c>
      <c r="J15" s="28" t="s">
        <v>40</v>
      </c>
      <c r="K15" s="28" t="s">
        <v>41</v>
      </c>
      <c r="L15" s="29">
        <v>0.71058403361344546</v>
      </c>
      <c r="M15" s="34" t="str">
        <f>IFERROR(RIGHT(Tabla2[[#This Row],[Unidades indicador producción]], LEN(Tabla2[[#This Row],[Unidades indicador producción]])-FIND("/", Tabla2[[#This Row],[Unidades indicador producción]])), "")</f>
        <v>Tn</v>
      </c>
      <c r="N15" s="31">
        <f>IF(Tabla2[[#This Row],[Parámetro]]="Tn",Tabla2[[#This Row],[Indicador]]*$B$6,Tabla2[[#This Row],[Indicador]])</f>
        <v>0.56846722689075635</v>
      </c>
      <c r="O15" s="34" t="str">
        <f t="shared" si="1"/>
        <v>MJ/Ha</v>
      </c>
      <c r="P15" s="32">
        <f>(Tabla2[[#This Row],[Indicador área]]*$B$5)</f>
        <v>463409.93562352943</v>
      </c>
      <c r="Q15" s="40">
        <f>+Tabla2[[#This Row],[Consumo energía '[MJ/año']]]/$P$9</f>
        <v>4.8130599377139238E-5</v>
      </c>
      <c r="R15" s="39">
        <f>IF(Tabla2[[#This Row],[Energético]]="Energía Eléctrica",((Tabla2[[#This Row],[Participación]]*$D$29)/SUMIF(Tabla2[Energético],"Energía Eléctrica",Tabla2[Participación]))*$B$32,Tabla2[[#This Row],[Consumo energía '[MJ/año']]])</f>
        <v>463409.93562352943</v>
      </c>
    </row>
    <row r="16" spans="1:18" x14ac:dyDescent="0.2">
      <c r="F16" s="27" t="s">
        <v>38</v>
      </c>
      <c r="G16" s="28" t="s">
        <v>46</v>
      </c>
      <c r="H16" s="28" t="s">
        <v>55</v>
      </c>
      <c r="I16" s="28" t="s">
        <v>2</v>
      </c>
      <c r="J16" s="28" t="s">
        <v>40</v>
      </c>
      <c r="K16" s="28" t="s">
        <v>41</v>
      </c>
      <c r="L16" s="29">
        <v>9541.1250045422712</v>
      </c>
      <c r="M16" s="34" t="str">
        <f>IFERROR(RIGHT(Tabla2[[#This Row],[Unidades indicador producción]], LEN(Tabla2[[#This Row],[Unidades indicador producción]])-FIND("/", Tabla2[[#This Row],[Unidades indicador producción]])), "")</f>
        <v>Tn</v>
      </c>
      <c r="N16" s="31">
        <f>IF(Tabla2[[#This Row],[Parámetro]]="Tn",Tabla2[[#This Row],[Indicador]]*$B$6,Tabla2[[#This Row],[Indicador]])</f>
        <v>7632.9000036338175</v>
      </c>
      <c r="O16" s="34" t="str">
        <f t="shared" si="1"/>
        <v>MJ/Ha</v>
      </c>
      <c r="P16" s="32">
        <f>(Tabla2[[#This Row],[Indicador área]]*$B$5)</f>
        <v>6222279019.7622585</v>
      </c>
      <c r="Q16" s="40">
        <f>+Tabla2[[#This Row],[Consumo energía '[MJ/año']]]/$P$9</f>
        <v>0.64625722430831245</v>
      </c>
      <c r="R16" s="39">
        <f>IF(Tabla2[[#This Row],[Energético]]="Energía Eléctrica",((Tabla2[[#This Row],[Participación]]*$D$29)/SUMIF(Tabla2[Energético],"Energía Eléctrica",Tabla2[Participación]))*$B$32,Tabla2[[#This Row],[Consumo energía '[MJ/año']]])</f>
        <v>4891806.7967723431</v>
      </c>
    </row>
    <row r="17" spans="1:18" x14ac:dyDescent="0.2">
      <c r="F17" s="27" t="s">
        <v>38</v>
      </c>
      <c r="G17" s="28" t="s">
        <v>20</v>
      </c>
      <c r="H17" s="28" t="s">
        <v>55</v>
      </c>
      <c r="I17" s="28" t="s">
        <v>9</v>
      </c>
      <c r="J17" s="28" t="s">
        <v>45</v>
      </c>
      <c r="K17" s="28" t="s">
        <v>25</v>
      </c>
      <c r="L17" s="29">
        <v>257.61538461538464</v>
      </c>
      <c r="M17" s="34" t="str">
        <f>IFERROR(RIGHT(Tabla2[[#This Row],[Unidades indicador producción]], LEN(Tabla2[[#This Row],[Unidades indicador producción]])-FIND("/", Tabla2[[#This Row],[Unidades indicador producción]])), "")</f>
        <v>Ha</v>
      </c>
      <c r="N17" s="31">
        <f>IF(Tabla2[[#This Row],[Parámetro]]="Tn",Tabla2[[#This Row],[Indicador]]*$B$6,Tabla2[[#This Row],[Indicador]])</f>
        <v>257.61538461538464</v>
      </c>
      <c r="O17" s="34" t="str">
        <f t="shared" si="1"/>
        <v>MJ/Ha</v>
      </c>
      <c r="P17" s="32">
        <f>(Tabla2[[#This Row],[Indicador área]]*$B$5)</f>
        <v>210006000.61538464</v>
      </c>
      <c r="Q17" s="40">
        <f>+Tabla2[[#This Row],[Consumo energía '[MJ/año']]]/$P$9</f>
        <v>2.1811605460755078E-2</v>
      </c>
      <c r="R17" s="39">
        <f>IF(Tabla2[[#This Row],[Energético]]="Energía Eléctrica",((Tabla2[[#This Row],[Participación]]*$D$29)/SUMIF(Tabla2[Energético],"Energía Eléctrica",Tabla2[Participación]))*$B$32,Tabla2[[#This Row],[Consumo energía '[MJ/año']]])</f>
        <v>210006000.61538464</v>
      </c>
    </row>
    <row r="18" spans="1:18" x14ac:dyDescent="0.2">
      <c r="F18" s="27" t="s">
        <v>38</v>
      </c>
      <c r="G18" s="28" t="s">
        <v>21</v>
      </c>
      <c r="H18" s="28" t="s">
        <v>55</v>
      </c>
      <c r="I18" s="28" t="s">
        <v>9</v>
      </c>
      <c r="J18" s="28" t="s">
        <v>47</v>
      </c>
      <c r="K18" s="28" t="s">
        <v>25</v>
      </c>
      <c r="L18" s="29">
        <v>429.35897435897442</v>
      </c>
      <c r="M18" s="34" t="str">
        <f>IFERROR(RIGHT(Tabla2[[#This Row],[Unidades indicador producción]], LEN(Tabla2[[#This Row],[Unidades indicador producción]])-FIND("/", Tabla2[[#This Row],[Unidades indicador producción]])), "")</f>
        <v>Ha</v>
      </c>
      <c r="N18" s="31">
        <f>IF(Tabla2[[#This Row],[Parámetro]]="Tn",Tabla2[[#This Row],[Indicador]]*$B$6,Tabla2[[#This Row],[Indicador]])</f>
        <v>429.35897435897442</v>
      </c>
      <c r="O18" s="34" t="str">
        <f t="shared" si="1"/>
        <v>MJ/Ha</v>
      </c>
      <c r="P18" s="32">
        <f>(Tabla2[[#This Row],[Indicador área]]*$B$5)</f>
        <v>350010001.02564108</v>
      </c>
      <c r="Q18" s="40">
        <f>+Tabla2[[#This Row],[Consumo energía '[MJ/año']]]/$P$9</f>
        <v>3.6352675767925134E-2</v>
      </c>
      <c r="R18" s="39">
        <f>IF(Tabla2[[#This Row],[Energético]]="Energía Eléctrica",((Tabla2[[#This Row],[Participación]]*$D$29)/SUMIF(Tabla2[Energético],"Energía Eléctrica",Tabla2[Participación]))*$B$32,Tabla2[[#This Row],[Consumo energía '[MJ/año']]])</f>
        <v>350010001.02564108</v>
      </c>
    </row>
    <row r="19" spans="1:18" x14ac:dyDescent="0.2">
      <c r="F19" s="27" t="s">
        <v>38</v>
      </c>
      <c r="G19" s="28" t="s">
        <v>48</v>
      </c>
      <c r="H19" s="28" t="s">
        <v>55</v>
      </c>
      <c r="I19" s="28" t="s">
        <v>9</v>
      </c>
      <c r="J19" s="28" t="s">
        <v>49</v>
      </c>
      <c r="K19" s="28" t="s">
        <v>25</v>
      </c>
      <c r="L19" s="29">
        <v>483.03005372898059</v>
      </c>
      <c r="M19" s="34" t="str">
        <f>IFERROR(RIGHT(Tabla2[[#This Row],[Unidades indicador producción]], LEN(Tabla2[[#This Row],[Unidades indicador producción]])-FIND("/", Tabla2[[#This Row],[Unidades indicador producción]])), "")</f>
        <v>Ha</v>
      </c>
      <c r="N19" s="31">
        <f>IF(Tabla2[[#This Row],[Parámetro]]="Tn",Tabla2[[#This Row],[Indicador]]*$B$6,Tabla2[[#This Row],[Indicador]])</f>
        <v>483.03005372898059</v>
      </c>
      <c r="O19" s="34" t="str">
        <f t="shared" si="1"/>
        <v>MJ/Ha</v>
      </c>
      <c r="P19" s="32">
        <f>(Tabla2[[#This Row],[Indicador área]]*$B$5)</f>
        <v>393762235.55943513</v>
      </c>
      <c r="Q19" s="40">
        <f>+Tabla2[[#This Row],[Consumo energía '[MJ/año']]]/$P$9</f>
        <v>4.089686248107198E-2</v>
      </c>
      <c r="R19" s="39">
        <f>IF(Tabla2[[#This Row],[Energético]]="Energía Eléctrica",((Tabla2[[#This Row],[Participación]]*$D$29)/SUMIF(Tabla2[Energético],"Energía Eléctrica",Tabla2[Participación]))*$B$32,Tabla2[[#This Row],[Consumo energía '[MJ/año']]])</f>
        <v>393762235.55943513</v>
      </c>
    </row>
    <row r="26" spans="1:18" ht="15.75" x14ac:dyDescent="0.25">
      <c r="A26" s="41" t="s">
        <v>30</v>
      </c>
      <c r="B26" s="41"/>
      <c r="C26" s="41"/>
      <c r="D26" s="41"/>
    </row>
    <row r="28" spans="1:18" x14ac:dyDescent="0.2">
      <c r="A28" s="16" t="s">
        <v>0</v>
      </c>
      <c r="B28" s="16" t="s">
        <v>34</v>
      </c>
      <c r="C28" s="16" t="s">
        <v>35</v>
      </c>
      <c r="D28" s="16" t="s">
        <v>1</v>
      </c>
    </row>
    <row r="29" spans="1:18" x14ac:dyDescent="0.2">
      <c r="A29" s="17" t="s">
        <v>2</v>
      </c>
      <c r="B29" s="18">
        <f>B8</f>
        <v>4891806.7967723431</v>
      </c>
      <c r="C29" s="19">
        <f>Café!$B29/1000000</f>
        <v>4.8918067967723431</v>
      </c>
      <c r="D29" s="20">
        <f>B29/$B$32</f>
        <v>1.4342152205882928E-3</v>
      </c>
    </row>
    <row r="30" spans="1:18" x14ac:dyDescent="0.2">
      <c r="A30" s="17" t="s">
        <v>9</v>
      </c>
      <c r="B30" s="21">
        <f>SUMIF(Tabla2[Energético],A30,Tabla2[Consumo energía '[MJ/año']])</f>
        <v>3405434688.8201332</v>
      </c>
      <c r="C30" s="19">
        <f>Café!$B30/1000000</f>
        <v>3405.434688820133</v>
      </c>
      <c r="D30" s="20">
        <f>B30/$B$32</f>
        <v>0.99842991891008059</v>
      </c>
    </row>
    <row r="31" spans="1:18" x14ac:dyDescent="0.2">
      <c r="A31" s="17" t="s">
        <v>5</v>
      </c>
      <c r="B31" s="21">
        <f>SUMIF(Tabla2[Energético],A31,Tabla2[Consumo energía '[MJ/año']])</f>
        <v>463409.93562352943</v>
      </c>
      <c r="C31" s="19">
        <f>Café!$B31/1000000</f>
        <v>0.46340993562352945</v>
      </c>
      <c r="D31" s="20">
        <f>B31/$B$32</f>
        <v>1.3586586933106909E-4</v>
      </c>
    </row>
    <row r="32" spans="1:18" x14ac:dyDescent="0.2">
      <c r="A32" s="35" t="s">
        <v>58</v>
      </c>
      <c r="B32" s="36">
        <f>SUM(B29:B31)</f>
        <v>3410789905.5525293</v>
      </c>
      <c r="C32" s="36">
        <f>SUM(C29:C31)</f>
        <v>3410.789905552529</v>
      </c>
      <c r="D32" s="37">
        <f>SUM(D29:D31)</f>
        <v>1</v>
      </c>
    </row>
    <row r="36" spans="1:3" ht="18" x14ac:dyDescent="0.25">
      <c r="A36" s="42" t="s">
        <v>36</v>
      </c>
      <c r="B36" s="42"/>
      <c r="C36" s="42"/>
    </row>
    <row r="37" spans="1:3" x14ac:dyDescent="0.2">
      <c r="A37" s="9" t="str">
        <f>+A4</f>
        <v>Grupo Homogeneo</v>
      </c>
      <c r="B37" s="9" t="s">
        <v>31</v>
      </c>
      <c r="C37" s="9" t="s">
        <v>32</v>
      </c>
    </row>
    <row r="38" spans="1:3" x14ac:dyDescent="0.2">
      <c r="A38" s="10" t="str">
        <f>+$B$4</f>
        <v>Café</v>
      </c>
      <c r="B38" s="11">
        <f>+B32/B5</f>
        <v>4184.0326028132386</v>
      </c>
      <c r="C38" s="11">
        <f>B38/$B$6</f>
        <v>5230.0407535165477</v>
      </c>
    </row>
  </sheetData>
  <mergeCells count="4">
    <mergeCell ref="A26:D26"/>
    <mergeCell ref="F8:L8"/>
    <mergeCell ref="A36:C36"/>
    <mergeCell ref="A3:B3"/>
  </mergeCells>
  <phoneticPr fontId="8" type="noConversion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6025C92-C95A-4C51-AC01-1A2B533DB7BD}">
          <x14:formula1>
            <xm:f>Hoja2!$A$1:$A$11</xm:f>
          </x14:formula1>
          <xm:sqref>A29:A31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85FCD-0EFB-4C63-8DD7-A9391F860BF4}">
  <dimension ref="A1:A11"/>
  <sheetViews>
    <sheetView workbookViewId="0">
      <selection activeCell="C14" sqref="C14"/>
    </sheetView>
  </sheetViews>
  <sheetFormatPr baseColWidth="10" defaultRowHeight="12.75" x14ac:dyDescent="0.2"/>
  <sheetData>
    <row r="1" spans="1:1" x14ac:dyDescent="0.2">
      <c r="A1" t="s">
        <v>2</v>
      </c>
    </row>
    <row r="2" spans="1:1" x14ac:dyDescent="0.2">
      <c r="A2" t="s">
        <v>3</v>
      </c>
    </row>
    <row r="3" spans="1:1" x14ac:dyDescent="0.2">
      <c r="A3" t="s">
        <v>4</v>
      </c>
    </row>
    <row r="4" spans="1:1" x14ac:dyDescent="0.2">
      <c r="A4" t="s">
        <v>5</v>
      </c>
    </row>
    <row r="5" spans="1:1" x14ac:dyDescent="0.2">
      <c r="A5" t="s">
        <v>6</v>
      </c>
    </row>
    <row r="6" spans="1:1" x14ac:dyDescent="0.2">
      <c r="A6" t="s">
        <v>7</v>
      </c>
    </row>
    <row r="7" spans="1:1" x14ac:dyDescent="0.2">
      <c r="A7" t="s">
        <v>8</v>
      </c>
    </row>
    <row r="8" spans="1:1" x14ac:dyDescent="0.2">
      <c r="A8" t="s">
        <v>9</v>
      </c>
    </row>
    <row r="9" spans="1:1" x14ac:dyDescent="0.2">
      <c r="A9" t="s">
        <v>10</v>
      </c>
    </row>
    <row r="10" spans="1:1" x14ac:dyDescent="0.2">
      <c r="A10" t="s">
        <v>11</v>
      </c>
    </row>
    <row r="11" spans="1:1" x14ac:dyDescent="0.2">
      <c r="A11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Café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 Steven Morales Rodríguez</dc:creator>
  <cp:lastModifiedBy>Andrés Steven Morales Rodríguez</cp:lastModifiedBy>
  <dcterms:created xsi:type="dcterms:W3CDTF">2023-12-20T19:43:59Z</dcterms:created>
  <dcterms:modified xsi:type="dcterms:W3CDTF">2024-01-23T21:02:53Z</dcterms:modified>
</cp:coreProperties>
</file>