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wnloads\Anexos Entrega final\Anexo F - Cálculo de indicadores energéticos por grupo homogéneo\"/>
    </mc:Choice>
  </mc:AlternateContent>
  <xr:revisionPtr revIDLastSave="0" documentId="13_ncr:1_{BA9B607D-9494-40FF-A82E-D5A799241013}" xr6:coauthVersionLast="47" xr6:coauthVersionMax="47" xr10:uidLastSave="{00000000-0000-0000-0000-000000000000}"/>
  <bookViews>
    <workbookView xWindow="-120" yWindow="-120" windowWidth="20730" windowHeight="11160" xr2:uid="{4F4AC0FB-F22A-4F96-AA86-2713B2BEDCFC}"/>
  </bookViews>
  <sheets>
    <sheet name="Huevo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D31" i="1"/>
  <c r="L16" i="1"/>
  <c r="L10" i="1"/>
  <c r="L11" i="1"/>
  <c r="B29" i="1" s="1"/>
  <c r="L12" i="1"/>
  <c r="L13" i="1"/>
  <c r="L14" i="1"/>
  <c r="L15" i="1"/>
  <c r="N11" i="1"/>
  <c r="B30" i="1"/>
  <c r="C15" i="1" l="1"/>
  <c r="B16" i="1"/>
  <c r="C16" i="1" s="1"/>
  <c r="C17" i="1" l="1"/>
  <c r="C30" i="1"/>
  <c r="A36" i="1" l="1"/>
  <c r="A37" i="1"/>
  <c r="C29" i="1" l="1"/>
  <c r="L8" i="1" l="1"/>
  <c r="M16" i="1" s="1"/>
  <c r="M10" i="1" l="1"/>
  <c r="M14" i="1"/>
  <c r="M11" i="1"/>
  <c r="M15" i="1"/>
  <c r="M13" i="1"/>
  <c r="M12" i="1"/>
  <c r="N14" i="1" l="1"/>
  <c r="D16" i="1"/>
  <c r="D15" i="1"/>
  <c r="B6" i="1"/>
  <c r="B7" i="1"/>
  <c r="B28" i="1" s="1"/>
  <c r="C28" i="1" l="1"/>
  <c r="C31" i="1" s="1"/>
  <c r="B31" i="1"/>
  <c r="D30" i="1" l="1"/>
  <c r="D29" i="1"/>
  <c r="B37" i="1"/>
  <c r="D28" i="1"/>
  <c r="N12" i="1" l="1"/>
  <c r="N16" i="1"/>
  <c r="N13" i="1"/>
  <c r="N10" i="1"/>
  <c r="N8" i="1" s="1"/>
  <c r="N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Asmoralesr</author>
  </authors>
  <commentList>
    <comment ref="A15" authorId="0" shapeId="0" xr:uid="{09636040-1506-41A4-A3A8-E3A4667F3A04}">
      <text>
        <r>
          <rPr>
            <b/>
            <sz val="9"/>
            <color indexed="81"/>
            <rFont val="Tahoma"/>
            <family val="2"/>
          </rPr>
          <t>Huevos</t>
        </r>
      </text>
    </comment>
    <comment ref="A16" authorId="0" shapeId="0" xr:uid="{1DD891DB-29B9-45F8-8F08-AB77402D6394}">
      <text>
        <r>
          <rPr>
            <b/>
            <sz val="9"/>
            <color indexed="81"/>
            <rFont val="Tahoma"/>
            <family val="2"/>
          </rPr>
          <t>Aves de corral+ levante + Genetico</t>
        </r>
      </text>
    </comment>
  </commentList>
</comments>
</file>

<file path=xl/sharedStrings.xml><?xml version="1.0" encoding="utf-8"?>
<sst xmlns="http://schemas.openxmlformats.org/spreadsheetml/2006/main" count="88" uniqueCount="57">
  <si>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</si>
  <si>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</si>
  <si>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</si>
  <si>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</si>
  <si>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</si>
  <si>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</si>
  <si>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</si>
  <si>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</si>
  <si>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</si>
  <si>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</si>
  <si>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</si>
  <si>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</si>
  <si>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</si>
  <si>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Consumo Eléctricidad por sector</t>
  </si>
  <si>
    <t>Grupo Homogéneo</t>
  </si>
  <si>
    <t>Proceso</t>
  </si>
  <si>
    <t>Energético</t>
  </si>
  <si>
    <t>Indicador</t>
  </si>
  <si>
    <t>Tabla 7 y Tabla 10</t>
  </si>
  <si>
    <t>Grupo Homogeneo</t>
  </si>
  <si>
    <t>MJ/año</t>
  </si>
  <si>
    <t>TJ/año</t>
  </si>
  <si>
    <t>Total [MJ]</t>
  </si>
  <si>
    <t>Tabla 9</t>
  </si>
  <si>
    <t>Mantenimiento</t>
  </si>
  <si>
    <t>Crianza y crecimiento</t>
  </si>
  <si>
    <t>Alimentación</t>
  </si>
  <si>
    <t>Unidades indicador área</t>
  </si>
  <si>
    <t>Aves postura</t>
  </si>
  <si>
    <t>Aves en colombia</t>
  </si>
  <si>
    <t>Aves de engorde</t>
  </si>
  <si>
    <t>Indicador [J/huevo]</t>
  </si>
  <si>
    <t>Huevos</t>
  </si>
  <si>
    <t>Postura huevos</t>
  </si>
  <si>
    <t>ICA (2023) censo de aves</t>
  </si>
  <si>
    <t>Huevos al año</t>
  </si>
  <si>
    <t>Dato de información secundaria [Huevos]</t>
  </si>
  <si>
    <t>https://fenavi.org/wp-content/uploads/2023/03/AVICULTURA-EN-CIFRAS-2023.jpg</t>
  </si>
  <si>
    <t>Referencia</t>
  </si>
  <si>
    <t>MJ/Huevos</t>
  </si>
  <si>
    <t>Indicador [MJ/huevo]</t>
  </si>
  <si>
    <t>Sector</t>
  </si>
  <si>
    <t>Uso final de energía</t>
  </si>
  <si>
    <t>Fuerza motriz</t>
  </si>
  <si>
    <t>Calor directo</t>
  </si>
  <si>
    <t>Iluminación</t>
  </si>
  <si>
    <t>Detalle</t>
  </si>
  <si>
    <t>Cantidad</t>
  </si>
  <si>
    <t>Tabla 8. Indicador producción</t>
  </si>
  <si>
    <t>Particiáción</t>
  </si>
  <si>
    <t>Total</t>
  </si>
  <si>
    <t>.</t>
  </si>
  <si>
    <t>Consumo Eléctricidad por sector [MJ/año]</t>
  </si>
  <si>
    <t>Dato comercial por CIIU de XM [kWh/año]</t>
  </si>
  <si>
    <t>Consumo energía corregido [MJ/año]</t>
  </si>
  <si>
    <t>Consumo energía [MJ/año]</t>
  </si>
  <si>
    <t>Consumo Eléctricidad por sector [kWh/año]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</si>
</sst>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#,##0.0000"/>
    <numFmt numFmtId="166" formatCode="0.0000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2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4" fontId="0" fillId="0" borderId="0" xfId="0" applyNumberFormat="1" applyFill="1" applyBorder="1" applyAlignment="1">
      <alignment wrapText="1"/>
    </xf>
    <xf numFmtId="9" fontId="0" fillId="0" borderId="0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0" fontId="4" fillId="0" borderId="0" xfId="0" applyFont="1" applyAlignment="1">
      <alignment wrapText="1"/>
    </xf>
    <xf numFmtId="0" fontId="5" fillId="5" borderId="0" xfId="0" applyFont="1" applyFill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0" fontId="0" fillId="0" borderId="1" xfId="0" applyFont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164" fontId="0" fillId="0" borderId="1" xfId="1" applyNumberFormat="1" applyFont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wrapText="1"/>
    </xf>
    <xf numFmtId="10" fontId="0" fillId="0" borderId="1" xfId="1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9" fontId="0" fillId="0" borderId="0" xfId="0" applyNumberForma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9" borderId="1" xfId="0" applyNumberFormat="1" applyFill="1" applyBorder="1" applyAlignment="1">
      <alignment wrapText="1"/>
    </xf>
    <xf numFmtId="0" fontId="0" fillId="0" borderId="0" xfId="0" applyBorder="1" applyAlignment="1">
      <alignment horizontal="right" wrapText="1"/>
    </xf>
    <xf numFmtId="166" fontId="8" fillId="0" borderId="0" xfId="0" applyNumberFormat="1" applyFont="1" applyBorder="1" applyAlignment="1">
      <alignment wrapText="1"/>
    </xf>
    <xf numFmtId="4" fontId="0" fillId="0" borderId="0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6" fontId="0" fillId="0" borderId="0" xfId="0" applyNumberFormat="1" applyBorder="1" applyAlignment="1">
      <alignment wrapText="1"/>
    </xf>
    <xf numFmtId="0" fontId="0" fillId="0" borderId="0" xfId="0" applyAlignment="1"/>
    <xf numFmtId="10" fontId="0" fillId="2" borderId="4" xfId="1" applyNumberFormat="1" applyFont="1" applyFill="1" applyBorder="1" applyAlignment="1">
      <alignment horizontal="center" wrapText="1"/>
    </xf>
    <xf numFmtId="10" fontId="0" fillId="2" borderId="1" xfId="1" applyNumberFormat="1" applyFont="1" applyFill="1" applyBorder="1" applyAlignment="1">
      <alignment horizontal="center" wrapText="1"/>
    </xf>
    <xf numFmtId="10" fontId="0" fillId="2" borderId="8" xfId="1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9" fontId="0" fillId="9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4" fontId="0" fillId="8" borderId="1" xfId="0" applyNumberFormat="1" applyFill="1" applyBorder="1" applyAlignment="1">
      <alignment wrapText="1"/>
    </xf>
    <xf numFmtId="9" fontId="0" fillId="8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9" fontId="0" fillId="0" borderId="1" xfId="0" applyNumberFormat="1" applyBorder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7" borderId="1" xfId="0" applyFont="1" applyFill="1" applyBorder="1" applyAlignment="1">
      <alignment wrapText="1"/>
    </xf>
    <xf numFmtId="4" fontId="4" fillId="7" borderId="1" xfId="0" applyNumberFormat="1" applyFont="1" applyFill="1" applyBorder="1" applyAlignment="1">
      <alignment wrapText="1"/>
    </xf>
    <xf numFmtId="4" fontId="4" fillId="7" borderId="1" xfId="0" applyNumberFormat="1" applyFont="1" applyFill="1" applyBorder="1" applyAlignment="1">
      <alignment horizontal="center" wrapText="1"/>
    </xf>
    <xf numFmtId="4" fontId="0" fillId="0" borderId="1" xfId="0" applyNumberFormat="1" applyFont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wrapText="1"/>
    </xf>
    <xf numFmtId="0" fontId="8" fillId="0" borderId="0" xfId="0" applyFont="1" applyAlignment="1"/>
    <xf numFmtId="0" fontId="5" fillId="0" borderId="0" xfId="0" applyFont="1" applyFill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2">
    <cellStyle name="Normal" xfId="0" builtinId="0"/>
    <cellStyle name="Porcentaje" xfId="1" builtinId="5"/>
  </cellStyles>
  <dxfs count="14">
    <dxf>
      <numFmt numFmtId="0" formatCode="General"/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9:N16" totalsRowShown="0" headerRowDxfId="13" dataDxfId="11" headerRowBorderDxfId="12" tableBorderDxfId="10" totalsRowBorderDxfId="9">
  <autoFilter ref="F9:N16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xmlns:xlrd2="http://schemas.microsoft.com/office/spreadsheetml/2017/richdata2" ref="F10:L10">
    <sortCondition descending="1" ref="L9:L10"/>
  </sortState>
  <tableColumns count="9">
    <tableColumn id="1" xr3:uid="{097AA7CE-2C19-4522-AFCC-2D7077ABB6B9}" name="Grupo Homogéneo" dataDxfId="8"/>
    <tableColumn id="7" xr3:uid="{D98F6B8F-397F-414D-99E0-EA065B438F0C}" name="Uso final de energía" dataDxfId="7"/>
    <tableColumn id="2" xr3:uid="{B5D1F10D-371F-4B26-972F-7E20D881EF10}" name="Proceso" dataDxfId="6"/>
    <tableColumn id="3" xr3:uid="{D5C4E4C9-E4CD-42F0-B878-EAED958F5FA0}" name="Energético" dataDxfId="5"/>
    <tableColumn id="4" xr3:uid="{B7B5D837-72C9-44E9-A5D9-0A2D73C6B023}" name="Unidades indicador área" dataDxfId="4"/>
    <tableColumn id="9" xr3:uid="{3AD82B07-3885-48D4-987A-DBF40EFD0198}" name="Indicador" dataDxfId="3"/>
    <tableColumn id="10" xr3:uid="{E16307D2-7B0D-4BEC-94C3-8D5C9401D2A7}" name="Consumo energía [MJ/año]" dataDxfId="2">
      <calculatedColumnFormula>Tabla2[[#This Row],[Indicador]]*$B$5</calculatedColumnFormula>
    </tableColumn>
    <tableColumn id="5" xr3:uid="{79909904-9B17-4363-99F8-4B1A02BB929C}" name="Particiáción" dataDxfId="1" dataCellStyle="Porcentaje">
      <calculatedColumnFormula>Tabla2[[#This Row],[Consumo energía '[MJ/año']]]/$L$8</calculatedColumnFormula>
    </tableColumn>
    <tableColumn id="6" xr3:uid="{807B0DFA-0B9E-4A02-B4B2-0FEEC78F9496}" name="Consumo energía corregido [MJ/año]" dataDxfId="0">
      <calculatedColumnFormula>IF(Tabla2[[#This Row],[Energético]]="Energía Eléctrica",((Tabla2[[#This Row],[Particiáción]]*$D$28)/SUMIF(Tabla2[Energético],"Energía Eléctrica",Tabla2[Particiáción]))*$B$31,Tabla2[[#This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37"/>
  <sheetViews>
    <sheetView showGridLines="0" tabSelected="1" topLeftCell="A19" workbookViewId="0">
      <selection activeCell="C38" sqref="C38"/>
    </sheetView>
  </sheetViews>
  <sheetFormatPr baseColWidth="10" defaultRowHeight="12.75" x14ac:dyDescent="0.2"/>
  <cols>
    <col min="1" max="1" width="33.85546875" style="9" customWidth="1"/>
    <col min="2" max="2" width="16.42578125" style="9" customWidth="1"/>
    <col min="3" max="3" width="14.28515625" style="9" customWidth="1"/>
    <col min="4" max="4" width="17.140625" style="9" bestFit="1" customWidth="1"/>
    <col min="5" max="5" width="21" style="9" customWidth="1"/>
    <col min="6" max="7" width="40" style="9" customWidth="1"/>
    <col min="8" max="8" width="30.5703125" style="9" customWidth="1"/>
    <col min="9" max="9" width="26.5703125" style="9" customWidth="1"/>
    <col min="10" max="10" width="17.7109375" style="9" bestFit="1" customWidth="1"/>
    <col min="11" max="11" width="11.42578125" style="9"/>
    <col min="12" max="12" width="24.5703125" style="9" customWidth="1"/>
    <col min="13" max="13" width="12.85546875" style="9" customWidth="1"/>
    <col min="14" max="14" width="24.140625" style="9" customWidth="1"/>
    <col min="15" max="16384" width="11.42578125" style="9"/>
  </cols>
  <sheetData>
    <row r="1" spans="1:14" ht="18" x14ac:dyDescent="0.25">
      <c r="A1" s="8"/>
      <c r="G1" s="11"/>
      <c r="J1" s="10"/>
    </row>
    <row r="2" spans="1:14" x14ac:dyDescent="0.2">
      <c r="G2" s="11"/>
      <c r="H2" s="12"/>
      <c r="J2" s="10"/>
    </row>
    <row r="3" spans="1:14" ht="15.75" x14ac:dyDescent="0.2">
      <c r="A3" s="64" t="s">
        <v>41</v>
      </c>
      <c r="B3" s="65"/>
      <c r="G3" s="11"/>
      <c r="J3" s="10"/>
    </row>
    <row r="4" spans="1:14" x14ac:dyDescent="0.2">
      <c r="A4" s="2" t="s">
        <v>19</v>
      </c>
      <c r="B4" s="13" t="s">
        <v>32</v>
      </c>
      <c r="D4" s="10"/>
      <c r="G4" s="52"/>
      <c r="H4" s="12"/>
      <c r="J4" s="10"/>
    </row>
    <row r="5" spans="1:14" x14ac:dyDescent="0.2">
      <c r="A5" s="33" t="s">
        <v>35</v>
      </c>
      <c r="B5" s="14">
        <v>16250000000</v>
      </c>
      <c r="C5" s="59" t="s">
        <v>36</v>
      </c>
      <c r="D5" s="40"/>
      <c r="G5" s="52"/>
      <c r="L5" s="52"/>
    </row>
    <row r="6" spans="1:14" x14ac:dyDescent="0.2">
      <c r="A6" s="2" t="s">
        <v>13</v>
      </c>
      <c r="B6" s="14">
        <f>D15</f>
        <v>5083800.2053148774</v>
      </c>
      <c r="C6" s="59" t="s">
        <v>53</v>
      </c>
    </row>
    <row r="7" spans="1:14" ht="26.25" customHeight="1" x14ac:dyDescent="0.25">
      <c r="A7" s="2" t="s">
        <v>52</v>
      </c>
      <c r="B7" s="15">
        <f>+B6*3.6</f>
        <v>18301680.739133559</v>
      </c>
      <c r="C7" s="16"/>
      <c r="F7" s="66" t="s">
        <v>48</v>
      </c>
      <c r="G7" s="66"/>
      <c r="H7" s="66"/>
      <c r="I7" s="66"/>
      <c r="J7" s="66"/>
      <c r="L7" s="53"/>
      <c r="N7" s="17" t="s">
        <v>22</v>
      </c>
    </row>
    <row r="8" spans="1:14" ht="15.75" x14ac:dyDescent="0.25">
      <c r="J8" s="60"/>
      <c r="L8" s="63">
        <f>SUM(Tabla2[Consumo energía '[MJ/año']])</f>
        <v>866896548.51219535</v>
      </c>
      <c r="N8" s="18">
        <f>SUM(Tabla2[Consumo energía corregido '[MJ/año']])</f>
        <v>104557029.69790928</v>
      </c>
    </row>
    <row r="9" spans="1:14" s="1" customFormat="1" ht="25.5" x14ac:dyDescent="0.2">
      <c r="F9" s="4" t="s">
        <v>14</v>
      </c>
      <c r="G9" s="4" t="s">
        <v>42</v>
      </c>
      <c r="H9" s="5" t="s">
        <v>15</v>
      </c>
      <c r="I9" s="5" t="s">
        <v>16</v>
      </c>
      <c r="J9" s="6" t="s">
        <v>27</v>
      </c>
      <c r="K9" s="5" t="s">
        <v>17</v>
      </c>
      <c r="L9" s="7" t="s">
        <v>55</v>
      </c>
      <c r="M9" s="5" t="s">
        <v>49</v>
      </c>
      <c r="N9" s="5" t="s">
        <v>54</v>
      </c>
    </row>
    <row r="10" spans="1:14" x14ac:dyDescent="0.2">
      <c r="F10" s="19" t="s">
        <v>32</v>
      </c>
      <c r="G10" s="19" t="s">
        <v>43</v>
      </c>
      <c r="H10" s="20" t="s">
        <v>24</v>
      </c>
      <c r="I10" s="20" t="s">
        <v>2</v>
      </c>
      <c r="J10" s="20" t="s">
        <v>39</v>
      </c>
      <c r="K10" s="21">
        <v>7.9683794466403162E-7</v>
      </c>
      <c r="L10" s="22">
        <f>Tabla2[[#This Row],[Indicador]]*$B$5</f>
        <v>12948.616600790514</v>
      </c>
      <c r="M10" s="41">
        <f>Tabla2[[#This Row],[Consumo energía '[MJ/año']]]/$L$8</f>
        <v>1.4936749515283547E-5</v>
      </c>
      <c r="N10" s="61">
        <f>IF(Tabla2[[#This Row],[Energético]]="Energía Eléctrica",((Tabla2[[#This Row],[Particiáción]]*$D$28)/SUMIF(Tabla2[Energético],"Energía Eléctrica",Tabla2[Particiáción]))*$B$31,Tabla2[[#This Row],[Consumo energía '[MJ/año']]])</f>
        <v>303.57281575284838</v>
      </c>
    </row>
    <row r="11" spans="1:14" x14ac:dyDescent="0.2">
      <c r="F11" s="19" t="s">
        <v>32</v>
      </c>
      <c r="G11" s="19" t="s">
        <v>43</v>
      </c>
      <c r="H11" s="20" t="s">
        <v>24</v>
      </c>
      <c r="I11" s="20" t="s">
        <v>9</v>
      </c>
      <c r="J11" s="20" t="s">
        <v>39</v>
      </c>
      <c r="K11" s="21">
        <v>3.3394861749416109E-4</v>
      </c>
      <c r="L11" s="22">
        <f>Tabla2[[#This Row],[Indicador]]*$B$5</f>
        <v>5426665.0342801176</v>
      </c>
      <c r="M11" s="42">
        <f>Tabla2[[#This Row],[Consumo energía '[MJ/año']]]/$L$8</f>
        <v>6.2598761566112944E-3</v>
      </c>
      <c r="N11" s="61">
        <f>IF(Tabla2[[#This Row],[Energético]]="Energía Eléctrica",((Tabla2[[#This Row],[Particiáción]]*$D$28)/SUMIF(Tabla2[Energético],"Energía Eléctrica",Tabla2[Particiáción]))*$B$31,Tabla2[[#This Row],[Consumo energía '[MJ/año']]])</f>
        <v>5426665.0342801176</v>
      </c>
    </row>
    <row r="12" spans="1:14" x14ac:dyDescent="0.2">
      <c r="F12" s="19" t="s">
        <v>32</v>
      </c>
      <c r="G12" s="19" t="s">
        <v>44</v>
      </c>
      <c r="H12" s="20" t="s">
        <v>25</v>
      </c>
      <c r="I12" s="20" t="s">
        <v>2</v>
      </c>
      <c r="J12" s="20" t="s">
        <v>39</v>
      </c>
      <c r="K12" s="21">
        <v>2.4011207233674971E-2</v>
      </c>
      <c r="L12" s="22">
        <f>Tabla2[[#This Row],[Indicador]]*$B$5</f>
        <v>390182117.54721826</v>
      </c>
      <c r="M12" s="42">
        <f>Tabla2[[#This Row],[Consumo energía '[MJ/año']]]/$L$8</f>
        <v>0.45009074983268232</v>
      </c>
      <c r="N12" s="61">
        <f>IF(Tabla2[[#This Row],[Energético]]="Energía Eléctrica",((Tabla2[[#This Row],[Particiáción]]*$D$28)/SUMIF(Tabla2[Energético],"Energía Eléctrica",Tabla2[Particiáción]))*$B$31,Tabla2[[#This Row],[Consumo energía '[MJ/año']]])</f>
        <v>9147593.7339118235</v>
      </c>
    </row>
    <row r="13" spans="1:14" ht="25.5" x14ac:dyDescent="0.2">
      <c r="A13" s="51" t="s">
        <v>38</v>
      </c>
      <c r="B13" s="51" t="s">
        <v>34</v>
      </c>
      <c r="C13" s="40" t="s">
        <v>37</v>
      </c>
      <c r="D13" s="9" t="s">
        <v>51</v>
      </c>
      <c r="F13" s="19" t="s">
        <v>32</v>
      </c>
      <c r="G13" s="19" t="s">
        <v>45</v>
      </c>
      <c r="H13" s="20" t="s">
        <v>25</v>
      </c>
      <c r="I13" s="20" t="s">
        <v>2</v>
      </c>
      <c r="J13" s="20" t="s">
        <v>39</v>
      </c>
      <c r="K13" s="21">
        <v>2.4011207233674971E-2</v>
      </c>
      <c r="L13" s="22">
        <f>Tabla2[[#This Row],[Indicador]]*$B$5</f>
        <v>390182117.54721826</v>
      </c>
      <c r="M13" s="42">
        <f>Tabla2[[#This Row],[Consumo energía '[MJ/año']]]/$L$8</f>
        <v>0.45009074983268232</v>
      </c>
      <c r="N13" s="61">
        <f>IF(Tabla2[[#This Row],[Energético]]="Energía Eléctrica",((Tabla2[[#This Row],[Particiáción]]*$D$28)/SUMIF(Tabla2[Energético],"Energía Eléctrica",Tabla2[Particiáción]))*$B$31,Tabla2[[#This Row],[Consumo energía '[MJ/año']]])</f>
        <v>9147593.7339118235</v>
      </c>
    </row>
    <row r="14" spans="1:14" ht="38.25" x14ac:dyDescent="0.2">
      <c r="A14" s="3" t="s">
        <v>46</v>
      </c>
      <c r="B14" s="3" t="s">
        <v>47</v>
      </c>
      <c r="C14" s="3" t="s">
        <v>1</v>
      </c>
      <c r="D14" s="3" t="s">
        <v>56</v>
      </c>
      <c r="F14" s="19" t="s">
        <v>32</v>
      </c>
      <c r="G14" s="19" t="s">
        <v>44</v>
      </c>
      <c r="H14" s="20" t="s">
        <v>25</v>
      </c>
      <c r="I14" s="20" t="s">
        <v>10</v>
      </c>
      <c r="J14" s="20" t="s">
        <v>39</v>
      </c>
      <c r="K14" s="21">
        <v>4.9740728568920378E-3</v>
      </c>
      <c r="L14" s="22">
        <f>Tabla2[[#This Row],[Indicador]]*$B$5</f>
        <v>80828683.924495608</v>
      </c>
      <c r="M14" s="42">
        <f>Tabla2[[#This Row],[Consumo energía '[MJ/año']]]/$L$8</f>
        <v>9.3239134546350688E-2</v>
      </c>
      <c r="N14" s="61">
        <f>IF(Tabla2[[#This Row],[Energético]]="Energía Eléctrica",((Tabla2[[#This Row],[Particiáción]]*$D$28)/SUMIF(Tabla2[Energético],"Energía Eléctrica",Tabla2[Particiáción]))*$B$31,Tabla2[[#This Row],[Consumo energía '[MJ/año']]])</f>
        <v>80828683.924495608</v>
      </c>
    </row>
    <row r="15" spans="1:14" x14ac:dyDescent="0.2">
      <c r="A15" s="34" t="s">
        <v>28</v>
      </c>
      <c r="B15" s="34">
        <v>64682667.299999997</v>
      </c>
      <c r="C15" s="45">
        <f>B15/B17</f>
        <v>0.30054530693508225</v>
      </c>
      <c r="D15" s="34">
        <f>D17*C15</f>
        <v>5083800.2053148774</v>
      </c>
      <c r="F15" s="19" t="s">
        <v>32</v>
      </c>
      <c r="G15" s="19" t="s">
        <v>43</v>
      </c>
      <c r="H15" s="20" t="s">
        <v>26</v>
      </c>
      <c r="I15" s="20" t="s">
        <v>2</v>
      </c>
      <c r="J15" s="20" t="s">
        <v>39</v>
      </c>
      <c r="K15" s="21">
        <v>1.5262523940108225E-5</v>
      </c>
      <c r="L15" s="22">
        <f>Tabla2[[#This Row],[Indicador]]*$B$5</f>
        <v>248016.01402675867</v>
      </c>
      <c r="M15" s="43">
        <f>Tabla2[[#This Row],[Consumo energía '[MJ/año']]]/$L$8</f>
        <v>2.8609643728817963E-4</v>
      </c>
      <c r="N15" s="61">
        <f>IF(Tabla2[[#This Row],[Energético]]="Energía Eléctrica",((Tabla2[[#This Row],[Particiáción]]*$D$28)/SUMIF(Tabla2[Energético],"Energía Eléctrica",Tabla2[Particiáción]))*$B$31,Tabla2[[#This Row],[Consumo energía '[MJ/año']]])</f>
        <v>5814.5917862225178</v>
      </c>
    </row>
    <row r="16" spans="1:14" x14ac:dyDescent="0.2">
      <c r="A16" s="46" t="s">
        <v>30</v>
      </c>
      <c r="B16" s="47">
        <f>B17-B15</f>
        <v>150535024.69999999</v>
      </c>
      <c r="C16" s="48">
        <f>B16/B17</f>
        <v>0.6994546930649177</v>
      </c>
      <c r="D16" s="47">
        <f>D17*C16</f>
        <v>11831453.794685122</v>
      </c>
      <c r="F16" s="19" t="s">
        <v>32</v>
      </c>
      <c r="G16" s="19" t="s">
        <v>43</v>
      </c>
      <c r="H16" s="20" t="s">
        <v>33</v>
      </c>
      <c r="I16" s="20" t="s">
        <v>2</v>
      </c>
      <c r="J16" s="20" t="s">
        <v>39</v>
      </c>
      <c r="K16" s="21">
        <v>9.8460482187660634E-7</v>
      </c>
      <c r="L16" s="44">
        <f>Tabla2[[#This Row],[Indicador]]*$B$5</f>
        <v>15999.828355494854</v>
      </c>
      <c r="M16" s="42">
        <f>Tabla2[[#This Row],[Consumo energía '[MJ/año']]]/$L$8</f>
        <v>1.8456444869868775E-5</v>
      </c>
      <c r="N16" s="62">
        <f>IF(Tabla2[[#This Row],[Energético]]="Energía Eléctrica",((Tabla2[[#This Row],[Particiáción]]*$D$28)/SUMIF(Tabla2[Energético],"Energía Eléctrica",Tabla2[Particiáción]))*$B$31,Tabla2[[#This Row],[Consumo energía '[MJ/año']]])</f>
        <v>375.10670793537219</v>
      </c>
    </row>
    <row r="17" spans="1:10" x14ac:dyDescent="0.2">
      <c r="A17" s="49" t="s">
        <v>29</v>
      </c>
      <c r="B17" s="15">
        <v>215217692</v>
      </c>
      <c r="C17" s="50">
        <f>SUM(C15:C16)</f>
        <v>1</v>
      </c>
      <c r="D17" s="15">
        <v>16915254</v>
      </c>
      <c r="F17" s="31"/>
      <c r="G17" s="31"/>
      <c r="H17" s="31"/>
      <c r="I17" s="31"/>
      <c r="J17" s="31"/>
    </row>
    <row r="18" spans="1:10" x14ac:dyDescent="0.2">
      <c r="F18" s="31"/>
      <c r="G18" s="31"/>
      <c r="H18" s="31"/>
      <c r="I18" s="31"/>
      <c r="J18" s="31"/>
    </row>
    <row r="19" spans="1:10" x14ac:dyDescent="0.2">
      <c r="F19" s="31"/>
      <c r="G19" s="31"/>
      <c r="H19" s="37"/>
      <c r="I19" s="31"/>
      <c r="J19" s="31"/>
    </row>
    <row r="20" spans="1:10" x14ac:dyDescent="0.2">
      <c r="F20" s="36"/>
      <c r="G20" s="36"/>
      <c r="H20" s="37"/>
      <c r="I20" s="31"/>
      <c r="J20" s="31"/>
    </row>
    <row r="21" spans="1:10" x14ac:dyDescent="0.2">
      <c r="F21" s="31"/>
      <c r="G21" s="31"/>
      <c r="H21" s="31"/>
      <c r="I21" s="31"/>
      <c r="J21" s="31"/>
    </row>
    <row r="22" spans="1:10" x14ac:dyDescent="0.2">
      <c r="F22" s="31"/>
      <c r="G22" s="31"/>
      <c r="H22" s="31"/>
      <c r="I22" s="31"/>
      <c r="J22" s="31"/>
    </row>
    <row r="23" spans="1:10" x14ac:dyDescent="0.2">
      <c r="F23" s="35"/>
      <c r="G23" s="35"/>
      <c r="H23" s="37"/>
      <c r="I23" s="31"/>
      <c r="J23" s="31"/>
    </row>
    <row r="24" spans="1:10" x14ac:dyDescent="0.2">
      <c r="F24" s="35"/>
      <c r="G24" s="35"/>
      <c r="H24" s="37"/>
      <c r="I24" s="31"/>
      <c r="J24" s="31"/>
    </row>
    <row r="25" spans="1:10" ht="15.75" x14ac:dyDescent="0.25">
      <c r="A25" s="66" t="s">
        <v>18</v>
      </c>
      <c r="B25" s="66"/>
      <c r="C25" s="66"/>
      <c r="D25" s="66"/>
      <c r="F25" s="31"/>
      <c r="G25" s="31"/>
      <c r="H25" s="31"/>
      <c r="I25" s="31"/>
      <c r="J25" s="31"/>
    </row>
    <row r="26" spans="1:10" x14ac:dyDescent="0.2">
      <c r="F26" s="31"/>
      <c r="G26" s="31"/>
      <c r="H26" s="31"/>
      <c r="I26" s="31"/>
      <c r="J26" s="31"/>
    </row>
    <row r="27" spans="1:10" x14ac:dyDescent="0.2">
      <c r="A27" s="3" t="s">
        <v>0</v>
      </c>
      <c r="B27" s="3" t="s">
        <v>20</v>
      </c>
      <c r="C27" s="3" t="s">
        <v>21</v>
      </c>
      <c r="D27" s="3" t="s">
        <v>1</v>
      </c>
      <c r="F27" s="39"/>
      <c r="G27" s="39"/>
      <c r="H27" s="37"/>
      <c r="I27" s="31"/>
      <c r="J27" s="31"/>
    </row>
    <row r="28" spans="1:10" x14ac:dyDescent="0.2">
      <c r="A28" s="23" t="s">
        <v>2</v>
      </c>
      <c r="B28" s="24">
        <f>B7</f>
        <v>18301680.739133559</v>
      </c>
      <c r="C28" s="57">
        <f>Huevos!$B28/1000000</f>
        <v>18.301680739133559</v>
      </c>
      <c r="D28" s="25">
        <f>B28/$B$31</f>
        <v>0.17504017464929494</v>
      </c>
      <c r="E28" s="31"/>
      <c r="F28" s="31"/>
      <c r="G28" s="31"/>
      <c r="H28" s="32"/>
      <c r="I28" s="31"/>
      <c r="J28" s="31"/>
    </row>
    <row r="29" spans="1:10" x14ac:dyDescent="0.2">
      <c r="A29" s="23" t="s">
        <v>9</v>
      </c>
      <c r="B29" s="26">
        <f>SUMIF(Tabla2[Energético],A29,Tabla2[Consumo energía '[MJ/año']])</f>
        <v>5426665.0342801176</v>
      </c>
      <c r="C29" s="57">
        <f>Huevos!$B29/1000000</f>
        <v>5.4266650342801173</v>
      </c>
      <c r="D29" s="27">
        <f>B29/$B$31</f>
        <v>5.1901484290047969E-2</v>
      </c>
      <c r="F29" s="31"/>
      <c r="G29" s="31"/>
      <c r="H29" s="31"/>
      <c r="I29" s="31"/>
      <c r="J29" s="31"/>
    </row>
    <row r="30" spans="1:10" x14ac:dyDescent="0.2">
      <c r="A30" s="23" t="s">
        <v>10</v>
      </c>
      <c r="B30" s="26">
        <f>SUMIF(Tabla2[Energético],A30,Tabla2[Consumo energía '[MJ/año']])</f>
        <v>80828683.924495608</v>
      </c>
      <c r="C30" s="57">
        <f>Huevos!$B30/1000000</f>
        <v>80.828683924495607</v>
      </c>
      <c r="D30" s="27">
        <f>B30/$B$31</f>
        <v>0.77305834106065707</v>
      </c>
      <c r="F30" s="31"/>
      <c r="G30" s="31"/>
      <c r="H30" s="31"/>
      <c r="I30" s="31"/>
      <c r="J30" s="31"/>
    </row>
    <row r="31" spans="1:10" x14ac:dyDescent="0.2">
      <c r="A31" s="54" t="s">
        <v>50</v>
      </c>
      <c r="B31" s="55">
        <f>SUM(B28:B30)</f>
        <v>104557029.69790928</v>
      </c>
      <c r="C31" s="58">
        <f>SUM(C28:C30)</f>
        <v>104.55702969790929</v>
      </c>
      <c r="D31" s="56">
        <f>SUM(D28:D30)</f>
        <v>1</v>
      </c>
      <c r="E31" s="31"/>
    </row>
    <row r="35" spans="1:3" ht="18" x14ac:dyDescent="0.25">
      <c r="A35" s="67" t="s">
        <v>23</v>
      </c>
      <c r="B35" s="67"/>
      <c r="C35" s="67"/>
    </row>
    <row r="36" spans="1:3" ht="25.5" x14ac:dyDescent="0.2">
      <c r="A36" s="28" t="str">
        <f>+A4</f>
        <v>Grupo Homogeneo</v>
      </c>
      <c r="B36" s="28" t="s">
        <v>40</v>
      </c>
      <c r="C36" s="28" t="s">
        <v>31</v>
      </c>
    </row>
    <row r="37" spans="1:3" x14ac:dyDescent="0.2">
      <c r="A37" s="29" t="str">
        <f>+$B$4</f>
        <v>Huevos</v>
      </c>
      <c r="B37" s="38">
        <f>+B31/B5</f>
        <v>6.4342787506405713E-3</v>
      </c>
      <c r="C37" s="30">
        <f>+B37*1000000</f>
        <v>6434.2787506405712</v>
      </c>
    </row>
  </sheetData>
  <mergeCells count="4">
    <mergeCell ref="A3:B3"/>
    <mergeCell ref="A25:D25"/>
    <mergeCell ref="F7:J7"/>
    <mergeCell ref="A35:C35"/>
  </mergeCells>
  <phoneticPr fontId="9" type="noConversion"/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A28:A30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Huevos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ANDRES STEVEN MORALES RODRIGUEZ</cp:lastModifiedBy>
  <dcterms:created xsi:type="dcterms:W3CDTF">2023-12-20T19:43:59Z</dcterms:created>
  <dcterms:modified xsi:type="dcterms:W3CDTF">2024-02-05T16:23:12Z</dcterms:modified>
</cp:coreProperties>
</file>