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96510767-63CA-427B-AFCC-AA1B8B5E910E}" xr6:coauthVersionLast="47" xr6:coauthVersionMax="47" xr10:uidLastSave="{00000000-0000-0000-0000-000000000000}"/>
  <bookViews>
    <workbookView xWindow="-19320" yWindow="-120" windowWidth="19440" windowHeight="15000" xr2:uid="{4F4AC0FB-F22A-4F96-AA86-2713B2BEDCFC}"/>
  </bookViews>
  <sheets>
    <sheet name="Participación" sheetId="6" r:id="rId1"/>
    <sheet name="Cítricos" sheetId="1" r:id="rId2"/>
    <sheet name="Mango" sheetId="3" r:id="rId3"/>
    <sheet name="Consolidado" sheetId="5" r:id="rId4"/>
    <sheet name="Hoja2" sheetId="2" state="hidden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5" l="1"/>
  <c r="R9" i="3"/>
  <c r="R9" i="1"/>
  <c r="C3" i="6" l="1"/>
  <c r="D4" i="6" s="1"/>
  <c r="D20" i="6" s="1"/>
  <c r="D6" i="6" l="1"/>
  <c r="D5" i="6"/>
  <c r="K29" i="6" s="1"/>
  <c r="J29" i="6"/>
  <c r="M26" i="6" s="1"/>
  <c r="M24" i="6"/>
  <c r="N24" i="6" s="1"/>
  <c r="C20" i="6"/>
  <c r="M13" i="6"/>
  <c r="G4" i="6"/>
  <c r="M12" i="1"/>
  <c r="N12" i="1" s="1"/>
  <c r="P12" i="1" s="1"/>
  <c r="R12" i="1" s="1"/>
  <c r="M13" i="1"/>
  <c r="M14" i="1"/>
  <c r="N14" i="1" s="1"/>
  <c r="P14" i="1" s="1"/>
  <c r="R14" i="1" s="1"/>
  <c r="M15" i="1"/>
  <c r="N15" i="1" s="1"/>
  <c r="P15" i="1" s="1"/>
  <c r="R15" i="1" s="1"/>
  <c r="M16" i="1"/>
  <c r="N16" i="1" s="1"/>
  <c r="P16" i="1" s="1"/>
  <c r="M17" i="1"/>
  <c r="N17" i="1" s="1"/>
  <c r="P17" i="1" s="1"/>
  <c r="R17" i="1" s="1"/>
  <c r="M18" i="1"/>
  <c r="N18" i="1" s="1"/>
  <c r="P18" i="1" s="1"/>
  <c r="R18" i="1" s="1"/>
  <c r="M19" i="1"/>
  <c r="N19" i="1" s="1"/>
  <c r="P19" i="1" s="1"/>
  <c r="R19" i="1" s="1"/>
  <c r="M20" i="1"/>
  <c r="N20" i="1" s="1"/>
  <c r="P20" i="1" s="1"/>
  <c r="R20" i="1" s="1"/>
  <c r="M21" i="1"/>
  <c r="N21" i="1" s="1"/>
  <c r="P21" i="1" s="1"/>
  <c r="R21" i="1" s="1"/>
  <c r="M22" i="1"/>
  <c r="N22" i="1" s="1"/>
  <c r="P22" i="1" s="1"/>
  <c r="R22" i="1" s="1"/>
  <c r="M23" i="1"/>
  <c r="N23" i="1" s="1"/>
  <c r="P23" i="1" s="1"/>
  <c r="R23" i="1" s="1"/>
  <c r="M24" i="1"/>
  <c r="N24" i="1" s="1"/>
  <c r="P24" i="1" s="1"/>
  <c r="R24" i="1" s="1"/>
  <c r="N13" i="1"/>
  <c r="P13" i="1" s="1"/>
  <c r="R13" i="1" s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M12" i="3"/>
  <c r="N12" i="3" s="1"/>
  <c r="P12" i="3" s="1"/>
  <c r="R12" i="3" s="1"/>
  <c r="M13" i="3"/>
  <c r="N13" i="3" s="1"/>
  <c r="P13" i="3" s="1"/>
  <c r="R13" i="3" s="1"/>
  <c r="M14" i="3"/>
  <c r="M15" i="3"/>
  <c r="N15" i="3" s="1"/>
  <c r="P15" i="3" s="1"/>
  <c r="R15" i="3" s="1"/>
  <c r="M16" i="3"/>
  <c r="N16" i="3" s="1"/>
  <c r="P16" i="3" s="1"/>
  <c r="M17" i="3"/>
  <c r="N17" i="3" s="1"/>
  <c r="P17" i="3" s="1"/>
  <c r="R17" i="3" s="1"/>
  <c r="M18" i="3"/>
  <c r="N18" i="3" s="1"/>
  <c r="P18" i="3" s="1"/>
  <c r="R18" i="3" s="1"/>
  <c r="M19" i="3"/>
  <c r="N19" i="3" s="1"/>
  <c r="P19" i="3" s="1"/>
  <c r="R19" i="3" s="1"/>
  <c r="M20" i="3"/>
  <c r="N20" i="3" s="1"/>
  <c r="P20" i="3" s="1"/>
  <c r="R20" i="3" s="1"/>
  <c r="M21" i="3"/>
  <c r="N21" i="3" s="1"/>
  <c r="P21" i="3" s="1"/>
  <c r="R21" i="3" s="1"/>
  <c r="M22" i="3"/>
  <c r="N22" i="3" s="1"/>
  <c r="P22" i="3" s="1"/>
  <c r="R22" i="3" s="1"/>
  <c r="M23" i="3"/>
  <c r="N23" i="3" s="1"/>
  <c r="P23" i="3" s="1"/>
  <c r="R23" i="3" s="1"/>
  <c r="M24" i="3"/>
  <c r="N24" i="3" s="1"/>
  <c r="P24" i="3" s="1"/>
  <c r="R24" i="3" s="1"/>
  <c r="N14" i="3"/>
  <c r="P14" i="3" s="1"/>
  <c r="R14" i="3" s="1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M12" i="5"/>
  <c r="N12" i="5" s="1"/>
  <c r="P12" i="5" s="1"/>
  <c r="R12" i="5" s="1"/>
  <c r="M13" i="5"/>
  <c r="N13" i="5" s="1"/>
  <c r="P13" i="5" s="1"/>
  <c r="R13" i="5" s="1"/>
  <c r="M14" i="5"/>
  <c r="N14" i="5" s="1"/>
  <c r="P14" i="5" s="1"/>
  <c r="R14" i="5" s="1"/>
  <c r="M15" i="5"/>
  <c r="N15" i="5" s="1"/>
  <c r="P15" i="5" s="1"/>
  <c r="R15" i="5" s="1"/>
  <c r="M16" i="5"/>
  <c r="N16" i="5" s="1"/>
  <c r="P16" i="5" s="1"/>
  <c r="M17" i="5"/>
  <c r="N17" i="5" s="1"/>
  <c r="P17" i="5" s="1"/>
  <c r="R17" i="5" s="1"/>
  <c r="M18" i="5"/>
  <c r="N18" i="5" s="1"/>
  <c r="P18" i="5" s="1"/>
  <c r="R18" i="5" s="1"/>
  <c r="M19" i="5"/>
  <c r="N19" i="5" s="1"/>
  <c r="P19" i="5" s="1"/>
  <c r="R19" i="5" s="1"/>
  <c r="M20" i="5"/>
  <c r="N20" i="5" s="1"/>
  <c r="P20" i="5" s="1"/>
  <c r="R20" i="5" s="1"/>
  <c r="M21" i="5"/>
  <c r="N21" i="5" s="1"/>
  <c r="P21" i="5" s="1"/>
  <c r="R21" i="5" s="1"/>
  <c r="M22" i="5"/>
  <c r="N22" i="5" s="1"/>
  <c r="P22" i="5" s="1"/>
  <c r="R22" i="5" s="1"/>
  <c r="M23" i="5"/>
  <c r="N23" i="5" s="1"/>
  <c r="P23" i="5" s="1"/>
  <c r="R23" i="5" s="1"/>
  <c r="M24" i="5"/>
  <c r="N24" i="5"/>
  <c r="P24" i="5" s="1"/>
  <c r="R24" i="5" s="1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M18" i="6" l="1"/>
  <c r="N18" i="6" s="1"/>
  <c r="C26" i="6"/>
  <c r="M14" i="6"/>
  <c r="M21" i="6"/>
  <c r="M17" i="6"/>
  <c r="N17" i="6" s="1"/>
  <c r="M23" i="6"/>
  <c r="N23" i="6" s="1"/>
  <c r="N13" i="6"/>
  <c r="B11" i="1" s="1"/>
  <c r="B7" i="1" s="1"/>
  <c r="B8" i="1" s="1"/>
  <c r="B29" i="1" s="1"/>
  <c r="N21" i="6"/>
  <c r="M27" i="6"/>
  <c r="N27" i="6" s="1"/>
  <c r="M28" i="6"/>
  <c r="N28" i="6" s="1"/>
  <c r="N26" i="6"/>
  <c r="N14" i="6"/>
  <c r="M16" i="6"/>
  <c r="N16" i="6" s="1"/>
  <c r="M20" i="6"/>
  <c r="N20" i="6" s="1"/>
  <c r="M25" i="6"/>
  <c r="N25" i="6" s="1"/>
  <c r="F15" i="6"/>
  <c r="G15" i="6" s="1"/>
  <c r="F19" i="6"/>
  <c r="G19" i="6" s="1"/>
  <c r="F14" i="6"/>
  <c r="G14" i="6" s="1"/>
  <c r="F13" i="6"/>
  <c r="G13" i="6" s="1"/>
  <c r="M15" i="6"/>
  <c r="N15" i="6" s="1"/>
  <c r="F17" i="6"/>
  <c r="G17" i="6" s="1"/>
  <c r="M19" i="6"/>
  <c r="N19" i="6" s="1"/>
  <c r="M22" i="6"/>
  <c r="N22" i="6" s="1"/>
  <c r="P24" i="6" l="1"/>
  <c r="N29" i="6"/>
  <c r="B11" i="3"/>
  <c r="B7" i="3" s="1"/>
  <c r="B8" i="3" s="1"/>
  <c r="B29" i="3" s="1"/>
  <c r="A38" i="5"/>
  <c r="A37" i="5"/>
  <c r="B31" i="5"/>
  <c r="O11" i="5"/>
  <c r="M11" i="5"/>
  <c r="N11" i="5" s="1"/>
  <c r="P11" i="5" s="1"/>
  <c r="R11" i="5" s="1"/>
  <c r="A38" i="3"/>
  <c r="A37" i="3"/>
  <c r="O11" i="3"/>
  <c r="M11" i="3"/>
  <c r="N11" i="3" s="1"/>
  <c r="A37" i="1"/>
  <c r="A38" i="1"/>
  <c r="O11" i="1"/>
  <c r="M11" i="1"/>
  <c r="N11" i="1" s="1"/>
  <c r="B11" i="5" l="1"/>
  <c r="B7" i="5" s="1"/>
  <c r="B8" i="5" s="1"/>
  <c r="B29" i="5" s="1"/>
  <c r="C29" i="3"/>
  <c r="B31" i="3"/>
  <c r="C31" i="3" s="1"/>
  <c r="C29" i="1"/>
  <c r="P9" i="5"/>
  <c r="B30" i="5"/>
  <c r="C31" i="5"/>
  <c r="P11" i="3"/>
  <c r="R11" i="3" s="1"/>
  <c r="B31" i="1"/>
  <c r="P11" i="1"/>
  <c r="R11" i="1" s="1"/>
  <c r="Q13" i="5" l="1"/>
  <c r="Q17" i="5"/>
  <c r="Q21" i="5"/>
  <c r="Q14" i="5"/>
  <c r="Q18" i="5"/>
  <c r="Q22" i="5"/>
  <c r="Q11" i="5"/>
  <c r="Q15" i="5"/>
  <c r="Q19" i="5"/>
  <c r="Q23" i="5"/>
  <c r="Q12" i="5"/>
  <c r="Q16" i="5"/>
  <c r="Q20" i="5"/>
  <c r="Q24" i="5"/>
  <c r="C36" i="6"/>
  <c r="D36" i="6" s="1"/>
  <c r="C29" i="5"/>
  <c r="B27" i="5"/>
  <c r="C38" i="6"/>
  <c r="P9" i="1"/>
  <c r="C30" i="5"/>
  <c r="P9" i="3"/>
  <c r="B30" i="3"/>
  <c r="B27" i="3" s="1"/>
  <c r="B30" i="1"/>
  <c r="B27" i="1" s="1"/>
  <c r="B38" i="1" s="1"/>
  <c r="C38" i="1" s="1"/>
  <c r="C31" i="1"/>
  <c r="Q11" i="3" l="1"/>
  <c r="Q15" i="3"/>
  <c r="Q19" i="3"/>
  <c r="Q23" i="3"/>
  <c r="Q16" i="3"/>
  <c r="Q20" i="3"/>
  <c r="Q24" i="3"/>
  <c r="Q12" i="3"/>
  <c r="Q13" i="3"/>
  <c r="Q17" i="3"/>
  <c r="Q21" i="3"/>
  <c r="Q14" i="3"/>
  <c r="Q18" i="3"/>
  <c r="Q22" i="3"/>
  <c r="Q11" i="1"/>
  <c r="Q15" i="1"/>
  <c r="Q19" i="1"/>
  <c r="Q23" i="1"/>
  <c r="Q12" i="1"/>
  <c r="Q16" i="1"/>
  <c r="Q20" i="1"/>
  <c r="Q24" i="1"/>
  <c r="Q13" i="1"/>
  <c r="Q17" i="1"/>
  <c r="Q21" i="1"/>
  <c r="Q14" i="1"/>
  <c r="Q18" i="1"/>
  <c r="Q22" i="1"/>
  <c r="D38" i="6"/>
  <c r="C37" i="6"/>
  <c r="C30" i="3"/>
  <c r="C30" i="1"/>
  <c r="D29" i="1"/>
  <c r="R16" i="1" l="1"/>
  <c r="D37" i="6"/>
  <c r="D39" i="6" s="1"/>
  <c r="C39" i="6"/>
  <c r="D31" i="1"/>
  <c r="D30" i="1"/>
  <c r="E37" i="6" l="1"/>
  <c r="E38" i="6"/>
  <c r="E36" i="6"/>
  <c r="E39" i="6" l="1"/>
  <c r="D29" i="3"/>
  <c r="R16" i="3" s="1"/>
  <c r="D30" i="3"/>
  <c r="B38" i="3"/>
  <c r="C38" i="3" s="1"/>
  <c r="D31" i="3"/>
  <c r="D31" i="5"/>
  <c r="D29" i="5"/>
  <c r="R16" i="5" s="1"/>
  <c r="B38" i="5"/>
  <c r="C38" i="5" s="1"/>
  <c r="D30" i="5"/>
</calcChain>
</file>

<file path=xl/sharedStrings.xml><?xml version="1.0" encoding="utf-8"?>
<sst xmlns="http://schemas.openxmlformats.org/spreadsheetml/2006/main" count="458" uniqueCount="130">
  <si>
    <t>Energetico</t>
  </si>
  <si>
    <t>Participación</t>
  </si>
  <si>
    <t>Energía Eléctrica</t>
  </si>
  <si>
    <t>ACPM</t>
  </si>
  <si>
    <t>Biomasa primaria</t>
  </si>
  <si>
    <t>Biomasa secundaria</t>
  </si>
  <si>
    <t>Carbón</t>
  </si>
  <si>
    <t>Gas licuado</t>
  </si>
  <si>
    <t>Gas Natural</t>
  </si>
  <si>
    <t>Gasolina</t>
  </si>
  <si>
    <t>GLP</t>
  </si>
  <si>
    <t>Kerosene</t>
  </si>
  <si>
    <t>Leña</t>
  </si>
  <si>
    <t>Área productiva total</t>
  </si>
  <si>
    <t>Rendimiento</t>
  </si>
  <si>
    <t>Consumo Eléctricidad por sector</t>
  </si>
  <si>
    <t>Grupo Homogéneo</t>
  </si>
  <si>
    <t>Proceso</t>
  </si>
  <si>
    <t>Energético</t>
  </si>
  <si>
    <t>Cosecha</t>
  </si>
  <si>
    <t>Fertilización</t>
  </si>
  <si>
    <t>Fumigación</t>
  </si>
  <si>
    <t>Preparación del terreno</t>
  </si>
  <si>
    <t>Sistema de Riego y drenaje</t>
  </si>
  <si>
    <t>Producto final</t>
  </si>
  <si>
    <t>Unidades indicador producción</t>
  </si>
  <si>
    <t>Indicador</t>
  </si>
  <si>
    <t>Terreno fertilizado</t>
  </si>
  <si>
    <t>MJ/Ha</t>
  </si>
  <si>
    <t>Terreno fumigado</t>
  </si>
  <si>
    <t>Terreno arado</t>
  </si>
  <si>
    <t>Terreno rastrillado</t>
  </si>
  <si>
    <t>Terreno irrigado</t>
  </si>
  <si>
    <t>Parámetro</t>
  </si>
  <si>
    <t>Indicador área</t>
  </si>
  <si>
    <t>Unidades</t>
  </si>
  <si>
    <t>Debe estar en MJ/Tn o MJ/Ha</t>
  </si>
  <si>
    <t>Tabla 7 y Tabla 10</t>
  </si>
  <si>
    <t>Indicador [MJ/Ha]</t>
  </si>
  <si>
    <t>Indicador [MJ/Tn]</t>
  </si>
  <si>
    <t>Grupo Homogeneo</t>
  </si>
  <si>
    <t>MJ/año</t>
  </si>
  <si>
    <t>TJ/año</t>
  </si>
  <si>
    <t>Tabla 9</t>
  </si>
  <si>
    <t>Cítricos</t>
  </si>
  <si>
    <t>Frutas con poca mecanización</t>
  </si>
  <si>
    <t xml:space="preserve">Terreno fertilizado </t>
  </si>
  <si>
    <t>Mantenimiento</t>
  </si>
  <si>
    <t>Terreno guadañado</t>
  </si>
  <si>
    <t>Terreno cincelado</t>
  </si>
  <si>
    <t>Terreno con taipa</t>
  </si>
  <si>
    <t>mango</t>
  </si>
  <si>
    <t>Mora</t>
  </si>
  <si>
    <t>Tomate de árbol</t>
  </si>
  <si>
    <t>Guayaba</t>
  </si>
  <si>
    <t>Frutos de palma</t>
  </si>
  <si>
    <t>Uva</t>
  </si>
  <si>
    <t>Durazno</t>
  </si>
  <si>
    <t>Marañón</t>
  </si>
  <si>
    <t>Anonáceas</t>
  </si>
  <si>
    <t>Pera</t>
  </si>
  <si>
    <t>Ciruela</t>
  </si>
  <si>
    <t>Feijoa</t>
  </si>
  <si>
    <t>Manzana</t>
  </si>
  <si>
    <t>Arándano</t>
  </si>
  <si>
    <t>Pitaya</t>
  </si>
  <si>
    <t>consolidado</t>
  </si>
  <si>
    <t>Con los indicadores determinados (excepto el de Aguacate) se estimo el consumo de energía eléctrica, esto con la finalidad de saber como debería ser la distrubución entre frustas con mecanización y sin mecanización</t>
  </si>
  <si>
    <t>Total</t>
  </si>
  <si>
    <t>MJ</t>
  </si>
  <si>
    <t>Frutas con mecanización</t>
  </si>
  <si>
    <t>Del área total sembrada</t>
  </si>
  <si>
    <t>Referencia</t>
  </si>
  <si>
    <t>Aguacate</t>
  </si>
  <si>
    <t>→</t>
  </si>
  <si>
    <t xml:space="preserve">https://www.dane.gov.co/files/investigaciones/agropecuario/enda/ena/2019/boletin_ena_2019-I.pdf </t>
  </si>
  <si>
    <t>Se hizo la aproximación de que el 25% del área sembrada es equivalente al 25% del consumo entregado por manuel</t>
  </si>
  <si>
    <t>Con mecanización</t>
  </si>
  <si>
    <t>Sin mecanización</t>
  </si>
  <si>
    <t xml:space="preserve">Fruta con mecanización </t>
  </si>
  <si>
    <t>Área sembrada (Ha)</t>
  </si>
  <si>
    <t>Producción (Ton)</t>
  </si>
  <si>
    <t>Rendimiento (Ton/Ha)</t>
  </si>
  <si>
    <t xml:space="preserve">% de Participación por hectárea </t>
  </si>
  <si>
    <t>Para energía eléctrica</t>
  </si>
  <si>
    <t>Producto</t>
  </si>
  <si>
    <t>% de participación por hectárea</t>
  </si>
  <si>
    <t>Piña</t>
  </si>
  <si>
    <t>Cítricos (Limón, Naranja y Mandarina)</t>
  </si>
  <si>
    <t>15,2</t>
  </si>
  <si>
    <t>Pasifloras</t>
  </si>
  <si>
    <t>Mango</t>
  </si>
  <si>
    <t>9,34</t>
  </si>
  <si>
    <t>Fresa</t>
  </si>
  <si>
    <t>8,33</t>
  </si>
  <si>
    <t>18,61</t>
  </si>
  <si>
    <t>Papaya</t>
  </si>
  <si>
    <t>8,11</t>
  </si>
  <si>
    <t>Uchuva</t>
  </si>
  <si>
    <t>11,97</t>
  </si>
  <si>
    <t>13,22</t>
  </si>
  <si>
    <t>4,08</t>
  </si>
  <si>
    <t>18,5</t>
  </si>
  <si>
    <t>8,49</t>
  </si>
  <si>
    <t>11,12</t>
  </si>
  <si>
    <t>10,69</t>
  </si>
  <si>
    <t>11,7</t>
  </si>
  <si>
    <t>19,25</t>
  </si>
  <si>
    <t>8,76</t>
  </si>
  <si>
    <t>Total (con y sin)</t>
  </si>
  <si>
    <t>Consolidado</t>
  </si>
  <si>
    <t>Terreno cosechado</t>
  </si>
  <si>
    <t>Uso final de energía</t>
  </si>
  <si>
    <t>Fuerza motriz</t>
  </si>
  <si>
    <t>Consumo eléctrico por sector [kWh/año]</t>
  </si>
  <si>
    <t>Consumo electrico consolidado [kWh/año]</t>
  </si>
  <si>
    <t>% acumulado Consolidado</t>
  </si>
  <si>
    <t>Dato de información secundaria [Ha] Agronet</t>
  </si>
  <si>
    <t>Dato de información secundaria Tn/Ha Agronet</t>
  </si>
  <si>
    <t>Dato comercial por CIIU de XM [kWh/año]</t>
  </si>
  <si>
    <t>Dato comercial por CIIU de XM [MJ/año]</t>
  </si>
  <si>
    <t>Consumo energía [MJ/año]</t>
  </si>
  <si>
    <t>Consumo energía corregida [MJ/año]</t>
  </si>
  <si>
    <t>Total [MJ/año]</t>
  </si>
  <si>
    <t>consumo electrico cítricos [kWh/año]</t>
  </si>
  <si>
    <t>Consumo Eléctricidad por sector [MJ/año]</t>
  </si>
  <si>
    <t>consumo electrico mango [MJ/año]</t>
  </si>
  <si>
    <t>Consumo eléctrico por sector [MJ/año]</t>
  </si>
  <si>
    <t>Tabla 8. Indicador producción</t>
  </si>
  <si>
    <t>Sector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</si>
</sst>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0%"/>
  </numFmts>
  <fonts count="2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4"/>
      <color rgb="FFFF0000"/>
      <name val="Arial"/>
      <family val="2"/>
    </font>
    <font>
      <sz val="8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b/>
      <sz val="20"/>
      <color theme="0"/>
      <name val="Arial"/>
      <family val="2"/>
    </font>
    <font>
      <b/>
      <sz val="14"/>
      <color theme="0"/>
      <name val="Arial"/>
      <family val="2"/>
    </font>
    <font>
      <b/>
      <sz val="16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25A18E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206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 wrapText="1"/>
    </xf>
    <xf numFmtId="4" fontId="4" fillId="0" borderId="0" xfId="0" applyNumberFormat="1" applyFont="1"/>
    <xf numFmtId="0" fontId="5" fillId="4" borderId="0" xfId="0" applyFont="1" applyFill="1" applyAlignment="1">
      <alignment horizontal="center" wrapText="1"/>
    </xf>
    <xf numFmtId="0" fontId="3" fillId="0" borderId="1" xfId="0" applyFont="1" applyBorder="1"/>
    <xf numFmtId="4" fontId="0" fillId="2" borderId="1" xfId="0" applyNumberFormat="1" applyFill="1" applyBorder="1"/>
    <xf numFmtId="0" fontId="3" fillId="0" borderId="1" xfId="0" applyFont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0" fillId="2" borderId="1" xfId="0" applyFill="1" applyBorder="1"/>
    <xf numFmtId="0" fontId="7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/>
    <xf numFmtId="10" fontId="0" fillId="0" borderId="1" xfId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0" fontId="8" fillId="0" borderId="0" xfId="0" applyFont="1"/>
    <xf numFmtId="4" fontId="0" fillId="0" borderId="0" xfId="0" applyNumberFormat="1"/>
    <xf numFmtId="3" fontId="0" fillId="0" borderId="0" xfId="0" applyNumberFormat="1"/>
    <xf numFmtId="10" fontId="0" fillId="0" borderId="0" xfId="0" applyNumberFormat="1"/>
    <xf numFmtId="4" fontId="0" fillId="0" borderId="0" xfId="0" applyNumberFormat="1" applyAlignment="1">
      <alignment horizontal="center" vertical="center" wrapText="1"/>
    </xf>
    <xf numFmtId="0" fontId="0" fillId="0" borderId="0" xfId="0" applyAlignment="1">
      <alignment wrapText="1"/>
    </xf>
    <xf numFmtId="0" fontId="3" fillId="7" borderId="1" xfId="0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0" fillId="2" borderId="5" xfId="0" applyNumberForma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9" fillId="2" borderId="0" xfId="0" applyFont="1" applyFill="1"/>
    <xf numFmtId="4" fontId="9" fillId="2" borderId="0" xfId="0" applyNumberFormat="1" applyFont="1" applyFill="1"/>
    <xf numFmtId="10" fontId="0" fillId="2" borderId="1" xfId="1" applyNumberFormat="1" applyFont="1" applyFill="1" applyBorder="1"/>
    <xf numFmtId="0" fontId="0" fillId="2" borderId="0" xfId="0" applyFill="1"/>
    <xf numFmtId="164" fontId="13" fillId="0" borderId="0" xfId="1" applyNumberFormat="1" applyFont="1"/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0" fillId="2" borderId="0" xfId="0" applyFill="1" applyAlignment="1">
      <alignment horizontal="center" wrapText="1"/>
    </xf>
    <xf numFmtId="0" fontId="11" fillId="8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10" fontId="0" fillId="0" borderId="1" xfId="1" applyNumberFormat="1" applyFont="1" applyBorder="1" applyAlignment="1">
      <alignment horizontal="center" vertical="center" wrapText="1"/>
    </xf>
    <xf numFmtId="10" fontId="0" fillId="0" borderId="1" xfId="0" applyNumberFormat="1" applyBorder="1"/>
    <xf numFmtId="0" fontId="15" fillId="0" borderId="2" xfId="0" applyFont="1" applyBorder="1" applyAlignment="1">
      <alignment horizontal="center"/>
    </xf>
    <xf numFmtId="10" fontId="0" fillId="0" borderId="6" xfId="0" applyNumberFormat="1" applyBorder="1"/>
    <xf numFmtId="0" fontId="16" fillId="2" borderId="6" xfId="0" applyFont="1" applyFill="1" applyBorder="1" applyAlignment="1">
      <alignment horizontal="center" vertical="center" textRotation="90"/>
    </xf>
    <xf numFmtId="0" fontId="12" fillId="0" borderId="1" xfId="0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10" fontId="12" fillId="0" borderId="1" xfId="1" applyNumberFormat="1" applyFont="1" applyBorder="1" applyAlignment="1">
      <alignment horizontal="center" vertical="center" wrapText="1"/>
    </xf>
    <xf numFmtId="165" fontId="0" fillId="0" borderId="1" xfId="0" applyNumberFormat="1" applyBorder="1"/>
    <xf numFmtId="0" fontId="12" fillId="2" borderId="1" xfId="0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10" fontId="12" fillId="2" borderId="1" xfId="1" applyNumberFormat="1" applyFont="1" applyFill="1" applyBorder="1" applyAlignment="1">
      <alignment horizontal="center" vertical="center" wrapText="1"/>
    </xf>
    <xf numFmtId="165" fontId="0" fillId="2" borderId="1" xfId="0" applyNumberFormat="1" applyFill="1" applyBorder="1"/>
    <xf numFmtId="0" fontId="1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4" fontId="3" fillId="0" borderId="0" xfId="0" applyNumberFormat="1" applyFont="1" applyFill="1" applyBorder="1" applyAlignment="1">
      <alignment horizontal="center" vertical="center"/>
    </xf>
    <xf numFmtId="165" fontId="0" fillId="0" borderId="0" xfId="1" applyNumberFormat="1" applyFont="1" applyFill="1" applyBorder="1"/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4" fontId="0" fillId="9" borderId="1" xfId="0" applyNumberFormat="1" applyFill="1" applyBorder="1"/>
    <xf numFmtId="4" fontId="10" fillId="9" borderId="1" xfId="0" applyNumberFormat="1" applyFont="1" applyFill="1" applyBorder="1"/>
    <xf numFmtId="0" fontId="0" fillId="9" borderId="1" xfId="0" applyFill="1" applyBorder="1" applyAlignment="1">
      <alignment horizontal="center" wrapText="1"/>
    </xf>
    <xf numFmtId="3" fontId="0" fillId="0" borderId="5" xfId="0" applyNumberFormat="1" applyBorder="1"/>
    <xf numFmtId="0" fontId="3" fillId="10" borderId="1" xfId="0" applyFont="1" applyFill="1" applyBorder="1" applyAlignment="1">
      <alignment horizontal="center" vertical="center"/>
    </xf>
    <xf numFmtId="4" fontId="3" fillId="10" borderId="1" xfId="0" applyNumberFormat="1" applyFont="1" applyFill="1" applyBorder="1" applyAlignment="1">
      <alignment horizontal="center" vertical="center"/>
    </xf>
    <xf numFmtId="0" fontId="17" fillId="11" borderId="2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7" xfId="0" applyNumberFormat="1" applyFont="1" applyFill="1" applyBorder="1" applyAlignment="1">
      <alignment horizontal="center" vertical="center" wrapText="1"/>
    </xf>
    <xf numFmtId="3" fontId="12" fillId="2" borderId="7" xfId="0" applyNumberFormat="1" applyFont="1" applyFill="1" applyBorder="1" applyAlignment="1">
      <alignment horizontal="center" vertical="center" wrapText="1"/>
    </xf>
    <xf numFmtId="10" fontId="12" fillId="2" borderId="7" xfId="1" applyNumberFormat="1" applyFont="1" applyFill="1" applyBorder="1" applyAlignment="1">
      <alignment horizontal="center" vertical="center" wrapText="1"/>
    </xf>
    <xf numFmtId="165" fontId="0" fillId="2" borderId="7" xfId="0" applyNumberFormat="1" applyFill="1" applyBorder="1"/>
    <xf numFmtId="0" fontId="12" fillId="0" borderId="8" xfId="0" applyFont="1" applyBorder="1" applyAlignment="1">
      <alignment horizontal="center" vertical="center"/>
    </xf>
    <xf numFmtId="3" fontId="0" fillId="0" borderId="9" xfId="0" applyNumberFormat="1" applyBorder="1"/>
    <xf numFmtId="164" fontId="13" fillId="0" borderId="9" xfId="1" applyNumberFormat="1" applyFont="1" applyBorder="1"/>
    <xf numFmtId="0" fontId="0" fillId="0" borderId="9" xfId="0" applyBorder="1"/>
    <xf numFmtId="164" fontId="0" fillId="0" borderId="10" xfId="0" applyNumberFormat="1" applyBorder="1"/>
    <xf numFmtId="0" fontId="0" fillId="0" borderId="6" xfId="0" applyBorder="1" applyAlignment="1">
      <alignment horizontal="center" vertical="center" wrapText="1"/>
    </xf>
    <xf numFmtId="10" fontId="0" fillId="0" borderId="1" xfId="1" applyNumberFormat="1" applyFont="1" applyBorder="1" applyAlignment="1">
      <alignment horizontal="center"/>
    </xf>
    <xf numFmtId="4" fontId="5" fillId="5" borderId="0" xfId="0" applyNumberFormat="1" applyFont="1" applyFill="1" applyAlignment="1">
      <alignment horizontal="center" vertical="center"/>
    </xf>
    <xf numFmtId="0" fontId="18" fillId="3" borderId="6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9" fontId="3" fillId="10" borderId="1" xfId="1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54"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4" formatCode="0.00%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4" formatCode="0.00%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4" formatCode="0.00%"/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5A9D08-1377-468A-AF05-D7853C9878D0}" name="Tabla2" displayName="Tabla2" ref="F10:R24" totalsRowShown="0" headerRowDxfId="53" dataDxfId="51" headerRowBorderDxfId="52" tableBorderDxfId="50" totalsRowBorderDxfId="49">
  <autoFilter ref="F10:R24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097AA7CE-2C19-4522-AFCC-2D7077ABB6B9}" name="Grupo Homogéneo" dataDxfId="48"/>
    <tableColumn id="2" xr3:uid="{B5D1F10D-371F-4B26-972F-7E20D881EF10}" name="Proceso" dataDxfId="47"/>
    <tableColumn id="13" xr3:uid="{81577F67-AE7B-4793-A92A-FC72DE4C78D6}" name="Uso final de energía" dataDxfId="46"/>
    <tableColumn id="3" xr3:uid="{D5C4E4C9-E4CD-42F0-B878-EAED958F5FA0}" name="Energético" dataDxfId="45"/>
    <tableColumn id="4" xr3:uid="{B7B5D837-72C9-44E9-A5D9-0A2D73C6B023}" name="Producto final" dataDxfId="44"/>
    <tableColumn id="5" xr3:uid="{3CF749A7-0CC3-4EAE-8383-BA07291F80FF}" name="Unidades indicador producción" dataDxfId="43"/>
    <tableColumn id="6" xr3:uid="{380EDCBC-1202-4CB0-B868-AB32DBAE2810}" name="Indicador" dataDxfId="42"/>
    <tableColumn id="7" xr3:uid="{F7C4E07E-D41C-4EB3-84F4-91947724497C}" name="Parámetro" dataDxfId="41">
      <calculatedColumnFormula>IFERROR(RIGHT(Tabla2[[#This Row],[Unidades indicador producción]], LEN(Tabla2[[#This Row],[Unidades indicador producción]])-FIND("/", Tabla2[[#This Row],[Unidades indicador producción]])), "")</calculatedColumnFormula>
    </tableColumn>
    <tableColumn id="8" xr3:uid="{0FF27519-F70B-45F1-A622-B58EACF1F88B}" name="Indicador área" dataDxfId="40">
      <calculatedColumnFormula>IF(Tabla2[[#This Row],[Parámetro]]="Tn",Tabla2[[#This Row],[Indicador]]*$B$6,Tabla2[[#This Row],[Indicador]])</calculatedColumnFormula>
    </tableColumn>
    <tableColumn id="9" xr3:uid="{3AD82B07-3885-48D4-987A-DBF40EFD0198}" name="Unidades" dataDxfId="39">
      <calculatedColumnFormula>"MJ/Ha"</calculatedColumnFormula>
    </tableColumn>
    <tableColumn id="10" xr3:uid="{E16307D2-7B0D-4BEC-94C3-8D5C9401D2A7}" name="Consumo energía [MJ/año]" dataDxfId="8">
      <calculatedColumnFormula>(Tabla2[[#This Row],[Indicador área]]*$B$5)</calculatedColumnFormula>
    </tableColumn>
    <tableColumn id="11" xr3:uid="{C4F7296B-1C14-471F-9D06-F9E85B1C0B30}" name="Participación" dataDxfId="6" dataCellStyle="Porcentaje">
      <calculatedColumnFormula>+Tabla2[[#This Row],[Consumo energía '[MJ/año']]]/$P$9</calculatedColumnFormula>
    </tableColumn>
    <tableColumn id="12" xr3:uid="{F3D5B1A2-2DDD-4FD5-8682-1074E31D2284}" name="Consumo energía corregida [MJ/año]" dataDxfId="7">
      <calculatedColumnFormula>IF(Tabla2[[#This Row],[Energético]]="Energía Eléctrica",((Tabla2[[#This Row],[Participación]]*$D$29)/SUMIF(Tabla2[Energético],"Energía Eléctrica",Tabla2[Participación]))*$B$27,Tabla2[[#This Row],[Consumo energía '[MJ/año']]])</calculatedColumnFormula>
    </tableColumn>
  </tableColumns>
  <tableStyleInfo name="TableStyleLight14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32504D2-59D0-496C-A68E-F900F736259E}" name="Tabla22" displayName="Tabla22" ref="F10:R24" totalsRowShown="0" headerRowDxfId="38" dataDxfId="36" headerRowBorderDxfId="37" tableBorderDxfId="35" totalsRowBorderDxfId="34">
  <autoFilter ref="F10:R24" xr:uid="{232504D2-59D0-496C-A68E-F900F736259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6532E49E-D8B1-4F3F-9C10-003FB36E9A86}" name="Grupo Homogéneo" dataDxfId="33"/>
    <tableColumn id="2" xr3:uid="{9430011C-3A70-4740-917A-C59CC9AE8B55}" name="Proceso" dataDxfId="32"/>
    <tableColumn id="13" xr3:uid="{90376417-1FAB-4DDA-9B3A-C0F5F10830DD}" name="Uso final de energía" dataDxfId="31"/>
    <tableColumn id="3" xr3:uid="{14A305A1-35DB-4C3F-A2B3-A3C6A614C38A}" name="Energético" dataDxfId="30"/>
    <tableColumn id="4" xr3:uid="{4C926A00-A875-49F5-B86A-18A383E1E8A7}" name="Producto final" dataDxfId="29"/>
    <tableColumn id="5" xr3:uid="{F815263E-BC53-4D26-9AAD-0D4A87B4CF81}" name="Unidades indicador producción" dataDxfId="28"/>
    <tableColumn id="6" xr3:uid="{EF5EEA7D-C7D1-4646-A4B0-3F75CD67BE17}" name="Indicador" dataDxfId="27"/>
    <tableColumn id="7" xr3:uid="{3F725ED7-A243-4BE4-8BB9-E2BAE693EF94}" name="Parámetro" dataDxfId="26">
      <calculatedColumnFormula>IFERROR(RIGHT(Tabla22[[#This Row],[Unidades indicador producción]], LEN(Tabla22[[#This Row],[Unidades indicador producción]])-FIND("/", Tabla22[[#This Row],[Unidades indicador producción]])), "")</calculatedColumnFormula>
    </tableColumn>
    <tableColumn id="8" xr3:uid="{7F974E00-F20C-4257-9E43-1026892D9E23}" name="Indicador área" dataDxfId="25">
      <calculatedColumnFormula>IF(Tabla22[[#This Row],[Parámetro]]="Tn",Tabla22[[#This Row],[Indicador]]*$B$6,Tabla22[[#This Row],[Indicador]])</calculatedColumnFormula>
    </tableColumn>
    <tableColumn id="9" xr3:uid="{5D01CD28-587E-4BEE-A302-3CD2F315B29C}" name="Unidades" dataDxfId="24">
      <calculatedColumnFormula>"MJ/Ha"</calculatedColumnFormula>
    </tableColumn>
    <tableColumn id="10" xr3:uid="{16223278-F0FC-41F1-AB73-410758D3738C}" name="Consumo energía [MJ/año]" dataDxfId="5">
      <calculatedColumnFormula>(Tabla22[[#This Row],[Indicador área]]*$B$5)</calculatedColumnFormula>
    </tableColumn>
    <tableColumn id="11" xr3:uid="{AAA30D2A-A123-45BC-9665-6BB2DEF446BA}" name="Participación" dataDxfId="4" dataCellStyle="Porcentaje">
      <calculatedColumnFormula>+Tabla22[[#This Row],[Consumo energía '[MJ/año']]]/$P$9</calculatedColumnFormula>
    </tableColumn>
    <tableColumn id="12" xr3:uid="{F8DBCB67-93D9-4043-BA81-8CE61D42EFDA}" name="Consumo energía corregida [MJ/año]" dataDxfId="3">
      <calculatedColumnFormula>IF(Tabla22[[#This Row],[Energético]]="Energía Eléctrica",((Tabla22[[#This Row],[Participación]]*$D$29)/SUMIF(Tabla22[Energético],"Energía Eléctrica",Tabla22[Participación]))*$B$27,Tabla22[[#This Row],[Consumo energía '[MJ/año']]])</calculatedColumnFormula>
    </tableColumn>
  </tableColumns>
  <tableStyleInfo name="TableStyleLight1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D8944A4-4469-4459-8991-DC60957DC0D9}" name="Tabla224" displayName="Tabla224" ref="F10:R24" totalsRowShown="0" headerRowDxfId="23" dataDxfId="21" headerRowBorderDxfId="22" tableBorderDxfId="20" totalsRowBorderDxfId="19">
  <autoFilter ref="F10:R24" xr:uid="{1D8944A4-4469-4459-8991-DC60957DC0D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A40B96C9-6889-4F2B-92A1-DFB56F89A360}" name="Grupo Homogéneo" dataDxfId="18"/>
    <tableColumn id="2" xr3:uid="{14C185CE-D104-493B-A362-E52616BF963C}" name="Proceso" dataDxfId="17"/>
    <tableColumn id="13" xr3:uid="{447CE654-CE7A-45E8-A5D5-B6001F608353}" name="Uso final de energía" dataDxfId="16"/>
    <tableColumn id="3" xr3:uid="{26E3A0E1-BAA5-42A7-872E-D1193BEA35E5}" name="Energético" dataDxfId="15"/>
    <tableColumn id="4" xr3:uid="{E62786A7-0C5C-437C-B463-413D3259C33C}" name="Producto final" dataDxfId="14"/>
    <tableColumn id="5" xr3:uid="{6C66C533-26E2-4185-A51D-C49CA4EDDF34}" name="Unidades indicador producción" dataDxfId="13"/>
    <tableColumn id="6" xr3:uid="{884A53EC-F6D7-4BD2-9E68-839EF3F75139}" name="Indicador" dataDxfId="12"/>
    <tableColumn id="7" xr3:uid="{0E4D7AF5-97AE-471D-BC79-CCACFE355F87}" name="Parámetro" dataDxfId="11">
      <calculatedColumnFormula>IFERROR(RIGHT(Tabla224[[#This Row],[Unidades indicador producción]], LEN(Tabla224[[#This Row],[Unidades indicador producción]])-FIND("/", Tabla224[[#This Row],[Unidades indicador producción]])), "")</calculatedColumnFormula>
    </tableColumn>
    <tableColumn id="8" xr3:uid="{50604933-0978-4BAC-B576-7E856B33219D}" name="Indicador área" dataDxfId="10">
      <calculatedColumnFormula>IF(Tabla224[[#This Row],[Parámetro]]="Tn",Tabla224[[#This Row],[Indicador]]*$B$6,Tabla224[[#This Row],[Indicador]])</calculatedColumnFormula>
    </tableColumn>
    <tableColumn id="9" xr3:uid="{79AE75BD-410F-4C3F-9DC5-ABE5E7985F8D}" name="Unidades" dataDxfId="9">
      <calculatedColumnFormula>"MJ/Ha"</calculatedColumnFormula>
    </tableColumn>
    <tableColumn id="10" xr3:uid="{2E982B48-FB93-420F-846A-EECBC99192B8}" name="Consumo energía [MJ/año]" dataDxfId="2">
      <calculatedColumnFormula>(Tabla224[[#This Row],[Indicador área]]*$B$5)</calculatedColumnFormula>
    </tableColumn>
    <tableColumn id="11" xr3:uid="{D971594B-2F98-41C3-A6CC-1AEF0C442B14}" name="Participación" dataDxfId="1" dataCellStyle="Porcentaje">
      <calculatedColumnFormula>Tabla224[[#This Row],[Consumo energía '[MJ/año']]]/$P$9</calculatedColumnFormula>
    </tableColumn>
    <tableColumn id="12" xr3:uid="{CF555DEB-C3DE-48B5-A023-85EBDBC66384}" name="Consumo energía corregida [MJ/año]" dataDxfId="0">
      <calculatedColumnFormula>IF(Tabla224[[#This Row],[Energético]]="Energía Eléctrica",((Tabla224[[#This Row],[Participación]]*$D$29)/SUMIF(Tabla224[Energético],"Energía Eléctrica",Tabla224[Participación]))*$B$27,Tabla224[[#This Row],[Consumo energía '[MJ/año']]])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F4C68-17F5-4DD1-8ADC-65993FCA4551}">
  <dimension ref="A2:P60"/>
  <sheetViews>
    <sheetView showGridLines="0" tabSelected="1" topLeftCell="A13" zoomScaleNormal="100" workbookViewId="0">
      <selection activeCell="G33" sqref="G33"/>
    </sheetView>
  </sheetViews>
  <sheetFormatPr baseColWidth="10" defaultRowHeight="12.75" x14ac:dyDescent="0.2"/>
  <cols>
    <col min="2" max="2" width="24.5703125" customWidth="1"/>
    <col min="3" max="3" width="23.28515625" customWidth="1"/>
    <col min="5" max="5" width="13.85546875" customWidth="1"/>
    <col min="6" max="6" width="19.85546875" customWidth="1"/>
    <col min="7" max="7" width="24.85546875" customWidth="1"/>
    <col min="11" max="11" width="20.28515625" bestFit="1" customWidth="1"/>
    <col min="12" max="12" width="12.5703125" customWidth="1"/>
    <col min="13" max="13" width="12.7109375" customWidth="1"/>
    <col min="16" max="16" width="22.7109375" customWidth="1"/>
    <col min="20" max="20" width="15.140625" customWidth="1"/>
  </cols>
  <sheetData>
    <row r="2" spans="2:14" x14ac:dyDescent="0.2">
      <c r="B2" s="47" t="s">
        <v>67</v>
      </c>
      <c r="C2" s="47"/>
      <c r="D2" s="47"/>
    </row>
    <row r="3" spans="2:14" ht="26.25" x14ac:dyDescent="0.25">
      <c r="B3" s="40" t="s">
        <v>68</v>
      </c>
      <c r="C3" s="41">
        <f>SUM(C4:C6)</f>
        <v>32010258.273224052</v>
      </c>
      <c r="D3" s="41" t="s">
        <v>69</v>
      </c>
      <c r="F3" s="74" t="s">
        <v>119</v>
      </c>
      <c r="G3" s="74" t="s">
        <v>120</v>
      </c>
    </row>
    <row r="4" spans="2:14" ht="15" x14ac:dyDescent="0.25">
      <c r="B4" s="13" t="s">
        <v>70</v>
      </c>
      <c r="C4" s="6">
        <v>16219394.47247301</v>
      </c>
      <c r="D4" s="42">
        <f>+C4/$C$3</f>
        <v>0.50669364595662181</v>
      </c>
      <c r="F4" s="72">
        <v>689752.06958176487</v>
      </c>
      <c r="G4" s="73">
        <f>+F4*3.6</f>
        <v>2483107.4504943537</v>
      </c>
    </row>
    <row r="5" spans="2:14" x14ac:dyDescent="0.2">
      <c r="B5" s="13" t="s">
        <v>45</v>
      </c>
      <c r="C5" s="6">
        <v>7789863.4345580405</v>
      </c>
      <c r="D5" s="42">
        <f>+C5/$C$3</f>
        <v>0.24335521969449736</v>
      </c>
      <c r="G5" t="s">
        <v>71</v>
      </c>
      <c r="H5" t="s">
        <v>72</v>
      </c>
    </row>
    <row r="6" spans="2:14" ht="15.75" x14ac:dyDescent="0.25">
      <c r="B6" s="13" t="s">
        <v>73</v>
      </c>
      <c r="C6" s="6">
        <v>8001000.3661930002</v>
      </c>
      <c r="D6" s="42">
        <f>+C6/$C$3</f>
        <v>0.24995113434888086</v>
      </c>
      <c r="E6" s="36" t="s">
        <v>74</v>
      </c>
      <c r="F6" t="s">
        <v>73</v>
      </c>
      <c r="G6" s="31">
        <v>2.5000000000000001E-3</v>
      </c>
      <c r="H6" t="s">
        <v>75</v>
      </c>
    </row>
    <row r="7" spans="2:14" x14ac:dyDescent="0.2">
      <c r="B7" s="43"/>
      <c r="C7" s="43"/>
      <c r="D7" s="43"/>
      <c r="F7" t="s">
        <v>76</v>
      </c>
    </row>
    <row r="11" spans="2:14" ht="20.25" x14ac:dyDescent="0.3">
      <c r="B11" s="53" t="s">
        <v>77</v>
      </c>
      <c r="C11" s="53"/>
      <c r="D11" s="53"/>
      <c r="E11" s="53"/>
      <c r="F11" s="53"/>
      <c r="G11" s="53"/>
      <c r="I11" s="53" t="s">
        <v>78</v>
      </c>
      <c r="J11" s="53"/>
      <c r="K11" s="53"/>
      <c r="L11" s="53"/>
      <c r="M11" s="53"/>
      <c r="N11" s="53"/>
    </row>
    <row r="12" spans="2:14" ht="51" x14ac:dyDescent="0.2">
      <c r="B12" s="48" t="s">
        <v>79</v>
      </c>
      <c r="C12" s="48" t="s">
        <v>80</v>
      </c>
      <c r="D12" s="48" t="s">
        <v>81</v>
      </c>
      <c r="E12" s="48" t="s">
        <v>82</v>
      </c>
      <c r="F12" s="48" t="s">
        <v>83</v>
      </c>
      <c r="G12" s="48" t="s">
        <v>84</v>
      </c>
      <c r="I12" s="48" t="s">
        <v>85</v>
      </c>
      <c r="J12" s="48" t="s">
        <v>80</v>
      </c>
      <c r="K12" s="48" t="s">
        <v>81</v>
      </c>
      <c r="L12" s="48" t="s">
        <v>82</v>
      </c>
      <c r="M12" s="48" t="s">
        <v>86</v>
      </c>
      <c r="N12" s="48" t="s">
        <v>84</v>
      </c>
    </row>
    <row r="13" spans="2:14" ht="51" x14ac:dyDescent="0.2">
      <c r="B13" s="49" t="s">
        <v>87</v>
      </c>
      <c r="C13" s="50">
        <v>36205</v>
      </c>
      <c r="D13" s="50">
        <v>1174995</v>
      </c>
      <c r="E13" s="49">
        <v>46.5</v>
      </c>
      <c r="F13" s="51">
        <f>C13/$C$20</f>
        <v>0.45888943812819244</v>
      </c>
      <c r="G13" s="52">
        <f>F13*$D$20</f>
        <v>0.23251636249615945</v>
      </c>
      <c r="I13" s="56" t="s">
        <v>88</v>
      </c>
      <c r="J13" s="57">
        <v>97007</v>
      </c>
      <c r="K13" s="57">
        <v>1257474</v>
      </c>
      <c r="L13" s="56" t="s">
        <v>89</v>
      </c>
      <c r="M13" s="58">
        <f>J13/$J$29</f>
        <v>0.47757639712927707</v>
      </c>
      <c r="N13" s="59">
        <f>M13*$K$29</f>
        <v>0.11622070904430173</v>
      </c>
    </row>
    <row r="14" spans="2:14" x14ac:dyDescent="0.2">
      <c r="B14" s="49" t="s">
        <v>90</v>
      </c>
      <c r="C14" s="50">
        <v>19853</v>
      </c>
      <c r="D14" s="50">
        <v>220920</v>
      </c>
      <c r="E14" s="49">
        <v>13.3</v>
      </c>
      <c r="F14" s="51">
        <f t="shared" ref="F14:F19" si="0">C14/$C$20</f>
        <v>0.25163187446924473</v>
      </c>
      <c r="G14" s="52">
        <f t="shared" ref="G14:G19" si="1">F14*$D$20</f>
        <v>0.1275002719137206</v>
      </c>
      <c r="I14" s="56" t="s">
        <v>91</v>
      </c>
      <c r="J14" s="57">
        <v>39735</v>
      </c>
      <c r="K14" s="57">
        <v>132315</v>
      </c>
      <c r="L14" s="56" t="s">
        <v>92</v>
      </c>
      <c r="M14" s="58">
        <f t="shared" ref="M14:M28" si="2">J14/$J$29</f>
        <v>0.19561988454371154</v>
      </c>
      <c r="N14" s="59">
        <f t="shared" ref="N14:N28" si="3">M14*$K$29</f>
        <v>4.7605119979747132E-2</v>
      </c>
    </row>
    <row r="15" spans="2:14" x14ac:dyDescent="0.2">
      <c r="B15" s="49" t="s">
        <v>93</v>
      </c>
      <c r="C15" s="50">
        <v>13779</v>
      </c>
      <c r="D15" s="50">
        <v>453310</v>
      </c>
      <c r="E15" s="49">
        <v>25</v>
      </c>
      <c r="F15" s="51">
        <f t="shared" si="0"/>
        <v>0.17464542378037187</v>
      </c>
      <c r="G15" s="54">
        <f t="shared" si="1"/>
        <v>8.8491726524915923E-2</v>
      </c>
      <c r="H15" s="55" t="s">
        <v>110</v>
      </c>
      <c r="I15" s="60" t="s">
        <v>52</v>
      </c>
      <c r="J15" s="61">
        <v>15144</v>
      </c>
      <c r="K15" s="61">
        <v>108845</v>
      </c>
      <c r="L15" s="60" t="s">
        <v>94</v>
      </c>
      <c r="M15" s="62">
        <f t="shared" si="2"/>
        <v>7.4555619265885678E-2</v>
      </c>
      <c r="N15" s="63">
        <f t="shared" si="3"/>
        <v>1.8143499105908911E-2</v>
      </c>
    </row>
    <row r="16" spans="2:14" ht="25.5" x14ac:dyDescent="0.2">
      <c r="B16" s="49"/>
      <c r="C16" s="50"/>
      <c r="D16" s="50"/>
      <c r="E16" s="49"/>
      <c r="F16" s="51"/>
      <c r="G16" s="54"/>
      <c r="H16" s="55"/>
      <c r="I16" s="60" t="s">
        <v>53</v>
      </c>
      <c r="J16" s="61">
        <v>11831</v>
      </c>
      <c r="K16" s="61">
        <v>190062</v>
      </c>
      <c r="L16" s="60" t="s">
        <v>95</v>
      </c>
      <c r="M16" s="62">
        <f t="shared" si="2"/>
        <v>5.8245346773289318E-2</v>
      </c>
      <c r="N16" s="63">
        <f t="shared" si="3"/>
        <v>1.4174309160196005E-2</v>
      </c>
    </row>
    <row r="17" spans="2:16" x14ac:dyDescent="0.2">
      <c r="B17" s="49" t="s">
        <v>96</v>
      </c>
      <c r="C17" s="50">
        <v>7347</v>
      </c>
      <c r="D17" s="50">
        <v>170604</v>
      </c>
      <c r="E17" s="49">
        <v>31.53</v>
      </c>
      <c r="F17" s="51">
        <f t="shared" si="0"/>
        <v>9.312141146051181E-2</v>
      </c>
      <c r="G17" s="54">
        <f t="shared" si="1"/>
        <v>4.7184027489553478E-2</v>
      </c>
      <c r="H17" s="55"/>
      <c r="I17" s="60" t="s">
        <v>54</v>
      </c>
      <c r="J17" s="61">
        <v>11636</v>
      </c>
      <c r="K17" s="61">
        <v>102877</v>
      </c>
      <c r="L17" s="60">
        <v>11</v>
      </c>
      <c r="M17" s="62">
        <f t="shared" si="2"/>
        <v>5.7285339789873595E-2</v>
      </c>
      <c r="N17" s="63">
        <f t="shared" si="3"/>
        <v>1.394068644983862E-2</v>
      </c>
    </row>
    <row r="18" spans="2:16" ht="25.5" x14ac:dyDescent="0.2">
      <c r="B18" s="49"/>
      <c r="C18" s="50"/>
      <c r="D18" s="50"/>
      <c r="E18" s="49"/>
      <c r="F18" s="51"/>
      <c r="G18" s="54"/>
      <c r="H18" s="55"/>
      <c r="I18" s="60" t="s">
        <v>55</v>
      </c>
      <c r="J18" s="61">
        <v>10036</v>
      </c>
      <c r="K18" s="61">
        <v>71563</v>
      </c>
      <c r="L18" s="60" t="s">
        <v>97</v>
      </c>
      <c r="M18" s="62">
        <f t="shared" si="2"/>
        <v>4.9408359413129203E-2</v>
      </c>
      <c r="N18" s="63">
        <f t="shared" si="3"/>
        <v>1.2023782159726744E-2</v>
      </c>
    </row>
    <row r="19" spans="2:16" x14ac:dyDescent="0.2">
      <c r="B19" s="49" t="s">
        <v>98</v>
      </c>
      <c r="C19" s="50">
        <v>1713</v>
      </c>
      <c r="D19" s="50">
        <v>16377</v>
      </c>
      <c r="E19" s="49">
        <v>12.4</v>
      </c>
      <c r="F19" s="51">
        <f t="shared" si="0"/>
        <v>2.1711852161679153E-2</v>
      </c>
      <c r="G19" s="54">
        <f t="shared" si="1"/>
        <v>1.1001257532272371E-2</v>
      </c>
      <c r="H19" s="55"/>
      <c r="I19" s="60" t="s">
        <v>56</v>
      </c>
      <c r="J19" s="61">
        <v>4381</v>
      </c>
      <c r="K19" s="61">
        <v>32060</v>
      </c>
      <c r="L19" s="60" t="s">
        <v>99</v>
      </c>
      <c r="M19" s="62">
        <f t="shared" si="2"/>
        <v>2.1568156894073241E-2</v>
      </c>
      <c r="N19" s="63">
        <f t="shared" si="3"/>
        <v>5.2487235593625817E-3</v>
      </c>
    </row>
    <row r="20" spans="2:16" ht="18" x14ac:dyDescent="0.25">
      <c r="B20" s="70" t="s">
        <v>68</v>
      </c>
      <c r="C20" s="71">
        <f>SUM(C13:C19)</f>
        <v>78897</v>
      </c>
      <c r="D20" s="44">
        <f>+D4</f>
        <v>0.50669364595662181</v>
      </c>
      <c r="H20" s="55"/>
      <c r="I20" s="60" t="s">
        <v>57</v>
      </c>
      <c r="J20" s="61">
        <v>2818</v>
      </c>
      <c r="K20" s="61">
        <v>14406</v>
      </c>
      <c r="L20" s="60" t="s">
        <v>100</v>
      </c>
      <c r="M20" s="62">
        <f t="shared" si="2"/>
        <v>1.3873331688541062E-2</v>
      </c>
      <c r="N20" s="63">
        <f t="shared" si="3"/>
        <v>3.3761476809595421E-3</v>
      </c>
    </row>
    <row r="21" spans="2:16" x14ac:dyDescent="0.2">
      <c r="H21" s="55"/>
      <c r="I21" s="60" t="s">
        <v>58</v>
      </c>
      <c r="J21" s="61">
        <v>2817</v>
      </c>
      <c r="K21" s="61">
        <v>6289</v>
      </c>
      <c r="L21" s="60" t="s">
        <v>101</v>
      </c>
      <c r="M21" s="62">
        <f t="shared" si="2"/>
        <v>1.3868408575805596E-2</v>
      </c>
      <c r="N21" s="63">
        <f t="shared" si="3"/>
        <v>3.3749496157782222E-3</v>
      </c>
    </row>
    <row r="22" spans="2:16" x14ac:dyDescent="0.2">
      <c r="H22" s="55"/>
      <c r="I22" s="60" t="s">
        <v>59</v>
      </c>
      <c r="J22" s="61">
        <v>2100</v>
      </c>
      <c r="K22" s="61">
        <v>60000</v>
      </c>
      <c r="L22" s="60" t="s">
        <v>102</v>
      </c>
      <c r="M22" s="62">
        <f t="shared" si="2"/>
        <v>1.0338536744477015E-2</v>
      </c>
      <c r="N22" s="63">
        <f t="shared" si="3"/>
        <v>2.5159368807718377E-3</v>
      </c>
    </row>
    <row r="23" spans="2:16" ht="25.5" x14ac:dyDescent="0.2">
      <c r="H23" s="55"/>
      <c r="I23" s="60" t="s">
        <v>60</v>
      </c>
      <c r="J23" s="61">
        <v>1834</v>
      </c>
      <c r="K23" s="61">
        <v>15581</v>
      </c>
      <c r="L23" s="60" t="s">
        <v>103</v>
      </c>
      <c r="M23" s="62">
        <f t="shared" si="2"/>
        <v>9.0289887568432599E-3</v>
      </c>
      <c r="N23" s="63">
        <f t="shared" si="3"/>
        <v>2.1972515425407379E-3</v>
      </c>
      <c r="P23" s="65" t="s">
        <v>116</v>
      </c>
    </row>
    <row r="24" spans="2:16" x14ac:dyDescent="0.2">
      <c r="H24" s="55"/>
      <c r="I24" s="60" t="s">
        <v>61</v>
      </c>
      <c r="J24" s="61">
        <v>1460</v>
      </c>
      <c r="K24" s="64">
        <v>15.167</v>
      </c>
      <c r="L24" s="60" t="s">
        <v>104</v>
      </c>
      <c r="M24" s="62">
        <f t="shared" si="2"/>
        <v>7.1877445937792587E-3</v>
      </c>
      <c r="N24" s="63">
        <f t="shared" si="3"/>
        <v>1.7491751647270872E-3</v>
      </c>
      <c r="P24" s="66">
        <f>SUM(N15:N28)</f>
        <v>7.9529390670448508E-2</v>
      </c>
    </row>
    <row r="25" spans="2:16" x14ac:dyDescent="0.2">
      <c r="H25" s="55"/>
      <c r="I25" s="60" t="s">
        <v>62</v>
      </c>
      <c r="J25" s="61">
        <v>1272</v>
      </c>
      <c r="K25" s="61">
        <v>9290</v>
      </c>
      <c r="L25" s="60" t="s">
        <v>105</v>
      </c>
      <c r="M25" s="62">
        <f t="shared" si="2"/>
        <v>6.2621993995117921E-3</v>
      </c>
      <c r="N25" s="63">
        <f t="shared" si="3"/>
        <v>1.5239389106389417E-3</v>
      </c>
    </row>
    <row r="26" spans="2:16" x14ac:dyDescent="0.2">
      <c r="B26" s="48" t="s">
        <v>109</v>
      </c>
      <c r="C26" s="75">
        <f>+C20+J29</f>
        <v>282020.52240000002</v>
      </c>
      <c r="H26" s="55"/>
      <c r="I26" s="60" t="s">
        <v>63</v>
      </c>
      <c r="J26" s="60">
        <v>649</v>
      </c>
      <c r="K26" s="61">
        <v>2618</v>
      </c>
      <c r="L26" s="60" t="s">
        <v>106</v>
      </c>
      <c r="M26" s="62">
        <f t="shared" si="2"/>
        <v>3.1951001653169444E-3</v>
      </c>
      <c r="N26" s="63">
        <f t="shared" si="3"/>
        <v>7.7754430267662988E-4</v>
      </c>
    </row>
    <row r="27" spans="2:16" x14ac:dyDescent="0.2">
      <c r="H27" s="55"/>
      <c r="I27" s="60" t="s">
        <v>64</v>
      </c>
      <c r="J27" s="60">
        <v>400</v>
      </c>
      <c r="K27" s="61">
        <v>7700</v>
      </c>
      <c r="L27" s="60" t="s">
        <v>107</v>
      </c>
      <c r="M27" s="62">
        <f t="shared" si="2"/>
        <v>1.9692450941860983E-3</v>
      </c>
      <c r="N27" s="63">
        <f t="shared" si="3"/>
        <v>4.7922607252796911E-4</v>
      </c>
    </row>
    <row r="28" spans="2:16" ht="13.5" thickBot="1" x14ac:dyDescent="0.25">
      <c r="H28" s="55"/>
      <c r="I28" s="79" t="s">
        <v>65</v>
      </c>
      <c r="J28" s="80">
        <v>3.5224000000000002</v>
      </c>
      <c r="K28" s="81">
        <v>5217</v>
      </c>
      <c r="L28" s="79" t="s">
        <v>108</v>
      </c>
      <c r="M28" s="82">
        <f t="shared" si="2"/>
        <v>1.7341172299402782E-5</v>
      </c>
      <c r="N28" s="83">
        <f t="shared" si="3"/>
        <v>4.2200647946812962E-6</v>
      </c>
    </row>
    <row r="29" spans="2:16" ht="18.75" thickBot="1" x14ac:dyDescent="0.3">
      <c r="I29" s="84" t="s">
        <v>68</v>
      </c>
      <c r="J29" s="85">
        <f>SUM(J13:J28)</f>
        <v>203123.52239999999</v>
      </c>
      <c r="K29" s="86">
        <f>+D5</f>
        <v>0.24335521969449736</v>
      </c>
      <c r="L29" s="87"/>
      <c r="M29" s="87"/>
      <c r="N29" s="88">
        <f>SUM(N13:N28)</f>
        <v>0.24335521969449736</v>
      </c>
    </row>
    <row r="33" spans="1:5" x14ac:dyDescent="0.2">
      <c r="B33" s="30"/>
    </row>
    <row r="34" spans="1:5" ht="26.25" x14ac:dyDescent="0.4">
      <c r="B34" s="78" t="s">
        <v>68</v>
      </c>
      <c r="C34" s="78"/>
      <c r="D34" s="78"/>
      <c r="E34" s="78"/>
    </row>
    <row r="35" spans="1:5" ht="25.5" x14ac:dyDescent="0.2">
      <c r="B35" s="15" t="s">
        <v>0</v>
      </c>
      <c r="C35" s="15" t="s">
        <v>41</v>
      </c>
      <c r="D35" s="15" t="s">
        <v>42</v>
      </c>
      <c r="E35" s="15" t="s">
        <v>1</v>
      </c>
    </row>
    <row r="36" spans="1:5" x14ac:dyDescent="0.2">
      <c r="B36" s="16" t="s">
        <v>2</v>
      </c>
      <c r="C36" s="17">
        <f>Cítricos!B29+Mango!B29+Consolidado!B29</f>
        <v>604277.09818098822</v>
      </c>
      <c r="D36" s="10">
        <f>C36/1000000</f>
        <v>0.60427709818098818</v>
      </c>
      <c r="E36" s="18">
        <f>C36/$C$39</f>
        <v>1.1277321675918397E-3</v>
      </c>
    </row>
    <row r="37" spans="1:5" x14ac:dyDescent="0.2">
      <c r="B37" s="16" t="s">
        <v>3</v>
      </c>
      <c r="C37" s="6">
        <f>+Cítricos!B30+Mango!B30+Consolidado!B30</f>
        <v>344433664.55635154</v>
      </c>
      <c r="D37" s="10">
        <f t="shared" ref="D37:D38" si="4">C37/1000000</f>
        <v>344.43366455635152</v>
      </c>
      <c r="E37" s="18">
        <f>C37/$C$39</f>
        <v>0.64279934535165162</v>
      </c>
    </row>
    <row r="38" spans="1:5" x14ac:dyDescent="0.2">
      <c r="B38" s="16" t="s">
        <v>9</v>
      </c>
      <c r="C38" s="6">
        <f>+Cítricos!B31+Mango!B31+Consolidado!B31</f>
        <v>190795934.10637802</v>
      </c>
      <c r="D38" s="10">
        <f t="shared" si="4"/>
        <v>190.79593410637801</v>
      </c>
      <c r="E38" s="18">
        <f>C38/$C$39</f>
        <v>0.3560729224807565</v>
      </c>
    </row>
    <row r="39" spans="1:5" x14ac:dyDescent="0.2">
      <c r="B39" s="76" t="s">
        <v>68</v>
      </c>
      <c r="C39" s="77">
        <f>SUM(C36:C38)</f>
        <v>535833875.76091057</v>
      </c>
      <c r="D39" s="77">
        <f>SUM(D36:D38)</f>
        <v>535.83387576091059</v>
      </c>
      <c r="E39" s="96">
        <f>SUM(E36:E38)</f>
        <v>1</v>
      </c>
    </row>
    <row r="40" spans="1:5" x14ac:dyDescent="0.2">
      <c r="C40" s="67"/>
    </row>
    <row r="41" spans="1:5" x14ac:dyDescent="0.2">
      <c r="C41" s="67"/>
    </row>
    <row r="42" spans="1:5" x14ac:dyDescent="0.2">
      <c r="C42" s="67"/>
    </row>
    <row r="43" spans="1:5" x14ac:dyDescent="0.2">
      <c r="C43" s="67"/>
    </row>
    <row r="45" spans="1:5" x14ac:dyDescent="0.2">
      <c r="A45" s="67"/>
      <c r="B45" s="67"/>
      <c r="C45" s="69"/>
      <c r="D45" s="67"/>
      <c r="E45" s="67"/>
    </row>
    <row r="46" spans="1:5" x14ac:dyDescent="0.2">
      <c r="A46" s="67"/>
      <c r="B46" s="67"/>
      <c r="C46" s="67"/>
      <c r="D46" s="67"/>
      <c r="E46" s="67"/>
    </row>
    <row r="47" spans="1:5" x14ac:dyDescent="0.2">
      <c r="A47" s="67"/>
      <c r="B47" s="67"/>
      <c r="C47" s="67"/>
      <c r="D47" s="67"/>
      <c r="E47" s="67"/>
    </row>
    <row r="48" spans="1:5" x14ac:dyDescent="0.2">
      <c r="A48" s="67"/>
      <c r="B48" s="67"/>
      <c r="C48" s="68"/>
      <c r="D48" s="68"/>
      <c r="E48" s="67"/>
    </row>
    <row r="49" spans="1:5" x14ac:dyDescent="0.2">
      <c r="A49" s="67"/>
      <c r="B49" s="67"/>
      <c r="C49" s="68"/>
      <c r="D49" s="67"/>
      <c r="E49" s="67"/>
    </row>
    <row r="50" spans="1:5" x14ac:dyDescent="0.2">
      <c r="A50" s="67"/>
      <c r="B50" s="67"/>
      <c r="C50" s="67"/>
      <c r="D50" s="67"/>
      <c r="E50" s="67"/>
    </row>
    <row r="51" spans="1:5" x14ac:dyDescent="0.2">
      <c r="A51" s="67"/>
      <c r="B51" s="67"/>
      <c r="C51" s="67"/>
      <c r="D51" s="67"/>
      <c r="E51" s="67"/>
    </row>
    <row r="52" spans="1:5" x14ac:dyDescent="0.2">
      <c r="A52" s="68"/>
      <c r="B52" s="68"/>
      <c r="C52" s="67"/>
      <c r="D52" s="67"/>
      <c r="E52" s="67"/>
    </row>
    <row r="53" spans="1:5" x14ac:dyDescent="0.2">
      <c r="A53" s="67"/>
      <c r="B53" s="67"/>
      <c r="C53" s="67"/>
      <c r="D53" s="67"/>
      <c r="E53" s="67"/>
    </row>
    <row r="54" spans="1:5" x14ac:dyDescent="0.2">
      <c r="A54" s="67"/>
      <c r="B54" s="67"/>
      <c r="C54" s="67"/>
      <c r="D54" s="67"/>
      <c r="E54" s="67"/>
    </row>
    <row r="55" spans="1:5" x14ac:dyDescent="0.2">
      <c r="A55" s="68"/>
      <c r="B55" s="67"/>
      <c r="C55" s="67"/>
      <c r="D55" s="67"/>
      <c r="E55" s="67"/>
    </row>
    <row r="56" spans="1:5" x14ac:dyDescent="0.2">
      <c r="A56" s="67"/>
      <c r="B56" s="67"/>
      <c r="C56" s="67"/>
      <c r="D56" s="67"/>
      <c r="E56" s="67"/>
    </row>
    <row r="57" spans="1:5" x14ac:dyDescent="0.2">
      <c r="A57" s="67"/>
      <c r="B57" s="67"/>
      <c r="C57" s="67"/>
      <c r="D57" s="67"/>
      <c r="E57" s="67"/>
    </row>
    <row r="58" spans="1:5" x14ac:dyDescent="0.2">
      <c r="A58" s="67"/>
      <c r="B58" s="67"/>
      <c r="C58" s="67"/>
      <c r="D58" s="67"/>
      <c r="E58" s="67"/>
    </row>
    <row r="59" spans="1:5" x14ac:dyDescent="0.2">
      <c r="A59" s="67"/>
      <c r="B59" s="67"/>
      <c r="C59" s="67"/>
      <c r="D59" s="67"/>
      <c r="E59" s="67"/>
    </row>
    <row r="60" spans="1:5" x14ac:dyDescent="0.2">
      <c r="A60" s="67"/>
      <c r="B60" s="67"/>
      <c r="C60" s="67"/>
      <c r="D60" s="67"/>
      <c r="E60" s="67"/>
    </row>
  </sheetData>
  <mergeCells count="5">
    <mergeCell ref="B34:E34"/>
    <mergeCell ref="B2:D2"/>
    <mergeCell ref="H15:H28"/>
    <mergeCell ref="B11:G11"/>
    <mergeCell ref="I11:N11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CD00588-8D1A-441B-9C58-032629BC529B}">
          <x14:formula1>
            <xm:f>Hoja2!$A$1:$A$11</xm:f>
          </x14:formula1>
          <xm:sqref>B36:B38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7B94-0509-445A-B37A-7AD68697CF57}">
  <dimension ref="A1:R41"/>
  <sheetViews>
    <sheetView showGridLines="0" workbookViewId="0">
      <selection activeCell="A4" sqref="A4"/>
    </sheetView>
  </sheetViews>
  <sheetFormatPr baseColWidth="10" defaultRowHeight="12.75" x14ac:dyDescent="0.2"/>
  <cols>
    <col min="1" max="1" width="28.28515625" customWidth="1"/>
    <col min="2" max="4" width="16.42578125" customWidth="1"/>
    <col min="5" max="5" width="13.7109375" bestFit="1" customWidth="1"/>
    <col min="6" max="6" width="26.85546875" bestFit="1" customWidth="1"/>
    <col min="7" max="8" width="24.5703125" customWidth="1"/>
    <col min="9" max="9" width="26.5703125" customWidth="1"/>
    <col min="10" max="10" width="17.7109375" bestFit="1" customWidth="1"/>
    <col min="11" max="11" width="19.7109375" customWidth="1"/>
    <col min="12" max="12" width="11.7109375" customWidth="1"/>
    <col min="14" max="14" width="15" customWidth="1"/>
    <col min="16" max="16" width="24.5703125" customWidth="1"/>
    <col min="18" max="18" width="22.140625" customWidth="1"/>
  </cols>
  <sheetData>
    <row r="1" spans="1:18" ht="18" x14ac:dyDescent="0.25">
      <c r="A1" s="14"/>
    </row>
    <row r="3" spans="1:18" ht="20.25" x14ac:dyDescent="0.2">
      <c r="A3" s="94" t="s">
        <v>129</v>
      </c>
      <c r="B3" s="95"/>
    </row>
    <row r="4" spans="1:18" x14ac:dyDescent="0.2">
      <c r="A4" s="5" t="s">
        <v>40</v>
      </c>
      <c r="B4" s="13" t="s">
        <v>44</v>
      </c>
    </row>
    <row r="5" spans="1:18" x14ac:dyDescent="0.2">
      <c r="A5" s="5" t="s">
        <v>13</v>
      </c>
      <c r="B5" s="6">
        <v>97007</v>
      </c>
      <c r="C5" s="28" t="s">
        <v>117</v>
      </c>
    </row>
    <row r="6" spans="1:18" x14ac:dyDescent="0.2">
      <c r="A6" s="5" t="s">
        <v>14</v>
      </c>
      <c r="B6" s="6">
        <v>15.2</v>
      </c>
      <c r="C6" s="28" t="s">
        <v>118</v>
      </c>
    </row>
    <row r="7" spans="1:18" ht="25.5" x14ac:dyDescent="0.2">
      <c r="A7" s="7" t="s">
        <v>15</v>
      </c>
      <c r="B7" s="6">
        <f>B11</f>
        <v>80163.466504725206</v>
      </c>
      <c r="C7" s="28" t="s">
        <v>119</v>
      </c>
      <c r="P7" s="29"/>
    </row>
    <row r="8" spans="1:18" ht="26.25" x14ac:dyDescent="0.25">
      <c r="A8" s="7" t="s">
        <v>125</v>
      </c>
      <c r="B8" s="17">
        <f>+B7*3.6</f>
        <v>288588.47941701073</v>
      </c>
      <c r="C8" s="1"/>
      <c r="F8" s="45" t="s">
        <v>128</v>
      </c>
      <c r="G8" s="45"/>
      <c r="H8" s="45"/>
      <c r="I8" s="45"/>
      <c r="J8" s="45"/>
      <c r="K8" s="45"/>
      <c r="L8" s="45"/>
      <c r="P8" s="29"/>
      <c r="R8" s="11" t="s">
        <v>123</v>
      </c>
    </row>
    <row r="9" spans="1:18" ht="35.25" customHeight="1" x14ac:dyDescent="0.25">
      <c r="K9" s="4" t="s">
        <v>36</v>
      </c>
      <c r="P9" s="12">
        <f>SUM(Tabla2[Consumo energía '[MJ/año']])</f>
        <v>259332668.51613584</v>
      </c>
      <c r="Q9" s="12"/>
      <c r="R9" s="91">
        <f>SUM(Tabla2[Consumo energía corregida '[MJ/año']])</f>
        <v>255901010.82968289</v>
      </c>
    </row>
    <row r="10" spans="1:18" s="2" customFormat="1" ht="25.5" x14ac:dyDescent="0.2">
      <c r="A10" s="34" t="s">
        <v>114</v>
      </c>
      <c r="B10" s="35">
        <v>689752</v>
      </c>
      <c r="F10" s="19" t="s">
        <v>16</v>
      </c>
      <c r="G10" s="20" t="s">
        <v>17</v>
      </c>
      <c r="H10" s="20" t="s">
        <v>112</v>
      </c>
      <c r="I10" s="20" t="s">
        <v>18</v>
      </c>
      <c r="J10" s="20" t="s">
        <v>24</v>
      </c>
      <c r="K10" s="21" t="s">
        <v>25</v>
      </c>
      <c r="L10" s="20" t="s">
        <v>26</v>
      </c>
      <c r="M10" s="20" t="s">
        <v>33</v>
      </c>
      <c r="N10" s="20" t="s">
        <v>34</v>
      </c>
      <c r="O10" s="20" t="s">
        <v>35</v>
      </c>
      <c r="P10" s="89" t="s">
        <v>121</v>
      </c>
      <c r="Q10" s="49" t="s">
        <v>1</v>
      </c>
      <c r="R10" s="49" t="s">
        <v>122</v>
      </c>
    </row>
    <row r="11" spans="1:18" ht="25.5" x14ac:dyDescent="0.2">
      <c r="A11" s="34" t="s">
        <v>124</v>
      </c>
      <c r="B11" s="35">
        <f>B10*Participación!N13</f>
        <v>80163.466504725206</v>
      </c>
      <c r="F11" s="22" t="s">
        <v>45</v>
      </c>
      <c r="G11" s="23" t="s">
        <v>19</v>
      </c>
      <c r="H11" s="23" t="s">
        <v>113</v>
      </c>
      <c r="I11" s="23" t="s">
        <v>3</v>
      </c>
      <c r="J11" s="23" t="s">
        <v>111</v>
      </c>
      <c r="K11" s="23" t="s">
        <v>28</v>
      </c>
      <c r="L11" s="24">
        <v>57.892307690000003</v>
      </c>
      <c r="M11" s="25" t="str">
        <f>IFERROR(RIGHT(Tabla2[[#This Row],[Unidades indicador producción]], LEN(Tabla2[[#This Row],[Unidades indicador producción]])-FIND("/", Tabla2[[#This Row],[Unidades indicador producción]])), "")</f>
        <v>Ha</v>
      </c>
      <c r="N11" s="26">
        <f>IF(Tabla2[[#This Row],[Parámetro]]="Tn",Tabla2[[#This Row],[Indicador]]*$B$6,Tabla2[[#This Row],[Indicador]])</f>
        <v>57.892307690000003</v>
      </c>
      <c r="O11" s="25" t="str">
        <f t="shared" ref="O11" si="0">"MJ/Ha"</f>
        <v>MJ/Ha</v>
      </c>
      <c r="P11" s="27">
        <f>(Tabla2[[#This Row],[Indicador área]]*$B$5)</f>
        <v>5615959.0920838304</v>
      </c>
      <c r="Q11" s="90">
        <f>+Tabla2[[#This Row],[Consumo energía '[MJ/año']]]/$P$9</f>
        <v>2.1655424764714524E-2</v>
      </c>
      <c r="R11" s="26">
        <f>IF(Tabla2[[#This Row],[Energético]]="Energía Eléctrica",((Tabla2[[#This Row],[Participación]]*$D$29)/SUMIF(Tabla2[Energético],"Energía Eléctrica",Tabla2[Participación]))*$B$27,Tabla2[[#This Row],[Consumo energía '[MJ/año']]])</f>
        <v>5615959.0920838304</v>
      </c>
    </row>
    <row r="12" spans="1:18" x14ac:dyDescent="0.2">
      <c r="A12" s="33"/>
      <c r="F12" s="22" t="s">
        <v>45</v>
      </c>
      <c r="G12" s="23" t="s">
        <v>19</v>
      </c>
      <c r="H12" s="23" t="s">
        <v>113</v>
      </c>
      <c r="I12" s="23" t="s">
        <v>9</v>
      </c>
      <c r="J12" s="23" t="s">
        <v>111</v>
      </c>
      <c r="K12" s="23" t="s">
        <v>28</v>
      </c>
      <c r="L12" s="24">
        <v>37.676250000000003</v>
      </c>
      <c r="M12" s="38" t="str">
        <f>IFERROR(RIGHT(Tabla2[[#This Row],[Unidades indicador producción]], LEN(Tabla2[[#This Row],[Unidades indicador producción]])-FIND("/", Tabla2[[#This Row],[Unidades indicador producción]])), "")</f>
        <v>Ha</v>
      </c>
      <c r="N12" s="39">
        <f>IF(Tabla2[[#This Row],[Parámetro]]="Tn",Tabla2[[#This Row],[Indicador]]*$B$6,Tabla2[[#This Row],[Indicador]])</f>
        <v>37.676250000000003</v>
      </c>
      <c r="O12" s="38" t="str">
        <f t="shared" ref="O12:O24" si="1">"MJ/Ha"</f>
        <v>MJ/Ha</v>
      </c>
      <c r="P12" s="27">
        <f>(Tabla2[[#This Row],[Indicador área]]*$B$5)</f>
        <v>3654859.9837500001</v>
      </c>
      <c r="Q12" s="90">
        <f>+Tabla2[[#This Row],[Consumo energía '[MJ/año']]]/$P$9</f>
        <v>1.4093326554894077E-2</v>
      </c>
      <c r="R12" s="26">
        <f>IF(Tabla2[[#This Row],[Energético]]="Energía Eléctrica",((Tabla2[[#This Row],[Participación]]*$D$29)/SUMIF(Tabla2[Energético],"Energía Eléctrica",Tabla2[Participación]))*$B$27,Tabla2[[#This Row],[Consumo energía '[MJ/año']]])</f>
        <v>3654859.9837500001</v>
      </c>
    </row>
    <row r="13" spans="1:18" x14ac:dyDescent="0.2">
      <c r="A13" s="33"/>
      <c r="F13" s="22" t="s">
        <v>45</v>
      </c>
      <c r="G13" s="23" t="s">
        <v>20</v>
      </c>
      <c r="H13" s="23" t="s">
        <v>113</v>
      </c>
      <c r="I13" s="23" t="s">
        <v>3</v>
      </c>
      <c r="J13" s="23" t="s">
        <v>46</v>
      </c>
      <c r="K13" s="23" t="s">
        <v>28</v>
      </c>
      <c r="L13" s="24">
        <v>258.44780220000001</v>
      </c>
      <c r="M13" s="38" t="str">
        <f>IFERROR(RIGHT(Tabla2[[#This Row],[Unidades indicador producción]], LEN(Tabla2[[#This Row],[Unidades indicador producción]])-FIND("/", Tabla2[[#This Row],[Unidades indicador producción]])), "")</f>
        <v>Ha</v>
      </c>
      <c r="N13" s="39">
        <f>IF(Tabla2[[#This Row],[Parámetro]]="Tn",Tabla2[[#This Row],[Indicador]]*$B$6,Tabla2[[#This Row],[Indicador]])</f>
        <v>258.44780220000001</v>
      </c>
      <c r="O13" s="38" t="str">
        <f t="shared" si="1"/>
        <v>MJ/Ha</v>
      </c>
      <c r="P13" s="27">
        <f>(Tabla2[[#This Row],[Indicador área]]*$B$5)</f>
        <v>25071245.948015403</v>
      </c>
      <c r="Q13" s="90">
        <f>+Tabla2[[#This Row],[Consumo energía '[MJ/año']]]/$P$9</f>
        <v>9.6676003418579931E-2</v>
      </c>
      <c r="R13" s="26">
        <f>IF(Tabla2[[#This Row],[Energético]]="Energía Eléctrica",((Tabla2[[#This Row],[Participación]]*$D$29)/SUMIF(Tabla2[Energético],"Energía Eléctrica",Tabla2[Participación]))*$B$27,Tabla2[[#This Row],[Consumo energía '[MJ/año']]])</f>
        <v>25071245.948015403</v>
      </c>
    </row>
    <row r="14" spans="1:18" x14ac:dyDescent="0.2">
      <c r="A14" s="33"/>
      <c r="F14" s="22" t="s">
        <v>45</v>
      </c>
      <c r="G14" s="23" t="s">
        <v>20</v>
      </c>
      <c r="H14" s="23" t="s">
        <v>113</v>
      </c>
      <c r="I14" s="23" t="s">
        <v>9</v>
      </c>
      <c r="J14" s="23" t="s">
        <v>27</v>
      </c>
      <c r="K14" s="23" t="s">
        <v>28</v>
      </c>
      <c r="L14" s="24">
        <v>220.1840894</v>
      </c>
      <c r="M14" s="38" t="str">
        <f>IFERROR(RIGHT(Tabla2[[#This Row],[Unidades indicador producción]], LEN(Tabla2[[#This Row],[Unidades indicador producción]])-FIND("/", Tabla2[[#This Row],[Unidades indicador producción]])), "")</f>
        <v>Ha</v>
      </c>
      <c r="N14" s="39">
        <f>IF(Tabla2[[#This Row],[Parámetro]]="Tn",Tabla2[[#This Row],[Indicador]]*$B$6,Tabla2[[#This Row],[Indicador]])</f>
        <v>220.1840894</v>
      </c>
      <c r="O14" s="38" t="str">
        <f t="shared" si="1"/>
        <v>MJ/Ha</v>
      </c>
      <c r="P14" s="27">
        <f>(Tabla2[[#This Row],[Indicador área]]*$B$5)</f>
        <v>21359397.960425802</v>
      </c>
      <c r="Q14" s="90">
        <f>+Tabla2[[#This Row],[Consumo energía '[MJ/año']]]/$P$9</f>
        <v>8.2362928213561365E-2</v>
      </c>
      <c r="R14" s="26">
        <f>IF(Tabla2[[#This Row],[Energético]]="Energía Eléctrica",((Tabla2[[#This Row],[Participación]]*$D$29)/SUMIF(Tabla2[Energético],"Energía Eléctrica",Tabla2[Participación]))*$B$27,Tabla2[[#This Row],[Consumo energía '[MJ/año']]])</f>
        <v>21359397.960425802</v>
      </c>
    </row>
    <row r="15" spans="1:18" x14ac:dyDescent="0.2">
      <c r="A15" s="33"/>
      <c r="F15" s="22" t="s">
        <v>45</v>
      </c>
      <c r="G15" s="23" t="s">
        <v>21</v>
      </c>
      <c r="H15" s="23" t="s">
        <v>113</v>
      </c>
      <c r="I15" s="23" t="s">
        <v>3</v>
      </c>
      <c r="J15" s="23" t="s">
        <v>29</v>
      </c>
      <c r="K15" s="23" t="s">
        <v>28</v>
      </c>
      <c r="L15" s="24">
        <v>21.709615379999999</v>
      </c>
      <c r="M15" s="38" t="str">
        <f>IFERROR(RIGHT(Tabla2[[#This Row],[Unidades indicador producción]], LEN(Tabla2[[#This Row],[Unidades indicador producción]])-FIND("/", Tabla2[[#This Row],[Unidades indicador producción]])), "")</f>
        <v>Ha</v>
      </c>
      <c r="N15" s="39">
        <f>IF(Tabla2[[#This Row],[Parámetro]]="Tn",Tabla2[[#This Row],[Indicador]]*$B$6,Tabla2[[#This Row],[Indicador]])</f>
        <v>21.709615379999999</v>
      </c>
      <c r="O15" s="38" t="str">
        <f t="shared" si="1"/>
        <v>MJ/Ha</v>
      </c>
      <c r="P15" s="27">
        <f>(Tabla2[[#This Row],[Indicador área]]*$B$5)</f>
        <v>2105984.6591676599</v>
      </c>
      <c r="Q15" s="90">
        <f>+Tabla2[[#This Row],[Consumo energía '[MJ/año']]]/$P$9</f>
        <v>8.1207842853652061E-3</v>
      </c>
      <c r="R15" s="26">
        <f>IF(Tabla2[[#This Row],[Energético]]="Energía Eléctrica",((Tabla2[[#This Row],[Participación]]*$D$29)/SUMIF(Tabla2[Energético],"Energía Eléctrica",Tabla2[Participación]))*$B$27,Tabla2[[#This Row],[Consumo energía '[MJ/año']]])</f>
        <v>2105984.6591676599</v>
      </c>
    </row>
    <row r="16" spans="1:18" x14ac:dyDescent="0.2">
      <c r="A16" s="33"/>
      <c r="F16" s="22" t="s">
        <v>45</v>
      </c>
      <c r="G16" s="23" t="s">
        <v>21</v>
      </c>
      <c r="H16" s="23" t="s">
        <v>113</v>
      </c>
      <c r="I16" s="23" t="s">
        <v>2</v>
      </c>
      <c r="J16" s="23" t="s">
        <v>29</v>
      </c>
      <c r="K16" s="23" t="s">
        <v>28</v>
      </c>
      <c r="L16" s="24">
        <v>38.350285710000001</v>
      </c>
      <c r="M16" s="38" t="str">
        <f>IFERROR(RIGHT(Tabla2[[#This Row],[Unidades indicador producción]], LEN(Tabla2[[#This Row],[Unidades indicador producción]])-FIND("/", Tabla2[[#This Row],[Unidades indicador producción]])), "")</f>
        <v>Ha</v>
      </c>
      <c r="N16" s="39">
        <f>IF(Tabla2[[#This Row],[Parámetro]]="Tn",Tabla2[[#This Row],[Indicador]]*$B$6,Tabla2[[#This Row],[Indicador]])</f>
        <v>38.350285710000001</v>
      </c>
      <c r="O16" s="38" t="str">
        <f t="shared" si="1"/>
        <v>MJ/Ha</v>
      </c>
      <c r="P16" s="27">
        <f>(Tabla2[[#This Row],[Indicador área]]*$B$5)</f>
        <v>3720246.1658699703</v>
      </c>
      <c r="Q16" s="90">
        <f>+Tabla2[[#This Row],[Consumo energía '[MJ/año']]]/$P$9</f>
        <v>1.4345459008911923E-2</v>
      </c>
      <c r="R16" s="26">
        <f>IF(Tabla2[[#This Row],[Energético]]="Energía Eléctrica",((Tabla2[[#This Row],[Participación]]*$D$29)/SUMIF(Tabla2[Energético],"Energía Eléctrica",Tabla2[Participación]))*$B$27,Tabla2[[#This Row],[Consumo energía '[MJ/año']]])</f>
        <v>288588.47941701073</v>
      </c>
    </row>
    <row r="17" spans="1:18" x14ac:dyDescent="0.2">
      <c r="F17" s="37" t="s">
        <v>45</v>
      </c>
      <c r="G17" s="23" t="s">
        <v>21</v>
      </c>
      <c r="H17" s="23" t="s">
        <v>113</v>
      </c>
      <c r="I17" s="23" t="s">
        <v>9</v>
      </c>
      <c r="J17" s="23" t="s">
        <v>29</v>
      </c>
      <c r="K17" s="23" t="s">
        <v>28</v>
      </c>
      <c r="L17" s="24">
        <v>152.2612297</v>
      </c>
      <c r="M17" s="38" t="str">
        <f>IFERROR(RIGHT(Tabla2[[#This Row],[Unidades indicador producción]], LEN(Tabla2[[#This Row],[Unidades indicador producción]])-FIND("/", Tabla2[[#This Row],[Unidades indicador producción]])), "")</f>
        <v>Ha</v>
      </c>
      <c r="N17" s="39">
        <f>IF(Tabla2[[#This Row],[Parámetro]]="Tn",Tabla2[[#This Row],[Indicador]]*$B$6,Tabla2[[#This Row],[Indicador]])</f>
        <v>152.2612297</v>
      </c>
      <c r="O17" s="38" t="str">
        <f t="shared" si="1"/>
        <v>MJ/Ha</v>
      </c>
      <c r="P17" s="27">
        <f>(Tabla2[[#This Row],[Indicador área]]*$B$5)</f>
        <v>14770405.1095079</v>
      </c>
      <c r="Q17" s="90">
        <f>+Tabla2[[#This Row],[Consumo energía '[MJ/año']]]/$P$9</f>
        <v>5.6955435634168383E-2</v>
      </c>
      <c r="R17" s="26">
        <f>IF(Tabla2[[#This Row],[Energético]]="Energía Eléctrica",((Tabla2[[#This Row],[Participación]]*$D$29)/SUMIF(Tabla2[Energético],"Energía Eléctrica",Tabla2[Participación]))*$B$27,Tabla2[[#This Row],[Consumo energía '[MJ/año']]])</f>
        <v>14770405.1095079</v>
      </c>
    </row>
    <row r="18" spans="1:18" x14ac:dyDescent="0.2">
      <c r="F18" s="22" t="s">
        <v>45</v>
      </c>
      <c r="G18" s="23" t="s">
        <v>47</v>
      </c>
      <c r="H18" s="23" t="s">
        <v>113</v>
      </c>
      <c r="I18" s="23" t="s">
        <v>9</v>
      </c>
      <c r="J18" s="23" t="s">
        <v>48</v>
      </c>
      <c r="K18" s="23" t="s">
        <v>28</v>
      </c>
      <c r="L18" s="24">
        <v>363.57622529999998</v>
      </c>
      <c r="M18" s="38" t="str">
        <f>IFERROR(RIGHT(Tabla2[[#This Row],[Unidades indicador producción]], LEN(Tabla2[[#This Row],[Unidades indicador producción]])-FIND("/", Tabla2[[#This Row],[Unidades indicador producción]])), "")</f>
        <v>Ha</v>
      </c>
      <c r="N18" s="39">
        <f>IF(Tabla2[[#This Row],[Parámetro]]="Tn",Tabla2[[#This Row],[Indicador]]*$B$6,Tabla2[[#This Row],[Indicador]])</f>
        <v>363.57622529999998</v>
      </c>
      <c r="O18" s="38" t="str">
        <f t="shared" si="1"/>
        <v>MJ/Ha</v>
      </c>
      <c r="P18" s="27">
        <f>(Tabla2[[#This Row],[Indicador área]]*$B$5)</f>
        <v>35269438.887677096</v>
      </c>
      <c r="Q18" s="90">
        <f>+Tabla2[[#This Row],[Consumo energía '[MJ/año']]]/$P$9</f>
        <v>0.13600075566832262</v>
      </c>
      <c r="R18" s="26">
        <f>IF(Tabla2[[#This Row],[Energético]]="Energía Eléctrica",((Tabla2[[#This Row],[Participación]]*$D$29)/SUMIF(Tabla2[Energético],"Energía Eléctrica",Tabla2[Participación]))*$B$27,Tabla2[[#This Row],[Consumo energía '[MJ/año']]])</f>
        <v>35269438.887677096</v>
      </c>
    </row>
    <row r="19" spans="1:18" x14ac:dyDescent="0.2">
      <c r="F19" s="22" t="s">
        <v>45</v>
      </c>
      <c r="G19" s="23" t="s">
        <v>22</v>
      </c>
      <c r="H19" s="23" t="s">
        <v>113</v>
      </c>
      <c r="I19" s="23" t="s">
        <v>3</v>
      </c>
      <c r="J19" s="23" t="s">
        <v>30</v>
      </c>
      <c r="K19" s="23" t="s">
        <v>28</v>
      </c>
      <c r="L19" s="24">
        <v>827.03296699999999</v>
      </c>
      <c r="M19" s="38" t="str">
        <f>IFERROR(RIGHT(Tabla2[[#This Row],[Unidades indicador producción]], LEN(Tabla2[[#This Row],[Unidades indicador producción]])-FIND("/", Tabla2[[#This Row],[Unidades indicador producción]])), "")</f>
        <v>Ha</v>
      </c>
      <c r="N19" s="39">
        <f>IF(Tabla2[[#This Row],[Parámetro]]="Tn",Tabla2[[#This Row],[Indicador]]*$B$6,Tabla2[[#This Row],[Indicador]])</f>
        <v>827.03296699999999</v>
      </c>
      <c r="O19" s="38" t="str">
        <f t="shared" si="1"/>
        <v>MJ/Ha</v>
      </c>
      <c r="P19" s="27">
        <f>(Tabla2[[#This Row],[Indicador área]]*$B$5)</f>
        <v>80227987.029769003</v>
      </c>
      <c r="Q19" s="90">
        <f>+Tabla2[[#This Row],[Consumo energía '[MJ/año']]]/$P$9</f>
        <v>0.3093632109244932</v>
      </c>
      <c r="R19" s="26">
        <f>IF(Tabla2[[#This Row],[Energético]]="Energía Eléctrica",((Tabla2[[#This Row],[Participación]]*$D$29)/SUMIF(Tabla2[Energético],"Energía Eléctrica",Tabla2[Participación]))*$B$27,Tabla2[[#This Row],[Consumo energía '[MJ/año']]])</f>
        <v>80227987.029769003</v>
      </c>
    </row>
    <row r="20" spans="1:18" x14ac:dyDescent="0.2">
      <c r="A20" s="32"/>
      <c r="F20" s="22" t="s">
        <v>45</v>
      </c>
      <c r="G20" s="23" t="s">
        <v>22</v>
      </c>
      <c r="H20" s="23" t="s">
        <v>113</v>
      </c>
      <c r="I20" s="23" t="s">
        <v>3</v>
      </c>
      <c r="J20" s="23" t="s">
        <v>31</v>
      </c>
      <c r="K20" s="23" t="s">
        <v>28</v>
      </c>
      <c r="L20" s="24">
        <v>64.324786320000001</v>
      </c>
      <c r="M20" s="38" t="str">
        <f>IFERROR(RIGHT(Tabla2[[#This Row],[Unidades indicador producción]], LEN(Tabla2[[#This Row],[Unidades indicador producción]])-FIND("/", Tabla2[[#This Row],[Unidades indicador producción]])), "")</f>
        <v>Ha</v>
      </c>
      <c r="N20" s="39">
        <f>IF(Tabla2[[#This Row],[Parámetro]]="Tn",Tabla2[[#This Row],[Indicador]]*$B$6,Tabla2[[#This Row],[Indicador]])</f>
        <v>64.324786320000001</v>
      </c>
      <c r="O20" s="38" t="str">
        <f t="shared" si="1"/>
        <v>MJ/Ha</v>
      </c>
      <c r="P20" s="27">
        <f>(Tabla2[[#This Row],[Indicador área]]*$B$5)</f>
        <v>6239954.5465442399</v>
      </c>
      <c r="Q20" s="90">
        <f>+Tabla2[[#This Row],[Consumo energía '[MJ/año']]]/$P$9</f>
        <v>2.4061583071073769E-2</v>
      </c>
      <c r="R20" s="26">
        <f>IF(Tabla2[[#This Row],[Energético]]="Energía Eléctrica",((Tabla2[[#This Row],[Participación]]*$D$29)/SUMIF(Tabla2[Energético],"Energía Eléctrica",Tabla2[Participación]))*$B$27,Tabla2[[#This Row],[Consumo energía '[MJ/año']]])</f>
        <v>6239954.5465442399</v>
      </c>
    </row>
    <row r="21" spans="1:18" x14ac:dyDescent="0.2">
      <c r="F21" s="22" t="s">
        <v>45</v>
      </c>
      <c r="G21" s="23" t="s">
        <v>22</v>
      </c>
      <c r="H21" s="23" t="s">
        <v>113</v>
      </c>
      <c r="I21" s="23" t="s">
        <v>3</v>
      </c>
      <c r="J21" s="23" t="s">
        <v>49</v>
      </c>
      <c r="K21" s="23" t="s">
        <v>28</v>
      </c>
      <c r="L21" s="24">
        <v>96.487179490000003</v>
      </c>
      <c r="M21" s="38" t="str">
        <f>IFERROR(RIGHT(Tabla2[[#This Row],[Unidades indicador producción]], LEN(Tabla2[[#This Row],[Unidades indicador producción]])-FIND("/", Tabla2[[#This Row],[Unidades indicador producción]])), "")</f>
        <v>Ha</v>
      </c>
      <c r="N21" s="39">
        <f>IF(Tabla2[[#This Row],[Parámetro]]="Tn",Tabla2[[#This Row],[Indicador]]*$B$6,Tabla2[[#This Row],[Indicador]])</f>
        <v>96.487179490000003</v>
      </c>
      <c r="O21" s="38" t="str">
        <f t="shared" si="1"/>
        <v>MJ/Ha</v>
      </c>
      <c r="P21" s="27">
        <f>(Tabla2[[#This Row],[Indicador área]]*$B$5)</f>
        <v>9359931.8207864296</v>
      </c>
      <c r="Q21" s="90">
        <f>+Tabla2[[#This Row],[Consumo energía '[MJ/año']]]/$P$9</f>
        <v>3.6092374610351294E-2</v>
      </c>
      <c r="R21" s="26">
        <f>IF(Tabla2[[#This Row],[Energético]]="Energía Eléctrica",((Tabla2[[#This Row],[Participación]]*$D$29)/SUMIF(Tabla2[Energético],"Energía Eléctrica",Tabla2[Participación]))*$B$27,Tabla2[[#This Row],[Consumo energía '[MJ/año']]])</f>
        <v>9359931.8207864296</v>
      </c>
    </row>
    <row r="22" spans="1:18" x14ac:dyDescent="0.2">
      <c r="A22" s="29"/>
      <c r="F22" s="22" t="s">
        <v>45</v>
      </c>
      <c r="G22" s="23" t="s">
        <v>22</v>
      </c>
      <c r="H22" s="23" t="s">
        <v>113</v>
      </c>
      <c r="I22" s="23" t="s">
        <v>3</v>
      </c>
      <c r="J22" s="23" t="s">
        <v>50</v>
      </c>
      <c r="K22" s="23" t="s">
        <v>28</v>
      </c>
      <c r="L22" s="24">
        <v>129.22390110000001</v>
      </c>
      <c r="M22" s="38" t="str">
        <f>IFERROR(RIGHT(Tabla2[[#This Row],[Unidades indicador producción]], LEN(Tabla2[[#This Row],[Unidades indicador producción]])-FIND("/", Tabla2[[#This Row],[Unidades indicador producción]])), "")</f>
        <v>Ha</v>
      </c>
      <c r="N22" s="39">
        <f>IF(Tabla2[[#This Row],[Parámetro]]="Tn",Tabla2[[#This Row],[Indicador]]*$B$6,Tabla2[[#This Row],[Indicador]])</f>
        <v>129.22390110000001</v>
      </c>
      <c r="O22" s="38" t="str">
        <f t="shared" si="1"/>
        <v>MJ/Ha</v>
      </c>
      <c r="P22" s="27">
        <f>(Tabla2[[#This Row],[Indicador área]]*$B$5)</f>
        <v>12535622.974007702</v>
      </c>
      <c r="Q22" s="90">
        <f>+Tabla2[[#This Row],[Consumo energía '[MJ/año']]]/$P$9</f>
        <v>4.8338001709289966E-2</v>
      </c>
      <c r="R22" s="26">
        <f>IF(Tabla2[[#This Row],[Energético]]="Energía Eléctrica",((Tabla2[[#This Row],[Participación]]*$D$29)/SUMIF(Tabla2[Energético],"Energía Eléctrica",Tabla2[Participación]))*$B$27,Tabla2[[#This Row],[Consumo energía '[MJ/año']]])</f>
        <v>12535622.974007702</v>
      </c>
    </row>
    <row r="23" spans="1:18" x14ac:dyDescent="0.2">
      <c r="F23" s="22" t="s">
        <v>45</v>
      </c>
      <c r="G23" s="23" t="s">
        <v>22</v>
      </c>
      <c r="H23" s="23" t="s">
        <v>113</v>
      </c>
      <c r="I23" s="23" t="s">
        <v>9</v>
      </c>
      <c r="J23" s="23" t="s">
        <v>48</v>
      </c>
      <c r="K23" s="23" t="s">
        <v>28</v>
      </c>
      <c r="L23" s="24">
        <v>165.6098901</v>
      </c>
      <c r="M23" s="38" t="str">
        <f>IFERROR(RIGHT(Tabla2[[#This Row],[Unidades indicador producción]], LEN(Tabla2[[#This Row],[Unidades indicador producción]])-FIND("/", Tabla2[[#This Row],[Unidades indicador producción]])), "")</f>
        <v>Ha</v>
      </c>
      <c r="N23" s="39">
        <f>IF(Tabla2[[#This Row],[Parámetro]]="Tn",Tabla2[[#This Row],[Indicador]]*$B$6,Tabla2[[#This Row],[Indicador]])</f>
        <v>165.6098901</v>
      </c>
      <c r="O23" s="38" t="str">
        <f t="shared" si="1"/>
        <v>MJ/Ha</v>
      </c>
      <c r="P23" s="27">
        <f>(Tabla2[[#This Row],[Indicador área]]*$B$5)</f>
        <v>16065318.6089307</v>
      </c>
      <c r="Q23" s="90">
        <f>+Tabla2[[#This Row],[Consumo energía '[MJ/año']]]/$P$9</f>
        <v>6.1948688149681019E-2</v>
      </c>
      <c r="R23" s="26">
        <f>IF(Tabla2[[#This Row],[Energético]]="Energía Eléctrica",((Tabla2[[#This Row],[Participación]]*$D$29)/SUMIF(Tabla2[Energético],"Energía Eléctrica",Tabla2[Participación]))*$B$27,Tabla2[[#This Row],[Consumo energía '[MJ/año']]])</f>
        <v>16065318.6089307</v>
      </c>
    </row>
    <row r="24" spans="1:18" x14ac:dyDescent="0.2">
      <c r="F24" s="22" t="s">
        <v>45</v>
      </c>
      <c r="G24" s="23" t="s">
        <v>23</v>
      </c>
      <c r="H24" s="23" t="s">
        <v>113</v>
      </c>
      <c r="I24" s="23" t="s">
        <v>3</v>
      </c>
      <c r="J24" s="23" t="s">
        <v>32</v>
      </c>
      <c r="K24" s="23" t="s">
        <v>28</v>
      </c>
      <c r="L24" s="24">
        <v>240.5632143</v>
      </c>
      <c r="M24" s="38" t="str">
        <f>IFERROR(RIGHT(Tabla2[[#This Row],[Unidades indicador producción]], LEN(Tabla2[[#This Row],[Unidades indicador producción]])-FIND("/", Tabla2[[#This Row],[Unidades indicador producción]])), "")</f>
        <v>Ha</v>
      </c>
      <c r="N24" s="39">
        <f>IF(Tabla2[[#This Row],[Parámetro]]="Tn",Tabla2[[#This Row],[Indicador]]*$B$6,Tabla2[[#This Row],[Indicador]])</f>
        <v>240.5632143</v>
      </c>
      <c r="O24" s="38" t="str">
        <f t="shared" si="1"/>
        <v>MJ/Ha</v>
      </c>
      <c r="P24" s="27">
        <f>(Tabla2[[#This Row],[Indicador área]]*$B$5)</f>
        <v>23336315.729600102</v>
      </c>
      <c r="Q24" s="90">
        <f>+Tabla2[[#This Row],[Consumo energía '[MJ/año']]]/$P$9</f>
        <v>8.9986023986592736E-2</v>
      </c>
      <c r="R24" s="26">
        <f>IF(Tabla2[[#This Row],[Energético]]="Energía Eléctrica",((Tabla2[[#This Row],[Participación]]*$D$29)/SUMIF(Tabla2[Energético],"Energía Eléctrica",Tabla2[Participación]))*$B$27,Tabla2[[#This Row],[Consumo energía '[MJ/año']]])</f>
        <v>23336315.729600102</v>
      </c>
    </row>
    <row r="25" spans="1:18" x14ac:dyDescent="0.2">
      <c r="R25" s="29"/>
    </row>
    <row r="26" spans="1:18" ht="15.75" x14ac:dyDescent="0.25">
      <c r="A26" s="45" t="s">
        <v>37</v>
      </c>
      <c r="B26" s="45"/>
      <c r="C26" s="45"/>
      <c r="D26" s="45"/>
    </row>
    <row r="27" spans="1:18" x14ac:dyDescent="0.2">
      <c r="B27" s="3">
        <f>SUM(B29:B31)</f>
        <v>255901010.82968289</v>
      </c>
    </row>
    <row r="28" spans="1:18" x14ac:dyDescent="0.2">
      <c r="A28" s="15" t="s">
        <v>0</v>
      </c>
      <c r="B28" s="15" t="s">
        <v>41</v>
      </c>
      <c r="C28" s="15" t="s">
        <v>42</v>
      </c>
      <c r="D28" s="15" t="s">
        <v>1</v>
      </c>
    </row>
    <row r="29" spans="1:18" x14ac:dyDescent="0.2">
      <c r="A29" s="16" t="s">
        <v>2</v>
      </c>
      <c r="B29" s="17">
        <f>B8</f>
        <v>288588.47941701073</v>
      </c>
      <c r="C29" s="10">
        <f>Cítricos!$B29/1000000</f>
        <v>0.28858847941701071</v>
      </c>
      <c r="D29" s="18">
        <f>B29/$B$27</f>
        <v>1.127734816214084E-3</v>
      </c>
    </row>
    <row r="30" spans="1:18" x14ac:dyDescent="0.2">
      <c r="A30" s="16" t="s">
        <v>3</v>
      </c>
      <c r="B30" s="6">
        <f>SUMIF(Tabla2[Energético],A30,Tabla2[Consumo energía '[MJ/año']])</f>
        <v>164493001.79997438</v>
      </c>
      <c r="C30" s="10">
        <f>Cítricos!$B30/1000000</f>
        <v>164.49300179997439</v>
      </c>
      <c r="D30" s="18">
        <f t="shared" ref="D30:D31" si="2">B30/$B$27</f>
        <v>0.64279934364719693</v>
      </c>
    </row>
    <row r="31" spans="1:18" x14ac:dyDescent="0.2">
      <c r="A31" s="16" t="s">
        <v>9</v>
      </c>
      <c r="B31" s="6">
        <f>SUMIF(Tabla2[Energético],A31,Tabla2[Consumo energía '[MJ/año']])</f>
        <v>91119420.550291508</v>
      </c>
      <c r="C31" s="10">
        <f>Cítricos!$B31/1000000</f>
        <v>91.119420550291508</v>
      </c>
      <c r="D31" s="18">
        <f t="shared" si="2"/>
        <v>0.35607292153658909</v>
      </c>
    </row>
    <row r="33" spans="1:5" x14ac:dyDescent="0.2">
      <c r="C33" s="29"/>
      <c r="D33" s="29"/>
    </row>
    <row r="36" spans="1:5" ht="18" x14ac:dyDescent="0.25">
      <c r="A36" s="46" t="s">
        <v>43</v>
      </c>
      <c r="B36" s="46"/>
      <c r="C36" s="46"/>
    </row>
    <row r="37" spans="1:5" x14ac:dyDescent="0.2">
      <c r="A37" s="8" t="str">
        <f>+A4</f>
        <v>Grupo Homogeneo</v>
      </c>
      <c r="B37" s="8" t="s">
        <v>38</v>
      </c>
      <c r="C37" s="8" t="s">
        <v>39</v>
      </c>
    </row>
    <row r="38" spans="1:5" x14ac:dyDescent="0.2">
      <c r="A38" s="9" t="str">
        <f>+$B$4</f>
        <v>Cítricos</v>
      </c>
      <c r="B38" s="10">
        <f>+B27/B5</f>
        <v>2637.964382257805</v>
      </c>
      <c r="C38" s="10">
        <f>B38/$B$6</f>
        <v>173.55028830643454</v>
      </c>
    </row>
    <row r="41" spans="1:5" x14ac:dyDescent="0.2">
      <c r="E41" s="29"/>
    </row>
  </sheetData>
  <mergeCells count="4">
    <mergeCell ref="A26:D26"/>
    <mergeCell ref="F8:L8"/>
    <mergeCell ref="A36:C36"/>
    <mergeCell ref="A3:B3"/>
  </mergeCells>
  <phoneticPr fontId="14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6025C92-C95A-4C51-AC01-1A2B533DB7BD}">
          <x14:formula1>
            <xm:f>Hoja2!$A$1:$A$11</xm:f>
          </x14:formula1>
          <xm:sqref>A29:A31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30792-0D09-456C-A1AC-7E9FC548F120}">
  <dimension ref="A1:R41"/>
  <sheetViews>
    <sheetView showGridLines="0" topLeftCell="I7" workbookViewId="0">
      <selection activeCell="R10" sqref="P10:R10"/>
    </sheetView>
  </sheetViews>
  <sheetFormatPr baseColWidth="10" defaultRowHeight="12.75" x14ac:dyDescent="0.2"/>
  <cols>
    <col min="1" max="1" width="28.28515625" customWidth="1"/>
    <col min="2" max="4" width="16.42578125" customWidth="1"/>
    <col min="5" max="5" width="13.7109375" bestFit="1" customWidth="1"/>
    <col min="6" max="6" width="26.85546875" bestFit="1" customWidth="1"/>
    <col min="7" max="8" width="24.5703125" customWidth="1"/>
    <col min="9" max="9" width="26.5703125" customWidth="1"/>
    <col min="10" max="10" width="17.7109375" bestFit="1" customWidth="1"/>
    <col min="11" max="11" width="19.7109375" customWidth="1"/>
    <col min="12" max="12" width="11.7109375" customWidth="1"/>
    <col min="14" max="14" width="15" customWidth="1"/>
    <col min="16" max="16" width="24.5703125" customWidth="1"/>
    <col min="18" max="18" width="17.28515625" bestFit="1" customWidth="1"/>
  </cols>
  <sheetData>
    <row r="1" spans="1:18" ht="18" x14ac:dyDescent="0.25">
      <c r="A1" s="14"/>
    </row>
    <row r="3" spans="1:18" ht="18" x14ac:dyDescent="0.2">
      <c r="A3" s="92" t="s">
        <v>129</v>
      </c>
      <c r="B3" s="93"/>
    </row>
    <row r="4" spans="1:18" x14ac:dyDescent="0.2">
      <c r="A4" s="5" t="s">
        <v>40</v>
      </c>
      <c r="B4" s="13" t="s">
        <v>51</v>
      </c>
    </row>
    <row r="5" spans="1:18" x14ac:dyDescent="0.2">
      <c r="A5" s="5" t="s">
        <v>13</v>
      </c>
      <c r="B5" s="6">
        <v>39735</v>
      </c>
      <c r="C5" s="28" t="s">
        <v>117</v>
      </c>
    </row>
    <row r="6" spans="1:18" x14ac:dyDescent="0.2">
      <c r="A6" s="5" t="s">
        <v>14</v>
      </c>
      <c r="B6" s="6">
        <v>9.34</v>
      </c>
      <c r="C6" s="28" t="s">
        <v>118</v>
      </c>
    </row>
    <row r="7" spans="1:18" ht="25.5" x14ac:dyDescent="0.2">
      <c r="A7" s="7" t="s">
        <v>15</v>
      </c>
      <c r="B7" s="6">
        <f>B11</f>
        <v>32835.726716270547</v>
      </c>
      <c r="C7" s="28" t="s">
        <v>119</v>
      </c>
    </row>
    <row r="8" spans="1:18" ht="26.25" x14ac:dyDescent="0.25">
      <c r="A8" s="7" t="s">
        <v>125</v>
      </c>
      <c r="B8" s="17">
        <f>+B7*3.6</f>
        <v>118208.61617857397</v>
      </c>
      <c r="C8" s="1"/>
      <c r="F8" s="45" t="s">
        <v>128</v>
      </c>
      <c r="G8" s="45"/>
      <c r="H8" s="45"/>
      <c r="I8" s="45"/>
      <c r="J8" s="45"/>
      <c r="K8" s="45"/>
      <c r="L8" s="45"/>
      <c r="P8" s="29"/>
      <c r="R8" s="11" t="s">
        <v>123</v>
      </c>
    </row>
    <row r="9" spans="1:18" ht="35.25" customHeight="1" x14ac:dyDescent="0.25">
      <c r="K9" s="4" t="s">
        <v>36</v>
      </c>
      <c r="P9" s="12">
        <f>SUM(Tabla22[Consumo energía '[MJ/año']])</f>
        <v>106225154.71552214</v>
      </c>
      <c r="Q9" s="12"/>
      <c r="R9" s="91">
        <f>SUM(Tabla22[Consumo energía corregida '[MJ/año']])</f>
        <v>104819514.72901386</v>
      </c>
    </row>
    <row r="10" spans="1:18" s="2" customFormat="1" ht="38.25" x14ac:dyDescent="0.2">
      <c r="A10" s="34" t="s">
        <v>127</v>
      </c>
      <c r="B10" s="35">
        <v>689752</v>
      </c>
      <c r="F10" s="19" t="s">
        <v>16</v>
      </c>
      <c r="G10" s="20" t="s">
        <v>17</v>
      </c>
      <c r="H10" s="20" t="s">
        <v>112</v>
      </c>
      <c r="I10" s="20" t="s">
        <v>18</v>
      </c>
      <c r="J10" s="20" t="s">
        <v>24</v>
      </c>
      <c r="K10" s="21" t="s">
        <v>25</v>
      </c>
      <c r="L10" s="20" t="s">
        <v>26</v>
      </c>
      <c r="M10" s="20" t="s">
        <v>33</v>
      </c>
      <c r="N10" s="20" t="s">
        <v>34</v>
      </c>
      <c r="O10" s="20" t="s">
        <v>35</v>
      </c>
      <c r="P10" s="49" t="s">
        <v>121</v>
      </c>
      <c r="Q10" s="49" t="s">
        <v>1</v>
      </c>
      <c r="R10" s="49" t="s">
        <v>122</v>
      </c>
    </row>
    <row r="11" spans="1:18" ht="25.5" x14ac:dyDescent="0.2">
      <c r="A11" s="34" t="s">
        <v>126</v>
      </c>
      <c r="B11" s="35">
        <f>B10*Participación!N14</f>
        <v>32835.726716270547</v>
      </c>
      <c r="F11" s="22" t="s">
        <v>45</v>
      </c>
      <c r="G11" s="23" t="s">
        <v>19</v>
      </c>
      <c r="H11" s="23" t="s">
        <v>113</v>
      </c>
      <c r="I11" s="23" t="s">
        <v>3</v>
      </c>
      <c r="J11" s="23" t="s">
        <v>111</v>
      </c>
      <c r="K11" s="23" t="s">
        <v>28</v>
      </c>
      <c r="L11" s="24">
        <v>57.892307690000003</v>
      </c>
      <c r="M11" s="25" t="str">
        <f>IFERROR(RIGHT(Tabla22[[#This Row],[Unidades indicador producción]], LEN(Tabla22[[#This Row],[Unidades indicador producción]])-FIND("/", Tabla22[[#This Row],[Unidades indicador producción]])), "")</f>
        <v>Ha</v>
      </c>
      <c r="N11" s="26">
        <f>IF(Tabla22[[#This Row],[Parámetro]]="Tn",Tabla22[[#This Row],[Indicador]]*$B$6,Tabla22[[#This Row],[Indicador]])</f>
        <v>57.892307690000003</v>
      </c>
      <c r="O11" s="25" t="str">
        <f t="shared" ref="O11" si="0">"MJ/Ha"</f>
        <v>MJ/Ha</v>
      </c>
      <c r="P11" s="26">
        <f>(Tabla22[[#This Row],[Indicador área]]*$B$5)</f>
        <v>2300350.8460621503</v>
      </c>
      <c r="Q11" s="90">
        <f>+Tabla22[[#This Row],[Consumo energía '[MJ/año']]]/$P$9</f>
        <v>2.1655424764714527E-2</v>
      </c>
      <c r="R11" s="26">
        <f>IF(Tabla22[[#This Row],[Energético]]="Energía Eléctrica",((Tabla22[[#This Row],[Participación]]*$D$29)/SUMIF(Tabla22[Energético],"Energía Eléctrica",Tabla22[Participación]))*$B$27,Tabla22[[#This Row],[Consumo energía '[MJ/año']]])</f>
        <v>2300350.8460621503</v>
      </c>
    </row>
    <row r="12" spans="1:18" x14ac:dyDescent="0.2">
      <c r="F12" s="22" t="s">
        <v>45</v>
      </c>
      <c r="G12" s="23" t="s">
        <v>19</v>
      </c>
      <c r="H12" s="23" t="s">
        <v>113</v>
      </c>
      <c r="I12" s="23" t="s">
        <v>9</v>
      </c>
      <c r="J12" s="23" t="s">
        <v>111</v>
      </c>
      <c r="K12" s="23" t="s">
        <v>28</v>
      </c>
      <c r="L12" s="24">
        <v>37.676250000000003</v>
      </c>
      <c r="M12" s="38" t="str">
        <f>IFERROR(RIGHT(Tabla22[[#This Row],[Unidades indicador producción]], LEN(Tabla22[[#This Row],[Unidades indicador producción]])-FIND("/", Tabla22[[#This Row],[Unidades indicador producción]])), "")</f>
        <v>Ha</v>
      </c>
      <c r="N12" s="39">
        <f>IF(Tabla22[[#This Row],[Parámetro]]="Tn",Tabla22[[#This Row],[Indicador]]*$B$6,Tabla22[[#This Row],[Indicador]])</f>
        <v>37.676250000000003</v>
      </c>
      <c r="O12" s="38" t="str">
        <f t="shared" ref="O12:O24" si="1">"MJ/Ha"</f>
        <v>MJ/Ha</v>
      </c>
      <c r="P12" s="26">
        <f>(Tabla22[[#This Row],[Indicador área]]*$B$5)</f>
        <v>1497065.7937500002</v>
      </c>
      <c r="Q12" s="90">
        <f>+Tabla22[[#This Row],[Consumo energía '[MJ/año']]]/$P$9</f>
        <v>1.4093326554894078E-2</v>
      </c>
      <c r="R12" s="26">
        <f>IF(Tabla22[[#This Row],[Energético]]="Energía Eléctrica",((Tabla22[[#This Row],[Participación]]*$D$29)/SUMIF(Tabla22[Energético],"Energía Eléctrica",Tabla22[Participación]))*$B$27,Tabla22[[#This Row],[Consumo energía '[MJ/año']]])</f>
        <v>1497065.7937500002</v>
      </c>
    </row>
    <row r="13" spans="1:18" x14ac:dyDescent="0.2">
      <c r="F13" s="22" t="s">
        <v>45</v>
      </c>
      <c r="G13" s="23" t="s">
        <v>20</v>
      </c>
      <c r="H13" s="23" t="s">
        <v>113</v>
      </c>
      <c r="I13" s="23" t="s">
        <v>3</v>
      </c>
      <c r="J13" s="23" t="s">
        <v>46</v>
      </c>
      <c r="K13" s="23" t="s">
        <v>28</v>
      </c>
      <c r="L13" s="24">
        <v>258.44780220000001</v>
      </c>
      <c r="M13" s="38" t="str">
        <f>IFERROR(RIGHT(Tabla22[[#This Row],[Unidades indicador producción]], LEN(Tabla22[[#This Row],[Unidades indicador producción]])-FIND("/", Tabla22[[#This Row],[Unidades indicador producción]])), "")</f>
        <v>Ha</v>
      </c>
      <c r="N13" s="39">
        <f>IF(Tabla22[[#This Row],[Parámetro]]="Tn",Tabla22[[#This Row],[Indicador]]*$B$6,Tabla22[[#This Row],[Indicador]])</f>
        <v>258.44780220000001</v>
      </c>
      <c r="O13" s="38" t="str">
        <f t="shared" si="1"/>
        <v>MJ/Ha</v>
      </c>
      <c r="P13" s="26">
        <f>(Tabla22[[#This Row],[Indicador área]]*$B$5)</f>
        <v>10269423.420417</v>
      </c>
      <c r="Q13" s="90">
        <f>+Tabla22[[#This Row],[Consumo energía '[MJ/año']]]/$P$9</f>
        <v>9.6676003418579917E-2</v>
      </c>
      <c r="R13" s="26">
        <f>IF(Tabla22[[#This Row],[Energético]]="Energía Eléctrica",((Tabla22[[#This Row],[Participación]]*$D$29)/SUMIF(Tabla22[Energético],"Energía Eléctrica",Tabla22[Participación]))*$B$27,Tabla22[[#This Row],[Consumo energía '[MJ/año']]])</f>
        <v>10269423.420417</v>
      </c>
    </row>
    <row r="14" spans="1:18" x14ac:dyDescent="0.2">
      <c r="F14" s="22" t="s">
        <v>45</v>
      </c>
      <c r="G14" s="23" t="s">
        <v>20</v>
      </c>
      <c r="H14" s="23" t="s">
        <v>113</v>
      </c>
      <c r="I14" s="23" t="s">
        <v>9</v>
      </c>
      <c r="J14" s="23" t="s">
        <v>27</v>
      </c>
      <c r="K14" s="23" t="s">
        <v>28</v>
      </c>
      <c r="L14" s="24">
        <v>220.1840894</v>
      </c>
      <c r="M14" s="38" t="str">
        <f>IFERROR(RIGHT(Tabla22[[#This Row],[Unidades indicador producción]], LEN(Tabla22[[#This Row],[Unidades indicador producción]])-FIND("/", Tabla22[[#This Row],[Unidades indicador producción]])), "")</f>
        <v>Ha</v>
      </c>
      <c r="N14" s="39">
        <f>IF(Tabla22[[#This Row],[Parámetro]]="Tn",Tabla22[[#This Row],[Indicador]]*$B$6,Tabla22[[#This Row],[Indicador]])</f>
        <v>220.1840894</v>
      </c>
      <c r="O14" s="38" t="str">
        <f t="shared" si="1"/>
        <v>MJ/Ha</v>
      </c>
      <c r="P14" s="26">
        <f>(Tabla22[[#This Row],[Indicador área]]*$B$5)</f>
        <v>8749014.7923090011</v>
      </c>
      <c r="Q14" s="90">
        <f>+Tabla22[[#This Row],[Consumo energía '[MJ/año']]]/$P$9</f>
        <v>8.2362928213561379E-2</v>
      </c>
      <c r="R14" s="26">
        <f>IF(Tabla22[[#This Row],[Energético]]="Energía Eléctrica",((Tabla22[[#This Row],[Participación]]*$D$29)/SUMIF(Tabla22[Energético],"Energía Eléctrica",Tabla22[Participación]))*$B$27,Tabla22[[#This Row],[Consumo energía '[MJ/año']]])</f>
        <v>8749014.7923090011</v>
      </c>
    </row>
    <row r="15" spans="1:18" x14ac:dyDescent="0.2">
      <c r="F15" s="22" t="s">
        <v>45</v>
      </c>
      <c r="G15" s="23" t="s">
        <v>21</v>
      </c>
      <c r="H15" s="23" t="s">
        <v>113</v>
      </c>
      <c r="I15" s="23" t="s">
        <v>3</v>
      </c>
      <c r="J15" s="23" t="s">
        <v>29</v>
      </c>
      <c r="K15" s="23" t="s">
        <v>28</v>
      </c>
      <c r="L15" s="24">
        <v>21.709615379999999</v>
      </c>
      <c r="M15" s="38" t="str">
        <f>IFERROR(RIGHT(Tabla22[[#This Row],[Unidades indicador producción]], LEN(Tabla22[[#This Row],[Unidades indicador producción]])-FIND("/", Tabla22[[#This Row],[Unidades indicador producción]])), "")</f>
        <v>Ha</v>
      </c>
      <c r="N15" s="39">
        <f>IF(Tabla22[[#This Row],[Parámetro]]="Tn",Tabla22[[#This Row],[Indicador]]*$B$6,Tabla22[[#This Row],[Indicador]])</f>
        <v>21.709615379999999</v>
      </c>
      <c r="O15" s="38" t="str">
        <f t="shared" si="1"/>
        <v>MJ/Ha</v>
      </c>
      <c r="P15" s="26">
        <f>(Tabla22[[#This Row],[Indicador área]]*$B$5)</f>
        <v>862631.56712429994</v>
      </c>
      <c r="Q15" s="90">
        <f>+Tabla22[[#This Row],[Consumo energía '[MJ/año']]]/$P$9</f>
        <v>8.1207842853652061E-3</v>
      </c>
      <c r="R15" s="26">
        <f>IF(Tabla22[[#This Row],[Energético]]="Energía Eléctrica",((Tabla22[[#This Row],[Participación]]*$D$29)/SUMIF(Tabla22[Energético],"Energía Eléctrica",Tabla22[Participación]))*$B$27,Tabla22[[#This Row],[Consumo energía '[MJ/año']]])</f>
        <v>862631.56712429994</v>
      </c>
    </row>
    <row r="16" spans="1:18" x14ac:dyDescent="0.2">
      <c r="F16" s="22" t="s">
        <v>45</v>
      </c>
      <c r="G16" s="23" t="s">
        <v>21</v>
      </c>
      <c r="H16" s="23" t="s">
        <v>113</v>
      </c>
      <c r="I16" s="23" t="s">
        <v>2</v>
      </c>
      <c r="J16" s="23" t="s">
        <v>29</v>
      </c>
      <c r="K16" s="23" t="s">
        <v>28</v>
      </c>
      <c r="L16" s="24">
        <v>38.350285710000001</v>
      </c>
      <c r="M16" s="38" t="str">
        <f>IFERROR(RIGHT(Tabla22[[#This Row],[Unidades indicador producción]], LEN(Tabla22[[#This Row],[Unidades indicador producción]])-FIND("/", Tabla22[[#This Row],[Unidades indicador producción]])), "")</f>
        <v>Ha</v>
      </c>
      <c r="N16" s="39">
        <f>IF(Tabla22[[#This Row],[Parámetro]]="Tn",Tabla22[[#This Row],[Indicador]]*$B$6,Tabla22[[#This Row],[Indicador]])</f>
        <v>38.350285710000001</v>
      </c>
      <c r="O16" s="38" t="str">
        <f t="shared" si="1"/>
        <v>MJ/Ha</v>
      </c>
      <c r="P16" s="26">
        <f>(Tabla22[[#This Row],[Indicador área]]*$B$5)</f>
        <v>1523848.6026868501</v>
      </c>
      <c r="Q16" s="90">
        <f>+Tabla22[[#This Row],[Consumo energía '[MJ/año']]]/$P$9</f>
        <v>1.4345459008911925E-2</v>
      </c>
      <c r="R16" s="26">
        <f>IF(Tabla22[[#This Row],[Energético]]="Energía Eléctrica",((Tabla22[[#This Row],[Participación]]*$D$29)/SUMIF(Tabla22[Energético],"Energía Eléctrica",Tabla22[Participación]))*$B$27,Tabla22[[#This Row],[Consumo energía '[MJ/año']]])</f>
        <v>118208.61617857395</v>
      </c>
    </row>
    <row r="17" spans="1:18" x14ac:dyDescent="0.2">
      <c r="F17" s="37" t="s">
        <v>45</v>
      </c>
      <c r="G17" s="23" t="s">
        <v>21</v>
      </c>
      <c r="H17" s="23" t="s">
        <v>113</v>
      </c>
      <c r="I17" s="23" t="s">
        <v>9</v>
      </c>
      <c r="J17" s="23" t="s">
        <v>29</v>
      </c>
      <c r="K17" s="23" t="s">
        <v>28</v>
      </c>
      <c r="L17" s="24">
        <v>152.2612297</v>
      </c>
      <c r="M17" s="38" t="str">
        <f>IFERROR(RIGHT(Tabla22[[#This Row],[Unidades indicador producción]], LEN(Tabla22[[#This Row],[Unidades indicador producción]])-FIND("/", Tabla22[[#This Row],[Unidades indicador producción]])), "")</f>
        <v>Ha</v>
      </c>
      <c r="N17" s="39">
        <f>IF(Tabla22[[#This Row],[Parámetro]]="Tn",Tabla22[[#This Row],[Indicador]]*$B$6,Tabla22[[#This Row],[Indicador]])</f>
        <v>152.2612297</v>
      </c>
      <c r="O17" s="38" t="str">
        <f t="shared" si="1"/>
        <v>MJ/Ha</v>
      </c>
      <c r="P17" s="26">
        <f>(Tabla22[[#This Row],[Indicador área]]*$B$5)</f>
        <v>6050099.9621294998</v>
      </c>
      <c r="Q17" s="90">
        <f>+Tabla22[[#This Row],[Consumo energía '[MJ/año']]]/$P$9</f>
        <v>5.695543563416839E-2</v>
      </c>
      <c r="R17" s="26">
        <f>IF(Tabla22[[#This Row],[Energético]]="Energía Eléctrica",((Tabla22[[#This Row],[Participación]]*$D$29)/SUMIF(Tabla22[Energético],"Energía Eléctrica",Tabla22[Participación]))*$B$27,Tabla22[[#This Row],[Consumo energía '[MJ/año']]])</f>
        <v>6050099.9621294998</v>
      </c>
    </row>
    <row r="18" spans="1:18" x14ac:dyDescent="0.2">
      <c r="F18" s="22" t="s">
        <v>45</v>
      </c>
      <c r="G18" s="23" t="s">
        <v>47</v>
      </c>
      <c r="H18" s="23" t="s">
        <v>113</v>
      </c>
      <c r="I18" s="23" t="s">
        <v>9</v>
      </c>
      <c r="J18" s="23" t="s">
        <v>48</v>
      </c>
      <c r="K18" s="23" t="s">
        <v>28</v>
      </c>
      <c r="L18" s="24">
        <v>363.57622529999998</v>
      </c>
      <c r="M18" s="38" t="str">
        <f>IFERROR(RIGHT(Tabla22[[#This Row],[Unidades indicador producción]], LEN(Tabla22[[#This Row],[Unidades indicador producción]])-FIND("/", Tabla22[[#This Row],[Unidades indicador producción]])), "")</f>
        <v>Ha</v>
      </c>
      <c r="N18" s="39">
        <f>IF(Tabla22[[#This Row],[Parámetro]]="Tn",Tabla22[[#This Row],[Indicador]]*$B$6,Tabla22[[#This Row],[Indicador]])</f>
        <v>363.57622529999998</v>
      </c>
      <c r="O18" s="38" t="str">
        <f t="shared" si="1"/>
        <v>MJ/Ha</v>
      </c>
      <c r="P18" s="26">
        <f>(Tabla22[[#This Row],[Indicador área]]*$B$5)</f>
        <v>14446701.312295498</v>
      </c>
      <c r="Q18" s="90">
        <f>+Tabla22[[#This Row],[Consumo energía '[MJ/año']]]/$P$9</f>
        <v>0.13600075566832265</v>
      </c>
      <c r="R18" s="26">
        <f>IF(Tabla22[[#This Row],[Energético]]="Energía Eléctrica",((Tabla22[[#This Row],[Participación]]*$D$29)/SUMIF(Tabla22[Energético],"Energía Eléctrica",Tabla22[Participación]))*$B$27,Tabla22[[#This Row],[Consumo energía '[MJ/año']]])</f>
        <v>14446701.312295498</v>
      </c>
    </row>
    <row r="19" spans="1:18" x14ac:dyDescent="0.2">
      <c r="F19" s="22" t="s">
        <v>45</v>
      </c>
      <c r="G19" s="23" t="s">
        <v>22</v>
      </c>
      <c r="H19" s="23" t="s">
        <v>113</v>
      </c>
      <c r="I19" s="23" t="s">
        <v>3</v>
      </c>
      <c r="J19" s="23" t="s">
        <v>30</v>
      </c>
      <c r="K19" s="23" t="s">
        <v>28</v>
      </c>
      <c r="L19" s="24">
        <v>827.03296699999999</v>
      </c>
      <c r="M19" s="38" t="str">
        <f>IFERROR(RIGHT(Tabla22[[#This Row],[Unidades indicador producción]], LEN(Tabla22[[#This Row],[Unidades indicador producción]])-FIND("/", Tabla22[[#This Row],[Unidades indicador producción]])), "")</f>
        <v>Ha</v>
      </c>
      <c r="N19" s="39">
        <f>IF(Tabla22[[#This Row],[Parámetro]]="Tn",Tabla22[[#This Row],[Indicador]]*$B$6,Tabla22[[#This Row],[Indicador]])</f>
        <v>827.03296699999999</v>
      </c>
      <c r="O19" s="38" t="str">
        <f t="shared" si="1"/>
        <v>MJ/Ha</v>
      </c>
      <c r="P19" s="26">
        <f>(Tabla22[[#This Row],[Indicador área]]*$B$5)</f>
        <v>32862154.943744998</v>
      </c>
      <c r="Q19" s="90">
        <f>+Tabla22[[#This Row],[Consumo energía '[MJ/año']]]/$P$9</f>
        <v>0.3093632109244932</v>
      </c>
      <c r="R19" s="26">
        <f>IF(Tabla22[[#This Row],[Energético]]="Energía Eléctrica",((Tabla22[[#This Row],[Participación]]*$D$29)/SUMIF(Tabla22[Energético],"Energía Eléctrica",Tabla22[Participación]))*$B$27,Tabla22[[#This Row],[Consumo energía '[MJ/año']]])</f>
        <v>32862154.943744998</v>
      </c>
    </row>
    <row r="20" spans="1:18" x14ac:dyDescent="0.2">
      <c r="F20" s="22" t="s">
        <v>45</v>
      </c>
      <c r="G20" s="23" t="s">
        <v>22</v>
      </c>
      <c r="H20" s="23" t="s">
        <v>113</v>
      </c>
      <c r="I20" s="23" t="s">
        <v>3</v>
      </c>
      <c r="J20" s="23" t="s">
        <v>31</v>
      </c>
      <c r="K20" s="23" t="s">
        <v>28</v>
      </c>
      <c r="L20" s="24">
        <v>64.324786320000001</v>
      </c>
      <c r="M20" s="38" t="str">
        <f>IFERROR(RIGHT(Tabla22[[#This Row],[Unidades indicador producción]], LEN(Tabla22[[#This Row],[Unidades indicador producción]])-FIND("/", Tabla22[[#This Row],[Unidades indicador producción]])), "")</f>
        <v>Ha</v>
      </c>
      <c r="N20" s="39">
        <f>IF(Tabla22[[#This Row],[Parámetro]]="Tn",Tabla22[[#This Row],[Indicador]]*$B$6,Tabla22[[#This Row],[Indicador]])</f>
        <v>64.324786320000001</v>
      </c>
      <c r="O20" s="38" t="str">
        <f t="shared" si="1"/>
        <v>MJ/Ha</v>
      </c>
      <c r="P20" s="26">
        <f>(Tabla22[[#This Row],[Indicador área]]*$B$5)</f>
        <v>2555945.3844252001</v>
      </c>
      <c r="Q20" s="90">
        <f>+Tabla22[[#This Row],[Consumo energía '[MJ/año']]]/$P$9</f>
        <v>2.4061583071073773E-2</v>
      </c>
      <c r="R20" s="26">
        <f>IF(Tabla22[[#This Row],[Energético]]="Energía Eléctrica",((Tabla22[[#This Row],[Participación]]*$D$29)/SUMIF(Tabla22[Energético],"Energía Eléctrica",Tabla22[Participación]))*$B$27,Tabla22[[#This Row],[Consumo energía '[MJ/año']]])</f>
        <v>2555945.3844252001</v>
      </c>
    </row>
    <row r="21" spans="1:18" x14ac:dyDescent="0.2">
      <c r="F21" s="22" t="s">
        <v>45</v>
      </c>
      <c r="G21" s="23" t="s">
        <v>22</v>
      </c>
      <c r="H21" s="23" t="s">
        <v>113</v>
      </c>
      <c r="I21" s="23" t="s">
        <v>3</v>
      </c>
      <c r="J21" s="23" t="s">
        <v>49</v>
      </c>
      <c r="K21" s="23" t="s">
        <v>28</v>
      </c>
      <c r="L21" s="24">
        <v>96.487179490000003</v>
      </c>
      <c r="M21" s="38" t="str">
        <f>IFERROR(RIGHT(Tabla22[[#This Row],[Unidades indicador producción]], LEN(Tabla22[[#This Row],[Unidades indicador producción]])-FIND("/", Tabla22[[#This Row],[Unidades indicador producción]])), "")</f>
        <v>Ha</v>
      </c>
      <c r="N21" s="39">
        <f>IF(Tabla22[[#This Row],[Parámetro]]="Tn",Tabla22[[#This Row],[Indicador]]*$B$6,Tabla22[[#This Row],[Indicador]])</f>
        <v>96.487179490000003</v>
      </c>
      <c r="O21" s="38" t="str">
        <f t="shared" si="1"/>
        <v>MJ/Ha</v>
      </c>
      <c r="P21" s="26">
        <f>(Tabla22[[#This Row],[Indicador área]]*$B$5)</f>
        <v>3833918.07703515</v>
      </c>
      <c r="Q21" s="90">
        <f>+Tabla22[[#This Row],[Consumo energía '[MJ/año']]]/$P$9</f>
        <v>3.6092374610351301E-2</v>
      </c>
      <c r="R21" s="26">
        <f>IF(Tabla22[[#This Row],[Energético]]="Energía Eléctrica",((Tabla22[[#This Row],[Participación]]*$D$29)/SUMIF(Tabla22[Energético],"Energía Eléctrica",Tabla22[Participación]))*$B$27,Tabla22[[#This Row],[Consumo energía '[MJ/año']]])</f>
        <v>3833918.07703515</v>
      </c>
    </row>
    <row r="22" spans="1:18" x14ac:dyDescent="0.2">
      <c r="F22" s="22" t="s">
        <v>45</v>
      </c>
      <c r="G22" s="23" t="s">
        <v>22</v>
      </c>
      <c r="H22" s="23" t="s">
        <v>113</v>
      </c>
      <c r="I22" s="23" t="s">
        <v>3</v>
      </c>
      <c r="J22" s="23" t="s">
        <v>50</v>
      </c>
      <c r="K22" s="23" t="s">
        <v>28</v>
      </c>
      <c r="L22" s="24">
        <v>129.22390110000001</v>
      </c>
      <c r="M22" s="38" t="str">
        <f>IFERROR(RIGHT(Tabla22[[#This Row],[Unidades indicador producción]], LEN(Tabla22[[#This Row],[Unidades indicador producción]])-FIND("/", Tabla22[[#This Row],[Unidades indicador producción]])), "")</f>
        <v>Ha</v>
      </c>
      <c r="N22" s="39">
        <f>IF(Tabla22[[#This Row],[Parámetro]]="Tn",Tabla22[[#This Row],[Indicador]]*$B$6,Tabla22[[#This Row],[Indicador]])</f>
        <v>129.22390110000001</v>
      </c>
      <c r="O22" s="38" t="str">
        <f t="shared" si="1"/>
        <v>MJ/Ha</v>
      </c>
      <c r="P22" s="26">
        <f>(Tabla22[[#This Row],[Indicador área]]*$B$5)</f>
        <v>5134711.7102084998</v>
      </c>
      <c r="Q22" s="90">
        <f>+Tabla22[[#This Row],[Consumo energía '[MJ/año']]]/$P$9</f>
        <v>4.8338001709289959E-2</v>
      </c>
      <c r="R22" s="26">
        <f>IF(Tabla22[[#This Row],[Energético]]="Energía Eléctrica",((Tabla22[[#This Row],[Participación]]*$D$29)/SUMIF(Tabla22[Energético],"Energía Eléctrica",Tabla22[Participación]))*$B$27,Tabla22[[#This Row],[Consumo energía '[MJ/año']]])</f>
        <v>5134711.7102084998</v>
      </c>
    </row>
    <row r="23" spans="1:18" x14ac:dyDescent="0.2">
      <c r="F23" s="22" t="s">
        <v>45</v>
      </c>
      <c r="G23" s="23" t="s">
        <v>22</v>
      </c>
      <c r="H23" s="23" t="s">
        <v>113</v>
      </c>
      <c r="I23" s="23" t="s">
        <v>9</v>
      </c>
      <c r="J23" s="23" t="s">
        <v>48</v>
      </c>
      <c r="K23" s="23" t="s">
        <v>28</v>
      </c>
      <c r="L23" s="24">
        <v>165.6098901</v>
      </c>
      <c r="M23" s="38" t="str">
        <f>IFERROR(RIGHT(Tabla22[[#This Row],[Unidades indicador producción]], LEN(Tabla22[[#This Row],[Unidades indicador producción]])-FIND("/", Tabla22[[#This Row],[Unidades indicador producción]])), "")</f>
        <v>Ha</v>
      </c>
      <c r="N23" s="39">
        <f>IF(Tabla22[[#This Row],[Parámetro]]="Tn",Tabla22[[#This Row],[Indicador]]*$B$6,Tabla22[[#This Row],[Indicador]])</f>
        <v>165.6098901</v>
      </c>
      <c r="O23" s="38" t="str">
        <f t="shared" si="1"/>
        <v>MJ/Ha</v>
      </c>
      <c r="P23" s="26">
        <f>(Tabla22[[#This Row],[Indicador área]]*$B$5)</f>
        <v>6580508.9831234999</v>
      </c>
      <c r="Q23" s="90">
        <f>+Tabla22[[#This Row],[Consumo energía '[MJ/año']]]/$P$9</f>
        <v>6.1948688149681026E-2</v>
      </c>
      <c r="R23" s="26">
        <f>IF(Tabla22[[#This Row],[Energético]]="Energía Eléctrica",((Tabla22[[#This Row],[Participación]]*$D$29)/SUMIF(Tabla22[Energético],"Energía Eléctrica",Tabla22[Participación]))*$B$27,Tabla22[[#This Row],[Consumo energía '[MJ/año']]])</f>
        <v>6580508.9831234999</v>
      </c>
    </row>
    <row r="24" spans="1:18" x14ac:dyDescent="0.2">
      <c r="F24" s="22" t="s">
        <v>45</v>
      </c>
      <c r="G24" s="23" t="s">
        <v>23</v>
      </c>
      <c r="H24" s="23" t="s">
        <v>113</v>
      </c>
      <c r="I24" s="23" t="s">
        <v>3</v>
      </c>
      <c r="J24" s="23" t="s">
        <v>32</v>
      </c>
      <c r="K24" s="23" t="s">
        <v>28</v>
      </c>
      <c r="L24" s="24">
        <v>240.5632143</v>
      </c>
      <c r="M24" s="38" t="str">
        <f>IFERROR(RIGHT(Tabla22[[#This Row],[Unidades indicador producción]], LEN(Tabla22[[#This Row],[Unidades indicador producción]])-FIND("/", Tabla22[[#This Row],[Unidades indicador producción]])), "")</f>
        <v>Ha</v>
      </c>
      <c r="N24" s="39">
        <f>IF(Tabla22[[#This Row],[Parámetro]]="Tn",Tabla22[[#This Row],[Indicador]]*$B$6,Tabla22[[#This Row],[Indicador]])</f>
        <v>240.5632143</v>
      </c>
      <c r="O24" s="38" t="str">
        <f t="shared" si="1"/>
        <v>MJ/Ha</v>
      </c>
      <c r="P24" s="26">
        <f>(Tabla22[[#This Row],[Indicador área]]*$B$5)</f>
        <v>9558779.3202104997</v>
      </c>
      <c r="Q24" s="90">
        <f>+Tabla22[[#This Row],[Consumo energía '[MJ/año']]]/$P$9</f>
        <v>8.9986023986592736E-2</v>
      </c>
      <c r="R24" s="26">
        <f>IF(Tabla22[[#This Row],[Energético]]="Energía Eléctrica",((Tabla22[[#This Row],[Participación]]*$D$29)/SUMIF(Tabla22[Energético],"Energía Eléctrica",Tabla22[Participación]))*$B$27,Tabla22[[#This Row],[Consumo energía '[MJ/año']]])</f>
        <v>9558779.3202104997</v>
      </c>
    </row>
    <row r="25" spans="1:18" x14ac:dyDescent="0.2">
      <c r="R25" s="29"/>
    </row>
    <row r="26" spans="1:18" ht="15.75" x14ac:dyDescent="0.25">
      <c r="A26" s="45" t="s">
        <v>37</v>
      </c>
      <c r="B26" s="45"/>
      <c r="C26" s="45"/>
      <c r="D26" s="45"/>
    </row>
    <row r="27" spans="1:18" x14ac:dyDescent="0.2">
      <c r="B27" s="3">
        <f>SUM(B29:B31)</f>
        <v>104819514.72901386</v>
      </c>
    </row>
    <row r="28" spans="1:18" x14ac:dyDescent="0.2">
      <c r="A28" s="15" t="s">
        <v>0</v>
      </c>
      <c r="B28" s="15" t="s">
        <v>41</v>
      </c>
      <c r="C28" s="15" t="s">
        <v>42</v>
      </c>
      <c r="D28" s="15" t="s">
        <v>1</v>
      </c>
    </row>
    <row r="29" spans="1:18" x14ac:dyDescent="0.2">
      <c r="A29" s="16" t="s">
        <v>2</v>
      </c>
      <c r="B29" s="17">
        <f>B8</f>
        <v>118208.61617857397</v>
      </c>
      <c r="C29" s="10">
        <f>B29/1000000</f>
        <v>0.11820861617857396</v>
      </c>
      <c r="D29" s="18">
        <f>B29/$B$27</f>
        <v>1.1277348162140844E-3</v>
      </c>
    </row>
    <row r="30" spans="1:18" x14ac:dyDescent="0.2">
      <c r="A30" s="16" t="s">
        <v>3</v>
      </c>
      <c r="B30" s="6">
        <f>SUMIF(Tabla22[Energético],A30,Tabla22[Consumo energía '[MJ/año']])</f>
        <v>67377915.269227788</v>
      </c>
      <c r="C30" s="10">
        <f t="shared" ref="C30:C31" si="2">B30/1000000</f>
        <v>67.377915269227785</v>
      </c>
      <c r="D30" s="18">
        <f t="shared" ref="D30:D31" si="3">B30/$B$27</f>
        <v>0.64279934364719682</v>
      </c>
    </row>
    <row r="31" spans="1:18" x14ac:dyDescent="0.2">
      <c r="A31" s="16" t="s">
        <v>9</v>
      </c>
      <c r="B31" s="6">
        <f>SUMIF(Tabla22[Energético],A31,Tabla22[Consumo energía '[MJ/año']])</f>
        <v>37323390.8436075</v>
      </c>
      <c r="C31" s="10">
        <f t="shared" si="2"/>
        <v>37.323390843607498</v>
      </c>
      <c r="D31" s="18">
        <f t="shared" si="3"/>
        <v>0.35607292153658915</v>
      </c>
    </row>
    <row r="33" spans="1:5" x14ac:dyDescent="0.2">
      <c r="C33" s="29"/>
      <c r="D33" s="29"/>
    </row>
    <row r="36" spans="1:5" ht="18" x14ac:dyDescent="0.25">
      <c r="A36" s="46" t="s">
        <v>43</v>
      </c>
      <c r="B36" s="46"/>
      <c r="C36" s="46"/>
    </row>
    <row r="37" spans="1:5" x14ac:dyDescent="0.2">
      <c r="A37" s="8" t="str">
        <f>+A4</f>
        <v>Grupo Homogeneo</v>
      </c>
      <c r="B37" s="8" t="s">
        <v>38</v>
      </c>
      <c r="C37" s="8" t="s">
        <v>39</v>
      </c>
    </row>
    <row r="38" spans="1:5" x14ac:dyDescent="0.2">
      <c r="A38" s="9" t="str">
        <f>+$B$4</f>
        <v>mango</v>
      </c>
      <c r="B38" s="10">
        <f>B27/B5</f>
        <v>2637.9643822578046</v>
      </c>
      <c r="C38" s="10">
        <f>B38/$B$6</f>
        <v>282.43730002760219</v>
      </c>
    </row>
    <row r="41" spans="1:5" x14ac:dyDescent="0.2">
      <c r="E41" s="29"/>
    </row>
  </sheetData>
  <mergeCells count="4">
    <mergeCell ref="A3:B3"/>
    <mergeCell ref="F8:L8"/>
    <mergeCell ref="A26:D26"/>
    <mergeCell ref="A36:C36"/>
  </mergeCells>
  <phoneticPr fontId="14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ADDCAB1C-C286-4F83-8334-C6D89ACF289D}">
          <x14:formula1>
            <xm:f>Hoja2!$A$1:$A$11</xm:f>
          </x14:formula1>
          <xm:sqref>A29:A31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A2D71-CCC7-4CBD-9489-AED063812FAC}">
  <dimension ref="A1:R42"/>
  <sheetViews>
    <sheetView showGridLines="0" workbookViewId="0">
      <selection activeCell="A17" sqref="A17"/>
    </sheetView>
  </sheetViews>
  <sheetFormatPr baseColWidth="10" defaultRowHeight="12.75" x14ac:dyDescent="0.2"/>
  <cols>
    <col min="1" max="1" width="28.28515625" customWidth="1"/>
    <col min="2" max="4" width="16.42578125" customWidth="1"/>
    <col min="5" max="5" width="13.7109375" bestFit="1" customWidth="1"/>
    <col min="6" max="6" width="26.85546875" bestFit="1" customWidth="1"/>
    <col min="7" max="8" width="24.5703125" customWidth="1"/>
    <col min="9" max="9" width="26.5703125" customWidth="1"/>
    <col min="10" max="10" width="17.7109375" bestFit="1" customWidth="1"/>
    <col min="11" max="11" width="19.7109375" customWidth="1"/>
    <col min="12" max="12" width="11.7109375" customWidth="1"/>
    <col min="14" max="14" width="15" customWidth="1"/>
    <col min="16" max="16" width="24.5703125" customWidth="1"/>
    <col min="18" max="18" width="26.7109375" customWidth="1"/>
  </cols>
  <sheetData>
    <row r="1" spans="1:18" ht="18" x14ac:dyDescent="0.25">
      <c r="A1" s="14"/>
    </row>
    <row r="3" spans="1:18" ht="18" x14ac:dyDescent="0.2">
      <c r="A3" s="92" t="s">
        <v>129</v>
      </c>
      <c r="B3" s="93"/>
    </row>
    <row r="4" spans="1:18" x14ac:dyDescent="0.2">
      <c r="A4" s="5" t="s">
        <v>40</v>
      </c>
      <c r="B4" s="23" t="s">
        <v>66</v>
      </c>
    </row>
    <row r="5" spans="1:18" x14ac:dyDescent="0.2">
      <c r="A5" s="5" t="s">
        <v>13</v>
      </c>
      <c r="B5" s="24">
        <v>66382</v>
      </c>
      <c r="C5" s="28" t="s">
        <v>117</v>
      </c>
    </row>
    <row r="6" spans="1:18" x14ac:dyDescent="0.2">
      <c r="A6" s="5" t="s">
        <v>14</v>
      </c>
      <c r="B6" s="24">
        <v>9.43</v>
      </c>
      <c r="C6" s="28" t="s">
        <v>118</v>
      </c>
    </row>
    <row r="7" spans="1:18" ht="25.5" x14ac:dyDescent="0.2">
      <c r="A7" s="7" t="s">
        <v>15</v>
      </c>
      <c r="B7" s="24">
        <f>B11</f>
        <v>54855.556273723196</v>
      </c>
      <c r="C7" s="28" t="s">
        <v>119</v>
      </c>
    </row>
    <row r="8" spans="1:18" ht="26.25" x14ac:dyDescent="0.25">
      <c r="A8" s="7" t="s">
        <v>125</v>
      </c>
      <c r="B8" s="26">
        <f>+B7*3.6</f>
        <v>197480.0025854035</v>
      </c>
      <c r="C8" s="1"/>
      <c r="F8" s="45" t="s">
        <v>128</v>
      </c>
      <c r="G8" s="45"/>
      <c r="H8" s="45"/>
      <c r="I8" s="45"/>
      <c r="J8" s="45"/>
      <c r="K8" s="45"/>
      <c r="L8" s="45"/>
      <c r="R8" s="11" t="s">
        <v>123</v>
      </c>
    </row>
    <row r="9" spans="1:18" ht="35.25" customHeight="1" x14ac:dyDescent="0.25">
      <c r="K9" s="4" t="s">
        <v>36</v>
      </c>
      <c r="P9" s="12">
        <f>SUM(Tabla224[Consumo energía '[MJ/año']])</f>
        <v>177461638.86562958</v>
      </c>
      <c r="R9" s="91">
        <f>SUM(Tabla224[Consumo energía corregida '[MJ/año']])</f>
        <v>175113350.20221376</v>
      </c>
    </row>
    <row r="10" spans="1:18" s="2" customFormat="1" ht="51" x14ac:dyDescent="0.2">
      <c r="A10" s="34" t="s">
        <v>114</v>
      </c>
      <c r="B10" s="35">
        <v>689752</v>
      </c>
      <c r="F10" s="19" t="s">
        <v>16</v>
      </c>
      <c r="G10" s="20" t="s">
        <v>17</v>
      </c>
      <c r="H10" s="20" t="s">
        <v>112</v>
      </c>
      <c r="I10" s="20" t="s">
        <v>18</v>
      </c>
      <c r="J10" s="20" t="s">
        <v>24</v>
      </c>
      <c r="K10" s="21" t="s">
        <v>25</v>
      </c>
      <c r="L10" s="20" t="s">
        <v>26</v>
      </c>
      <c r="M10" s="20" t="s">
        <v>33</v>
      </c>
      <c r="N10" s="20" t="s">
        <v>34</v>
      </c>
      <c r="O10" s="20" t="s">
        <v>35</v>
      </c>
      <c r="P10" s="49" t="s">
        <v>121</v>
      </c>
      <c r="Q10" s="49" t="s">
        <v>1</v>
      </c>
      <c r="R10" s="49" t="s">
        <v>122</v>
      </c>
    </row>
    <row r="11" spans="1:18" ht="25.5" x14ac:dyDescent="0.2">
      <c r="A11" s="34" t="s">
        <v>115</v>
      </c>
      <c r="B11" s="35">
        <f>B10*Participación!P24</f>
        <v>54855.556273723196</v>
      </c>
      <c r="F11" s="22" t="s">
        <v>45</v>
      </c>
      <c r="G11" s="23" t="s">
        <v>19</v>
      </c>
      <c r="H11" s="23" t="s">
        <v>113</v>
      </c>
      <c r="I11" s="23" t="s">
        <v>3</v>
      </c>
      <c r="J11" s="23" t="s">
        <v>111</v>
      </c>
      <c r="K11" s="23" t="s">
        <v>28</v>
      </c>
      <c r="L11" s="24">
        <v>57.892307690000003</v>
      </c>
      <c r="M11" s="25" t="str">
        <f>IFERROR(RIGHT(Tabla224[[#This Row],[Unidades indicador producción]], LEN(Tabla224[[#This Row],[Unidades indicador producción]])-FIND("/", Tabla224[[#This Row],[Unidades indicador producción]])), "")</f>
        <v>Ha</v>
      </c>
      <c r="N11" s="26">
        <f>IF(Tabla224[[#This Row],[Parámetro]]="Tn",Tabla224[[#This Row],[Indicador]]*$B$6,Tabla224[[#This Row],[Indicador]])</f>
        <v>57.892307690000003</v>
      </c>
      <c r="O11" s="25" t="str">
        <f t="shared" ref="O11" si="0">"MJ/Ha"</f>
        <v>MJ/Ha</v>
      </c>
      <c r="P11" s="26">
        <f>(Tabla224[[#This Row],[Indicador área]]*$B$5)</f>
        <v>3843007.1690775803</v>
      </c>
      <c r="Q11" s="90">
        <f>Tabla224[[#This Row],[Consumo energía '[MJ/año']]]/$P$9</f>
        <v>2.1655424764714524E-2</v>
      </c>
      <c r="R11" s="26">
        <f>IF(Tabla224[[#This Row],[Energético]]="Energía Eléctrica",((Tabla224[[#This Row],[Participación]]*$D$29)/SUMIF(Tabla224[Energético],"Energía Eléctrica",Tabla224[Participación]))*$B$27,Tabla224[[#This Row],[Consumo energía '[MJ/año']]])</f>
        <v>3843007.1690775803</v>
      </c>
    </row>
    <row r="12" spans="1:18" x14ac:dyDescent="0.2">
      <c r="F12" s="22" t="s">
        <v>45</v>
      </c>
      <c r="G12" s="23" t="s">
        <v>19</v>
      </c>
      <c r="H12" s="23" t="s">
        <v>113</v>
      </c>
      <c r="I12" s="23" t="s">
        <v>9</v>
      </c>
      <c r="J12" s="23" t="s">
        <v>111</v>
      </c>
      <c r="K12" s="23" t="s">
        <v>28</v>
      </c>
      <c r="L12" s="24">
        <v>37.676250000000003</v>
      </c>
      <c r="M12" s="38" t="str">
        <f>IFERROR(RIGHT(Tabla224[[#This Row],[Unidades indicador producción]], LEN(Tabla224[[#This Row],[Unidades indicador producción]])-FIND("/", Tabla224[[#This Row],[Unidades indicador producción]])), "")</f>
        <v>Ha</v>
      </c>
      <c r="N12" s="39">
        <f>IF(Tabla224[[#This Row],[Parámetro]]="Tn",Tabla224[[#This Row],[Indicador]]*$B$6,Tabla224[[#This Row],[Indicador]])</f>
        <v>37.676250000000003</v>
      </c>
      <c r="O12" s="38" t="str">
        <f t="shared" ref="O12:O24" si="1">"MJ/Ha"</f>
        <v>MJ/Ha</v>
      </c>
      <c r="P12" s="26">
        <f>(Tabla224[[#This Row],[Indicador área]]*$B$5)</f>
        <v>2501024.8275000001</v>
      </c>
      <c r="Q12" s="90">
        <f>Tabla224[[#This Row],[Consumo energía '[MJ/año']]]/$P$9</f>
        <v>1.4093326554894077E-2</v>
      </c>
      <c r="R12" s="26">
        <f>IF(Tabla224[[#This Row],[Energético]]="Energía Eléctrica",((Tabla224[[#This Row],[Participación]]*$D$29)/SUMIF(Tabla224[Energético],"Energía Eléctrica",Tabla224[Participación]))*$B$27,Tabla224[[#This Row],[Consumo energía '[MJ/año']]])</f>
        <v>2501024.8275000001</v>
      </c>
    </row>
    <row r="13" spans="1:18" x14ac:dyDescent="0.2">
      <c r="F13" s="22" t="s">
        <v>45</v>
      </c>
      <c r="G13" s="23" t="s">
        <v>20</v>
      </c>
      <c r="H13" s="23" t="s">
        <v>113</v>
      </c>
      <c r="I13" s="23" t="s">
        <v>3</v>
      </c>
      <c r="J13" s="23" t="s">
        <v>46</v>
      </c>
      <c r="K13" s="23" t="s">
        <v>28</v>
      </c>
      <c r="L13" s="24">
        <v>258.44780220000001</v>
      </c>
      <c r="M13" s="38" t="str">
        <f>IFERROR(RIGHT(Tabla224[[#This Row],[Unidades indicador producción]], LEN(Tabla224[[#This Row],[Unidades indicador producción]])-FIND("/", Tabla224[[#This Row],[Unidades indicador producción]])), "")</f>
        <v>Ha</v>
      </c>
      <c r="N13" s="39">
        <f>IF(Tabla224[[#This Row],[Parámetro]]="Tn",Tabla224[[#This Row],[Indicador]]*$B$6,Tabla224[[#This Row],[Indicador]])</f>
        <v>258.44780220000001</v>
      </c>
      <c r="O13" s="38" t="str">
        <f t="shared" si="1"/>
        <v>MJ/Ha</v>
      </c>
      <c r="P13" s="26">
        <f>(Tabla224[[#This Row],[Indicador área]]*$B$5)</f>
        <v>17156282.005640402</v>
      </c>
      <c r="Q13" s="90">
        <f>Tabla224[[#This Row],[Consumo energía '[MJ/año']]]/$P$9</f>
        <v>9.6676003418579931E-2</v>
      </c>
      <c r="R13" s="26">
        <f>IF(Tabla224[[#This Row],[Energético]]="Energía Eléctrica",((Tabla224[[#This Row],[Participación]]*$D$29)/SUMIF(Tabla224[Energético],"Energía Eléctrica",Tabla224[Participación]))*$B$27,Tabla224[[#This Row],[Consumo energía '[MJ/año']]])</f>
        <v>17156282.005640402</v>
      </c>
    </row>
    <row r="14" spans="1:18" x14ac:dyDescent="0.2">
      <c r="F14" s="22" t="s">
        <v>45</v>
      </c>
      <c r="G14" s="23" t="s">
        <v>20</v>
      </c>
      <c r="H14" s="23" t="s">
        <v>113</v>
      </c>
      <c r="I14" s="23" t="s">
        <v>9</v>
      </c>
      <c r="J14" s="23" t="s">
        <v>27</v>
      </c>
      <c r="K14" s="23" t="s">
        <v>28</v>
      </c>
      <c r="L14" s="24">
        <v>220.1840894</v>
      </c>
      <c r="M14" s="38" t="str">
        <f>IFERROR(RIGHT(Tabla224[[#This Row],[Unidades indicador producción]], LEN(Tabla224[[#This Row],[Unidades indicador producción]])-FIND("/", Tabla224[[#This Row],[Unidades indicador producción]])), "")</f>
        <v>Ha</v>
      </c>
      <c r="N14" s="39">
        <f>IF(Tabla224[[#This Row],[Parámetro]]="Tn",Tabla224[[#This Row],[Indicador]]*$B$6,Tabla224[[#This Row],[Indicador]])</f>
        <v>220.1840894</v>
      </c>
      <c r="O14" s="38" t="str">
        <f t="shared" si="1"/>
        <v>MJ/Ha</v>
      </c>
      <c r="P14" s="26">
        <f>(Tabla224[[#This Row],[Indicador área]]*$B$5)</f>
        <v>14616260.2225508</v>
      </c>
      <c r="Q14" s="90">
        <f>Tabla224[[#This Row],[Consumo energía '[MJ/año']]]/$P$9</f>
        <v>8.2362928213561365E-2</v>
      </c>
      <c r="R14" s="26">
        <f>IF(Tabla224[[#This Row],[Energético]]="Energía Eléctrica",((Tabla224[[#This Row],[Participación]]*$D$29)/SUMIF(Tabla224[Energético],"Energía Eléctrica",Tabla224[Participación]))*$B$27,Tabla224[[#This Row],[Consumo energía '[MJ/año']]])</f>
        <v>14616260.2225508</v>
      </c>
    </row>
    <row r="15" spans="1:18" x14ac:dyDescent="0.2">
      <c r="F15" s="22" t="s">
        <v>45</v>
      </c>
      <c r="G15" s="23" t="s">
        <v>21</v>
      </c>
      <c r="H15" s="23" t="s">
        <v>113</v>
      </c>
      <c r="I15" s="23" t="s">
        <v>3</v>
      </c>
      <c r="J15" s="23" t="s">
        <v>29</v>
      </c>
      <c r="K15" s="23" t="s">
        <v>28</v>
      </c>
      <c r="L15" s="24">
        <v>21.709615379999999</v>
      </c>
      <c r="M15" s="38" t="str">
        <f>IFERROR(RIGHT(Tabla224[[#This Row],[Unidades indicador producción]], LEN(Tabla224[[#This Row],[Unidades indicador producción]])-FIND("/", Tabla224[[#This Row],[Unidades indicador producción]])), "")</f>
        <v>Ha</v>
      </c>
      <c r="N15" s="39">
        <f>IF(Tabla224[[#This Row],[Parámetro]]="Tn",Tabla224[[#This Row],[Indicador]]*$B$6,Tabla224[[#This Row],[Indicador]])</f>
        <v>21.709615379999999</v>
      </c>
      <c r="O15" s="38" t="str">
        <f t="shared" si="1"/>
        <v>MJ/Ha</v>
      </c>
      <c r="P15" s="26">
        <f>(Tabla224[[#This Row],[Indicador área]]*$B$5)</f>
        <v>1441127.6881551598</v>
      </c>
      <c r="Q15" s="90">
        <f>Tabla224[[#This Row],[Consumo energía '[MJ/año']]]/$P$9</f>
        <v>8.1207842853652044E-3</v>
      </c>
      <c r="R15" s="26">
        <f>IF(Tabla224[[#This Row],[Energético]]="Energía Eléctrica",((Tabla224[[#This Row],[Participación]]*$D$29)/SUMIF(Tabla224[Energético],"Energía Eléctrica",Tabla224[Participación]))*$B$27,Tabla224[[#This Row],[Consumo energía '[MJ/año']]])</f>
        <v>1441127.6881551598</v>
      </c>
    </row>
    <row r="16" spans="1:18" x14ac:dyDescent="0.2">
      <c r="F16" s="22" t="s">
        <v>45</v>
      </c>
      <c r="G16" s="23" t="s">
        <v>21</v>
      </c>
      <c r="H16" s="23" t="s">
        <v>113</v>
      </c>
      <c r="I16" s="23" t="s">
        <v>2</v>
      </c>
      <c r="J16" s="23" t="s">
        <v>29</v>
      </c>
      <c r="K16" s="23" t="s">
        <v>28</v>
      </c>
      <c r="L16" s="24">
        <v>38.350285710000001</v>
      </c>
      <c r="M16" s="38" t="str">
        <f>IFERROR(RIGHT(Tabla224[[#This Row],[Unidades indicador producción]], LEN(Tabla224[[#This Row],[Unidades indicador producción]])-FIND("/", Tabla224[[#This Row],[Unidades indicador producción]])), "")</f>
        <v>Ha</v>
      </c>
      <c r="N16" s="39">
        <f>IF(Tabla224[[#This Row],[Parámetro]]="Tn",Tabla224[[#This Row],[Indicador]]*$B$6,Tabla224[[#This Row],[Indicador]])</f>
        <v>38.350285710000001</v>
      </c>
      <c r="O16" s="38" t="str">
        <f t="shared" si="1"/>
        <v>MJ/Ha</v>
      </c>
      <c r="P16" s="26">
        <f>(Tabla224[[#This Row],[Indicador área]]*$B$5)</f>
        <v>2545768.6660012202</v>
      </c>
      <c r="Q16" s="90">
        <f>Tabla224[[#This Row],[Consumo energía '[MJ/año']]]/$P$9</f>
        <v>1.4345459008911923E-2</v>
      </c>
      <c r="R16" s="26">
        <f>IF(Tabla224[[#This Row],[Energético]]="Energía Eléctrica",((Tabla224[[#This Row],[Participación]]*$D$29)/SUMIF(Tabla224[Energético],"Energía Eléctrica",Tabla224[Participación]))*$B$27,Tabla224[[#This Row],[Consumo energía '[MJ/año']]])</f>
        <v>197480.0025854035</v>
      </c>
    </row>
    <row r="17" spans="1:18" x14ac:dyDescent="0.2">
      <c r="F17" s="37" t="s">
        <v>45</v>
      </c>
      <c r="G17" s="23" t="s">
        <v>21</v>
      </c>
      <c r="H17" s="23" t="s">
        <v>113</v>
      </c>
      <c r="I17" s="23" t="s">
        <v>9</v>
      </c>
      <c r="J17" s="23" t="s">
        <v>29</v>
      </c>
      <c r="K17" s="23" t="s">
        <v>28</v>
      </c>
      <c r="L17" s="24">
        <v>152.2612297</v>
      </c>
      <c r="M17" s="38" t="str">
        <f>IFERROR(RIGHT(Tabla224[[#This Row],[Unidades indicador producción]], LEN(Tabla224[[#This Row],[Unidades indicador producción]])-FIND("/", Tabla224[[#This Row],[Unidades indicador producción]])), "")</f>
        <v>Ha</v>
      </c>
      <c r="N17" s="39">
        <f>IF(Tabla224[[#This Row],[Parámetro]]="Tn",Tabla224[[#This Row],[Indicador]]*$B$6,Tabla224[[#This Row],[Indicador]])</f>
        <v>152.2612297</v>
      </c>
      <c r="O17" s="38" t="str">
        <f t="shared" si="1"/>
        <v>MJ/Ha</v>
      </c>
      <c r="P17" s="26">
        <f>(Tabla224[[#This Row],[Indicador área]]*$B$5)</f>
        <v>10107404.9499454</v>
      </c>
      <c r="Q17" s="90">
        <f>Tabla224[[#This Row],[Consumo energía '[MJ/año']]]/$P$9</f>
        <v>5.6955435634168383E-2</v>
      </c>
      <c r="R17" s="26">
        <f>IF(Tabla224[[#This Row],[Energético]]="Energía Eléctrica",((Tabla224[[#This Row],[Participación]]*$D$29)/SUMIF(Tabla224[Energético],"Energía Eléctrica",Tabla224[Participación]))*$B$27,Tabla224[[#This Row],[Consumo energía '[MJ/año']]])</f>
        <v>10107404.9499454</v>
      </c>
    </row>
    <row r="18" spans="1:18" x14ac:dyDescent="0.2">
      <c r="F18" s="22" t="s">
        <v>45</v>
      </c>
      <c r="G18" s="23" t="s">
        <v>47</v>
      </c>
      <c r="H18" s="23" t="s">
        <v>113</v>
      </c>
      <c r="I18" s="23" t="s">
        <v>9</v>
      </c>
      <c r="J18" s="23" t="s">
        <v>48</v>
      </c>
      <c r="K18" s="23" t="s">
        <v>28</v>
      </c>
      <c r="L18" s="24">
        <v>363.57622529999998</v>
      </c>
      <c r="M18" s="38" t="str">
        <f>IFERROR(RIGHT(Tabla224[[#This Row],[Unidades indicador producción]], LEN(Tabla224[[#This Row],[Unidades indicador producción]])-FIND("/", Tabla224[[#This Row],[Unidades indicador producción]])), "")</f>
        <v>Ha</v>
      </c>
      <c r="N18" s="39">
        <f>IF(Tabla224[[#This Row],[Parámetro]]="Tn",Tabla224[[#This Row],[Indicador]]*$B$6,Tabla224[[#This Row],[Indicador]])</f>
        <v>363.57622529999998</v>
      </c>
      <c r="O18" s="38" t="str">
        <f t="shared" si="1"/>
        <v>MJ/Ha</v>
      </c>
      <c r="P18" s="26">
        <f>(Tabla224[[#This Row],[Indicador área]]*$B$5)</f>
        <v>24134916.987864599</v>
      </c>
      <c r="Q18" s="90">
        <f>Tabla224[[#This Row],[Consumo energía '[MJ/año']]]/$P$9</f>
        <v>0.13600075566832265</v>
      </c>
      <c r="R18" s="26">
        <f>IF(Tabla224[[#This Row],[Energético]]="Energía Eléctrica",((Tabla224[[#This Row],[Participación]]*$D$29)/SUMIF(Tabla224[Energético],"Energía Eléctrica",Tabla224[Participación]))*$B$27,Tabla224[[#This Row],[Consumo energía '[MJ/año']]])</f>
        <v>24134916.987864599</v>
      </c>
    </row>
    <row r="19" spans="1:18" x14ac:dyDescent="0.2">
      <c r="F19" s="22" t="s">
        <v>45</v>
      </c>
      <c r="G19" s="23" t="s">
        <v>22</v>
      </c>
      <c r="H19" s="23" t="s">
        <v>113</v>
      </c>
      <c r="I19" s="23" t="s">
        <v>3</v>
      </c>
      <c r="J19" s="23" t="s">
        <v>30</v>
      </c>
      <c r="K19" s="23" t="s">
        <v>28</v>
      </c>
      <c r="L19" s="24">
        <v>827.03296699999999</v>
      </c>
      <c r="M19" s="38" t="str">
        <f>IFERROR(RIGHT(Tabla224[[#This Row],[Unidades indicador producción]], LEN(Tabla224[[#This Row],[Unidades indicador producción]])-FIND("/", Tabla224[[#This Row],[Unidades indicador producción]])), "")</f>
        <v>Ha</v>
      </c>
      <c r="N19" s="39">
        <f>IF(Tabla224[[#This Row],[Parámetro]]="Tn",Tabla224[[#This Row],[Indicador]]*$B$6,Tabla224[[#This Row],[Indicador]])</f>
        <v>827.03296699999999</v>
      </c>
      <c r="O19" s="38" t="str">
        <f t="shared" si="1"/>
        <v>MJ/Ha</v>
      </c>
      <c r="P19" s="26">
        <f>(Tabla224[[#This Row],[Indicador área]]*$B$5)</f>
        <v>54900102.415394001</v>
      </c>
      <c r="Q19" s="90">
        <f>Tabla224[[#This Row],[Consumo energía '[MJ/año']]]/$P$9</f>
        <v>0.30936321092449315</v>
      </c>
      <c r="R19" s="26">
        <f>IF(Tabla224[[#This Row],[Energético]]="Energía Eléctrica",((Tabla224[[#This Row],[Participación]]*$D$29)/SUMIF(Tabla224[Energético],"Energía Eléctrica",Tabla224[Participación]))*$B$27,Tabla224[[#This Row],[Consumo energía '[MJ/año']]])</f>
        <v>54900102.415394001</v>
      </c>
    </row>
    <row r="20" spans="1:18" x14ac:dyDescent="0.2">
      <c r="F20" s="22" t="s">
        <v>45</v>
      </c>
      <c r="G20" s="23" t="s">
        <v>22</v>
      </c>
      <c r="H20" s="23" t="s">
        <v>113</v>
      </c>
      <c r="I20" s="23" t="s">
        <v>3</v>
      </c>
      <c r="J20" s="23" t="s">
        <v>31</v>
      </c>
      <c r="K20" s="23" t="s">
        <v>28</v>
      </c>
      <c r="L20" s="24">
        <v>64.324786320000001</v>
      </c>
      <c r="M20" s="38" t="str">
        <f>IFERROR(RIGHT(Tabla224[[#This Row],[Unidades indicador producción]], LEN(Tabla224[[#This Row],[Unidades indicador producción]])-FIND("/", Tabla224[[#This Row],[Unidades indicador producción]])), "")</f>
        <v>Ha</v>
      </c>
      <c r="N20" s="39">
        <f>IF(Tabla224[[#This Row],[Parámetro]]="Tn",Tabla224[[#This Row],[Indicador]]*$B$6,Tabla224[[#This Row],[Indicador]])</f>
        <v>64.324786320000001</v>
      </c>
      <c r="O20" s="38" t="str">
        <f t="shared" si="1"/>
        <v>MJ/Ha</v>
      </c>
      <c r="P20" s="26">
        <f>(Tabla224[[#This Row],[Indicador área]]*$B$5)</f>
        <v>4270007.9654942397</v>
      </c>
      <c r="Q20" s="90">
        <f>Tabla224[[#This Row],[Consumo energía '[MJ/año']]]/$P$9</f>
        <v>2.4061583071073769E-2</v>
      </c>
      <c r="R20" s="26">
        <f>IF(Tabla224[[#This Row],[Energético]]="Energía Eléctrica",((Tabla224[[#This Row],[Participación]]*$D$29)/SUMIF(Tabla224[Energético],"Energía Eléctrica",Tabla224[Participación]))*$B$27,Tabla224[[#This Row],[Consumo energía '[MJ/año']]])</f>
        <v>4270007.9654942397</v>
      </c>
    </row>
    <row r="21" spans="1:18" x14ac:dyDescent="0.2">
      <c r="F21" s="22" t="s">
        <v>45</v>
      </c>
      <c r="G21" s="23" t="s">
        <v>22</v>
      </c>
      <c r="H21" s="23" t="s">
        <v>113</v>
      </c>
      <c r="I21" s="23" t="s">
        <v>3</v>
      </c>
      <c r="J21" s="23" t="s">
        <v>49</v>
      </c>
      <c r="K21" s="23" t="s">
        <v>28</v>
      </c>
      <c r="L21" s="24">
        <v>96.487179490000003</v>
      </c>
      <c r="M21" s="38" t="str">
        <f>IFERROR(RIGHT(Tabla224[[#This Row],[Unidades indicador producción]], LEN(Tabla224[[#This Row],[Unidades indicador producción]])-FIND("/", Tabla224[[#This Row],[Unidades indicador producción]])), "")</f>
        <v>Ha</v>
      </c>
      <c r="N21" s="39">
        <f>IF(Tabla224[[#This Row],[Parámetro]]="Tn",Tabla224[[#This Row],[Indicador]]*$B$6,Tabla224[[#This Row],[Indicador]])</f>
        <v>96.487179490000003</v>
      </c>
      <c r="O21" s="38" t="str">
        <f t="shared" si="1"/>
        <v>MJ/Ha</v>
      </c>
      <c r="P21" s="26">
        <f>(Tabla224[[#This Row],[Indicador área]]*$B$5)</f>
        <v>6405011.9489051802</v>
      </c>
      <c r="Q21" s="90">
        <f>Tabla224[[#This Row],[Consumo energía '[MJ/año']]]/$P$9</f>
        <v>3.6092374610351301E-2</v>
      </c>
      <c r="R21" s="26">
        <f>IF(Tabla224[[#This Row],[Energético]]="Energía Eléctrica",((Tabla224[[#This Row],[Participación]]*$D$29)/SUMIF(Tabla224[Energético],"Energía Eléctrica",Tabla224[Participación]))*$B$27,Tabla224[[#This Row],[Consumo energía '[MJ/año']]])</f>
        <v>6405011.9489051802</v>
      </c>
    </row>
    <row r="22" spans="1:18" x14ac:dyDescent="0.2">
      <c r="F22" s="22" t="s">
        <v>45</v>
      </c>
      <c r="G22" s="23" t="s">
        <v>22</v>
      </c>
      <c r="H22" s="23" t="s">
        <v>113</v>
      </c>
      <c r="I22" s="23" t="s">
        <v>3</v>
      </c>
      <c r="J22" s="23" t="s">
        <v>50</v>
      </c>
      <c r="K22" s="23" t="s">
        <v>28</v>
      </c>
      <c r="L22" s="24">
        <v>129.22390110000001</v>
      </c>
      <c r="M22" s="38" t="str">
        <f>IFERROR(RIGHT(Tabla224[[#This Row],[Unidades indicador producción]], LEN(Tabla224[[#This Row],[Unidades indicador producción]])-FIND("/", Tabla224[[#This Row],[Unidades indicador producción]])), "")</f>
        <v>Ha</v>
      </c>
      <c r="N22" s="39">
        <f>IF(Tabla224[[#This Row],[Parámetro]]="Tn",Tabla224[[#This Row],[Indicador]]*$B$6,Tabla224[[#This Row],[Indicador]])</f>
        <v>129.22390110000001</v>
      </c>
      <c r="O22" s="38" t="str">
        <f t="shared" si="1"/>
        <v>MJ/Ha</v>
      </c>
      <c r="P22" s="26">
        <f>(Tabla224[[#This Row],[Indicador área]]*$B$5)</f>
        <v>8578141.0028202012</v>
      </c>
      <c r="Q22" s="90">
        <f>Tabla224[[#This Row],[Consumo energía '[MJ/año']]]/$P$9</f>
        <v>4.8338001709289966E-2</v>
      </c>
      <c r="R22" s="26">
        <f>IF(Tabla224[[#This Row],[Energético]]="Energía Eléctrica",((Tabla224[[#This Row],[Participación]]*$D$29)/SUMIF(Tabla224[Energético],"Energía Eléctrica",Tabla224[Participación]))*$B$27,Tabla224[[#This Row],[Consumo energía '[MJ/año']]])</f>
        <v>8578141.0028202012</v>
      </c>
    </row>
    <row r="23" spans="1:18" x14ac:dyDescent="0.2">
      <c r="F23" s="22" t="s">
        <v>45</v>
      </c>
      <c r="G23" s="23" t="s">
        <v>22</v>
      </c>
      <c r="H23" s="23" t="s">
        <v>113</v>
      </c>
      <c r="I23" s="23" t="s">
        <v>9</v>
      </c>
      <c r="J23" s="23" t="s">
        <v>48</v>
      </c>
      <c r="K23" s="23" t="s">
        <v>28</v>
      </c>
      <c r="L23" s="24">
        <v>165.6098901</v>
      </c>
      <c r="M23" s="38" t="str">
        <f>IFERROR(RIGHT(Tabla224[[#This Row],[Unidades indicador producción]], LEN(Tabla224[[#This Row],[Unidades indicador producción]])-FIND("/", Tabla224[[#This Row],[Unidades indicador producción]])), "")</f>
        <v>Ha</v>
      </c>
      <c r="N23" s="39">
        <f>IF(Tabla224[[#This Row],[Parámetro]]="Tn",Tabla224[[#This Row],[Indicador]]*$B$6,Tabla224[[#This Row],[Indicador]])</f>
        <v>165.6098901</v>
      </c>
      <c r="O23" s="38" t="str">
        <f t="shared" si="1"/>
        <v>MJ/Ha</v>
      </c>
      <c r="P23" s="26">
        <f>(Tabla224[[#This Row],[Indicador área]]*$B$5)</f>
        <v>10993515.7246182</v>
      </c>
      <c r="Q23" s="90">
        <f>Tabla224[[#This Row],[Consumo energía '[MJ/año']]]/$P$9</f>
        <v>6.1948688149681019E-2</v>
      </c>
      <c r="R23" s="26">
        <f>IF(Tabla224[[#This Row],[Energético]]="Energía Eléctrica",((Tabla224[[#This Row],[Participación]]*$D$29)/SUMIF(Tabla224[Energético],"Energía Eléctrica",Tabla224[Participación]))*$B$27,Tabla224[[#This Row],[Consumo energía '[MJ/año']]])</f>
        <v>10993515.7246182</v>
      </c>
    </row>
    <row r="24" spans="1:18" x14ac:dyDescent="0.2">
      <c r="F24" s="22" t="s">
        <v>45</v>
      </c>
      <c r="G24" s="23" t="s">
        <v>23</v>
      </c>
      <c r="H24" s="23" t="s">
        <v>113</v>
      </c>
      <c r="I24" s="23" t="s">
        <v>3</v>
      </c>
      <c r="J24" s="23" t="s">
        <v>32</v>
      </c>
      <c r="K24" s="23" t="s">
        <v>28</v>
      </c>
      <c r="L24" s="24">
        <v>240.5632143</v>
      </c>
      <c r="M24" s="38" t="str">
        <f>IFERROR(RIGHT(Tabla224[[#This Row],[Unidades indicador producción]], LEN(Tabla224[[#This Row],[Unidades indicador producción]])-FIND("/", Tabla224[[#This Row],[Unidades indicador producción]])), "")</f>
        <v>Ha</v>
      </c>
      <c r="N24" s="39">
        <f>IF(Tabla224[[#This Row],[Parámetro]]="Tn",Tabla224[[#This Row],[Indicador]]*$B$6,Tabla224[[#This Row],[Indicador]])</f>
        <v>240.5632143</v>
      </c>
      <c r="O24" s="38" t="str">
        <f t="shared" si="1"/>
        <v>MJ/Ha</v>
      </c>
      <c r="P24" s="26">
        <f>(Tabla224[[#This Row],[Indicador área]]*$B$5)</f>
        <v>15969067.2916626</v>
      </c>
      <c r="Q24" s="90">
        <f>Tabla224[[#This Row],[Consumo energía '[MJ/año']]]/$P$9</f>
        <v>8.9986023986592723E-2</v>
      </c>
      <c r="R24" s="26">
        <f>IF(Tabla224[[#This Row],[Energético]]="Energía Eléctrica",((Tabla224[[#This Row],[Participación]]*$D$29)/SUMIF(Tabla224[Energético],"Energía Eléctrica",Tabla224[Participación]))*$B$27,Tabla224[[#This Row],[Consumo energía '[MJ/año']]])</f>
        <v>15969067.2916626</v>
      </c>
    </row>
    <row r="25" spans="1:18" x14ac:dyDescent="0.2">
      <c r="R25" s="29"/>
    </row>
    <row r="26" spans="1:18" ht="15.75" x14ac:dyDescent="0.25">
      <c r="A26" s="45" t="s">
        <v>37</v>
      </c>
      <c r="B26" s="45"/>
      <c r="C26" s="45"/>
      <c r="D26" s="45"/>
    </row>
    <row r="27" spans="1:18" x14ac:dyDescent="0.2">
      <c r="B27" s="3">
        <f>SUM(B29:B31)</f>
        <v>175113350.20221376</v>
      </c>
    </row>
    <row r="28" spans="1:18" x14ac:dyDescent="0.2">
      <c r="A28" s="15" t="s">
        <v>0</v>
      </c>
      <c r="B28" s="15" t="s">
        <v>41</v>
      </c>
      <c r="C28" s="15" t="s">
        <v>42</v>
      </c>
      <c r="D28" s="15" t="s">
        <v>1</v>
      </c>
    </row>
    <row r="29" spans="1:18" x14ac:dyDescent="0.2">
      <c r="A29" s="16" t="s">
        <v>2</v>
      </c>
      <c r="B29" s="17">
        <f>B8</f>
        <v>197480.0025854035</v>
      </c>
      <c r="C29" s="10">
        <f>B29/1000000</f>
        <v>0.19748000258540349</v>
      </c>
      <c r="D29" s="18">
        <f>B29/$B$27</f>
        <v>1.1277267116262789E-3</v>
      </c>
    </row>
    <row r="30" spans="1:18" x14ac:dyDescent="0.2">
      <c r="A30" s="16" t="s">
        <v>3</v>
      </c>
      <c r="B30" s="6">
        <f>SUMIF(Tabla224[Energético],A30,Tabla224[Consumo energía '[MJ/año']])</f>
        <v>112562747.48714939</v>
      </c>
      <c r="C30" s="10">
        <f t="shared" ref="C30:C31" si="2">B30/1000000</f>
        <v>112.56274748714939</v>
      </c>
      <c r="D30" s="18">
        <f t="shared" ref="D30:D31" si="3">B30/$B$27</f>
        <v>0.6427993488627024</v>
      </c>
    </row>
    <row r="31" spans="1:18" x14ac:dyDescent="0.2">
      <c r="A31" s="16" t="s">
        <v>9</v>
      </c>
      <c r="B31" s="6">
        <f>SUMIF(Tabla224[Energético],A31,Tabla224[Consumo energía '[MJ/año']])</f>
        <v>62353122.712478995</v>
      </c>
      <c r="C31" s="10">
        <f t="shared" si="2"/>
        <v>62.353122712478992</v>
      </c>
      <c r="D31" s="18">
        <f t="shared" si="3"/>
        <v>0.3560729244256714</v>
      </c>
    </row>
    <row r="33" spans="1:5" x14ac:dyDescent="0.2">
      <c r="C33" s="29"/>
      <c r="D33" s="29"/>
    </row>
    <row r="36" spans="1:5" ht="18" x14ac:dyDescent="0.25">
      <c r="A36" s="46" t="s">
        <v>43</v>
      </c>
      <c r="B36" s="46"/>
      <c r="C36" s="46"/>
    </row>
    <row r="37" spans="1:5" x14ac:dyDescent="0.2">
      <c r="A37" s="8" t="str">
        <f>+A4</f>
        <v>Grupo Homogeneo</v>
      </c>
      <c r="B37" s="8" t="s">
        <v>38</v>
      </c>
      <c r="C37" s="8" t="s">
        <v>39</v>
      </c>
    </row>
    <row r="38" spans="1:5" x14ac:dyDescent="0.2">
      <c r="A38" s="9" t="str">
        <f>+$B$4</f>
        <v>consolidado</v>
      </c>
      <c r="B38" s="10">
        <f>B27/B5</f>
        <v>2637.9643608540532</v>
      </c>
      <c r="C38" s="10">
        <f>B38/$B$6</f>
        <v>279.7417137703132</v>
      </c>
    </row>
    <row r="39" spans="1:5" x14ac:dyDescent="0.2">
      <c r="E39" s="29"/>
    </row>
    <row r="40" spans="1:5" x14ac:dyDescent="0.2">
      <c r="E40" s="29"/>
    </row>
    <row r="41" spans="1:5" x14ac:dyDescent="0.2">
      <c r="E41" s="29"/>
    </row>
    <row r="42" spans="1:5" x14ac:dyDescent="0.2">
      <c r="D42" s="33"/>
    </row>
  </sheetData>
  <mergeCells count="4">
    <mergeCell ref="A3:B3"/>
    <mergeCell ref="F8:L8"/>
    <mergeCell ref="A26:D26"/>
    <mergeCell ref="A36:C36"/>
  </mergeCells>
  <phoneticPr fontId="14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36D2F7A-6545-46B2-82C1-B52AB1B057B9}">
          <x14:formula1>
            <xm:f>Hoja2!$A$1:$A$11</xm:f>
          </x14:formula1>
          <xm:sqref>A29:A31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A11"/>
  <sheetViews>
    <sheetView workbookViewId="0">
      <selection activeCell="C14" sqref="C14"/>
    </sheetView>
  </sheetViews>
  <sheetFormatPr baseColWidth="10" defaultRowHeight="12.75" x14ac:dyDescent="0.2"/>
  <sheetData>
    <row r="1" spans="1:1" x14ac:dyDescent="0.2">
      <c r="A1" t="s">
        <v>2</v>
      </c>
    </row>
    <row r="2" spans="1:1" x14ac:dyDescent="0.2">
      <c r="A2" t="s">
        <v>3</v>
      </c>
    </row>
    <row r="3" spans="1:1" x14ac:dyDescent="0.2">
      <c r="A3" t="s">
        <v>4</v>
      </c>
    </row>
    <row r="4" spans="1:1" x14ac:dyDescent="0.2">
      <c r="A4" t="s">
        <v>5</v>
      </c>
    </row>
    <row r="5" spans="1:1" x14ac:dyDescent="0.2">
      <c r="A5" t="s">
        <v>6</v>
      </c>
    </row>
    <row r="6" spans="1:1" x14ac:dyDescent="0.2">
      <c r="A6" t="s">
        <v>7</v>
      </c>
    </row>
    <row r="7" spans="1:1" x14ac:dyDescent="0.2">
      <c r="A7" t="s">
        <v>8</v>
      </c>
    </row>
    <row r="8" spans="1:1" x14ac:dyDescent="0.2">
      <c r="A8" t="s">
        <v>9</v>
      </c>
    </row>
    <row r="9" spans="1:1" x14ac:dyDescent="0.2">
      <c r="A9" t="s">
        <v>10</v>
      </c>
    </row>
    <row r="10" spans="1:1" x14ac:dyDescent="0.2">
      <c r="A10" t="s">
        <v>11</v>
      </c>
    </row>
    <row r="11" spans="1:1" x14ac:dyDescent="0.2">
      <c r="A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Participación</vt:lpstr>
      <vt:lpstr>Cítricos</vt:lpstr>
      <vt:lpstr>Mango</vt:lpstr>
      <vt:lpstr>Consolidado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2024-01-23T22:44:08Z</dcterms:modified>
</cp:coreProperties>
</file>