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8D6E8B96-12EB-48F2-A051-34044DBEFAD4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cuicultura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6" i="1" l="1"/>
  <c r="B196" i="1"/>
  <c r="C180" i="1"/>
  <c r="C142" i="1"/>
  <c r="C105" i="1"/>
  <c r="C70" i="1"/>
  <c r="D32" i="1"/>
  <c r="C32" i="1"/>
  <c r="N159" i="1"/>
  <c r="N161" i="1"/>
  <c r="N164" i="1"/>
  <c r="N166" i="1"/>
  <c r="N167" i="1"/>
  <c r="N169" i="1"/>
  <c r="N121" i="1"/>
  <c r="N123" i="1"/>
  <c r="N125" i="1"/>
  <c r="N126" i="1"/>
  <c r="N128" i="1"/>
  <c r="N129" i="1"/>
  <c r="N131" i="1"/>
  <c r="D140" i="1"/>
  <c r="D141" i="1"/>
  <c r="D139" i="1"/>
  <c r="N122" i="1" s="1"/>
  <c r="D103" i="1"/>
  <c r="D105" i="1" s="1"/>
  <c r="D104" i="1"/>
  <c r="D102" i="1"/>
  <c r="D68" i="1"/>
  <c r="D70" i="1" s="1"/>
  <c r="D69" i="1"/>
  <c r="D67" i="1"/>
  <c r="N48" i="1"/>
  <c r="D142" i="1" l="1"/>
  <c r="N124" i="1"/>
  <c r="N120" i="1"/>
  <c r="N127" i="1"/>
  <c r="N130" i="1"/>
  <c r="L159" i="1"/>
  <c r="L160" i="1"/>
  <c r="L161" i="1"/>
  <c r="L162" i="1"/>
  <c r="L163" i="1"/>
  <c r="L164" i="1"/>
  <c r="L165" i="1"/>
  <c r="L166" i="1"/>
  <c r="L167" i="1"/>
  <c r="L168" i="1"/>
  <c r="L169" i="1"/>
  <c r="L84" i="1"/>
  <c r="N84" i="1" s="1"/>
  <c r="L85" i="1"/>
  <c r="L86" i="1"/>
  <c r="N86" i="1" s="1"/>
  <c r="L87" i="1"/>
  <c r="L88" i="1"/>
  <c r="L89" i="1"/>
  <c r="N89" i="1" s="1"/>
  <c r="L90" i="1"/>
  <c r="L91" i="1"/>
  <c r="N91" i="1" s="1"/>
  <c r="L92" i="1"/>
  <c r="N92" i="1" s="1"/>
  <c r="L93" i="1"/>
  <c r="L94" i="1"/>
  <c r="N94" i="1" s="1"/>
  <c r="L11" i="1"/>
  <c r="N11" i="1" s="1"/>
  <c r="L12" i="1"/>
  <c r="L13" i="1"/>
  <c r="N13" i="1" s="1"/>
  <c r="L14" i="1"/>
  <c r="L15" i="1"/>
  <c r="L16" i="1"/>
  <c r="N16" i="1" s="1"/>
  <c r="L17" i="1"/>
  <c r="L18" i="1"/>
  <c r="N18" i="1" s="1"/>
  <c r="L19" i="1"/>
  <c r="N19" i="1" s="1"/>
  <c r="L20" i="1"/>
  <c r="L21" i="1"/>
  <c r="N21" i="1" s="1"/>
  <c r="B121" i="1"/>
  <c r="B122" i="1" s="1"/>
  <c r="B139" i="1" s="1"/>
  <c r="B159" i="1"/>
  <c r="B160" i="1" s="1"/>
  <c r="B177" i="1" s="1"/>
  <c r="B186" i="1"/>
  <c r="D186" i="1" s="1"/>
  <c r="A186" i="1"/>
  <c r="A185" i="1"/>
  <c r="B148" i="1"/>
  <c r="C148" i="1" s="1"/>
  <c r="A148" i="1"/>
  <c r="A147" i="1"/>
  <c r="B111" i="1"/>
  <c r="D111" i="1" s="1"/>
  <c r="A111" i="1"/>
  <c r="A110" i="1"/>
  <c r="B84" i="1"/>
  <c r="B85" i="1" s="1"/>
  <c r="B102" i="1" s="1"/>
  <c r="B75" i="1"/>
  <c r="D75" i="1" s="1"/>
  <c r="A75" i="1"/>
  <c r="A74" i="1"/>
  <c r="B49" i="1"/>
  <c r="B50" i="1" s="1"/>
  <c r="B67" i="1" s="1"/>
  <c r="B38" i="1"/>
  <c r="C38" i="1" s="1"/>
  <c r="N118" i="1" l="1"/>
  <c r="C177" i="1"/>
  <c r="C186" i="1"/>
  <c r="D148" i="1"/>
  <c r="C139" i="1"/>
  <c r="C102" i="1"/>
  <c r="C111" i="1"/>
  <c r="C67" i="1"/>
  <c r="C75" i="1"/>
  <c r="B11" i="1" l="1"/>
  <c r="B12" i="1" s="1"/>
  <c r="B29" i="1" s="1"/>
  <c r="B193" i="1" s="1"/>
  <c r="F4" i="1"/>
  <c r="G4" i="1" s="1"/>
  <c r="B157" i="1" s="1"/>
  <c r="A37" i="1"/>
  <c r="A38" i="1"/>
  <c r="C193" i="1" l="1"/>
  <c r="B179" i="1"/>
  <c r="L158" i="1"/>
  <c r="B178" i="1"/>
  <c r="B9" i="1"/>
  <c r="B119" i="1"/>
  <c r="B47" i="1"/>
  <c r="B82" i="1"/>
  <c r="B31" i="1"/>
  <c r="C29" i="1"/>
  <c r="D38" i="1"/>
  <c r="L122" i="1" l="1"/>
  <c r="L126" i="1"/>
  <c r="L130" i="1"/>
  <c r="L127" i="1"/>
  <c r="L131" i="1"/>
  <c r="L123" i="1"/>
  <c r="L124" i="1"/>
  <c r="L128" i="1"/>
  <c r="L121" i="1"/>
  <c r="L125" i="1"/>
  <c r="L129" i="1"/>
  <c r="L52" i="1"/>
  <c r="L56" i="1"/>
  <c r="N56" i="1" s="1"/>
  <c r="L49" i="1"/>
  <c r="N49" i="1" s="1"/>
  <c r="L53" i="1"/>
  <c r="L57" i="1"/>
  <c r="N57" i="1" s="1"/>
  <c r="L50" i="1"/>
  <c r="L54" i="1"/>
  <c r="N54" i="1" s="1"/>
  <c r="L58" i="1"/>
  <c r="L51" i="1"/>
  <c r="N51" i="1" s="1"/>
  <c r="L55" i="1"/>
  <c r="L59" i="1"/>
  <c r="N59" i="1" s="1"/>
  <c r="C179" i="1"/>
  <c r="L156" i="1"/>
  <c r="C178" i="1"/>
  <c r="B180" i="1"/>
  <c r="L10" i="1"/>
  <c r="L83" i="1"/>
  <c r="L48" i="1"/>
  <c r="L120" i="1"/>
  <c r="B141" i="1"/>
  <c r="C31" i="1"/>
  <c r="D178" i="1" l="1"/>
  <c r="D179" i="1"/>
  <c r="D177" i="1"/>
  <c r="D180" i="1" s="1"/>
  <c r="M158" i="1"/>
  <c r="M162" i="1"/>
  <c r="M166" i="1"/>
  <c r="M159" i="1"/>
  <c r="M164" i="1"/>
  <c r="M161" i="1"/>
  <c r="M165" i="1"/>
  <c r="M169" i="1"/>
  <c r="M163" i="1"/>
  <c r="M167" i="1"/>
  <c r="M160" i="1"/>
  <c r="M168" i="1"/>
  <c r="B69" i="1"/>
  <c r="C69" i="1" s="1"/>
  <c r="B30" i="1"/>
  <c r="C30" i="1" s="1"/>
  <c r="B103" i="1"/>
  <c r="C103" i="1" s="1"/>
  <c r="L8" i="1"/>
  <c r="L81" i="1"/>
  <c r="B104" i="1"/>
  <c r="B140" i="1"/>
  <c r="L118" i="1"/>
  <c r="B68" i="1"/>
  <c r="C141" i="1"/>
  <c r="L46" i="1"/>
  <c r="N163" i="1" l="1"/>
  <c r="N165" i="1"/>
  <c r="N162" i="1"/>
  <c r="N158" i="1"/>
  <c r="N168" i="1"/>
  <c r="N160" i="1"/>
  <c r="M120" i="1"/>
  <c r="M124" i="1"/>
  <c r="M128" i="1"/>
  <c r="M121" i="1"/>
  <c r="M125" i="1"/>
  <c r="M129" i="1"/>
  <c r="M122" i="1"/>
  <c r="M126" i="1"/>
  <c r="M130" i="1"/>
  <c r="M123" i="1"/>
  <c r="M127" i="1"/>
  <c r="M131" i="1"/>
  <c r="M85" i="1"/>
  <c r="M89" i="1"/>
  <c r="M93" i="1"/>
  <c r="M86" i="1"/>
  <c r="M90" i="1"/>
  <c r="M94" i="1"/>
  <c r="M83" i="1"/>
  <c r="M87" i="1"/>
  <c r="M91" i="1"/>
  <c r="M84" i="1"/>
  <c r="M88" i="1"/>
  <c r="M92" i="1"/>
  <c r="M48" i="1"/>
  <c r="M52" i="1"/>
  <c r="M56" i="1"/>
  <c r="M49" i="1"/>
  <c r="M53" i="1"/>
  <c r="M57" i="1"/>
  <c r="M50" i="1"/>
  <c r="M54" i="1"/>
  <c r="M58" i="1"/>
  <c r="M51" i="1"/>
  <c r="M55" i="1"/>
  <c r="M59" i="1"/>
  <c r="M12" i="1"/>
  <c r="M16" i="1"/>
  <c r="M20" i="1"/>
  <c r="M14" i="1"/>
  <c r="M11" i="1"/>
  <c r="M19" i="1"/>
  <c r="M13" i="1"/>
  <c r="M17" i="1"/>
  <c r="M21" i="1"/>
  <c r="M10" i="1"/>
  <c r="M18" i="1"/>
  <c r="M15" i="1"/>
  <c r="B105" i="1"/>
  <c r="B32" i="1"/>
  <c r="B194" i="1"/>
  <c r="C194" i="1" s="1"/>
  <c r="B195" i="1"/>
  <c r="B70" i="1"/>
  <c r="C68" i="1"/>
  <c r="C104" i="1"/>
  <c r="B142" i="1"/>
  <c r="C140" i="1"/>
  <c r="N156" i="1" l="1"/>
  <c r="D30" i="1"/>
  <c r="D29" i="1"/>
  <c r="N15" i="1" s="1"/>
  <c r="D31" i="1"/>
  <c r="C195" i="1"/>
  <c r="N14" i="1" l="1"/>
  <c r="N17" i="1"/>
  <c r="N12" i="1"/>
  <c r="N20" i="1"/>
  <c r="N10" i="1"/>
  <c r="N83" i="1"/>
  <c r="N87" i="1"/>
  <c r="N88" i="1"/>
  <c r="N85" i="1"/>
  <c r="N93" i="1"/>
  <c r="N90" i="1"/>
  <c r="N50" i="1"/>
  <c r="N46" i="1" s="1"/>
  <c r="N58" i="1"/>
  <c r="N55" i="1"/>
  <c r="N52" i="1"/>
  <c r="N53" i="1"/>
  <c r="N81" i="1" l="1"/>
  <c r="N8" i="1"/>
  <c r="D195" i="1" l="1"/>
  <c r="D194" i="1"/>
  <c r="D193" i="1"/>
  <c r="D196" i="1" s="1"/>
</calcChain>
</file>

<file path=xl/sharedStrings.xml><?xml version="1.0" encoding="utf-8"?>
<sst xmlns="http://schemas.openxmlformats.org/spreadsheetml/2006/main" count="455" uniqueCount="64">
  <si>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</si>
  <si>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</si>
  <si>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</si>
  <si>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</si>
  <si>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</si>
  <si>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</si>
  <si>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</si>
  <si>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</si>
  <si>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</si>
  <si>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</si>
  <si>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</si>
  <si>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</si>
  <si>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</si>
  <si>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Área productiva total</t>
  </si>
  <si>
    <t>Rendimiento</t>
  </si>
  <si>
    <t>Consumo Eléctricidad por sector</t>
  </si>
  <si>
    <t>Grupo Homogéneo</t>
  </si>
  <si>
    <t>Proceso</t>
  </si>
  <si>
    <t>Energético</t>
  </si>
  <si>
    <t>Unidades indicador producción</t>
  </si>
  <si>
    <t>Indicador</t>
  </si>
  <si>
    <t>MJ/Ha</t>
  </si>
  <si>
    <t>Debe estar en MJ/Tn o MJ/Ha</t>
  </si>
  <si>
    <t>Tabla 7 y Tabla 10</t>
  </si>
  <si>
    <t>Indicador [MJ/Ha]</t>
  </si>
  <si>
    <t>Indicador [MJ/Tn]</t>
  </si>
  <si>
    <t>Grupo Homogeneo</t>
  </si>
  <si>
    <t>MJ/año</t>
  </si>
  <si>
    <t>TJ/año</t>
  </si>
  <si>
    <t>Tabla 9</t>
  </si>
  <si>
    <t>Dato de información secundaria [Ha]</t>
  </si>
  <si>
    <t>Creciemiento de el 216% para el 2020 en producción aproximación al 2 del área registrada 2012</t>
  </si>
  <si>
    <t>Referencia</t>
  </si>
  <si>
    <t>http://bibliotecadigital.agronet.gov.co/bitstream/11348/6905/2/INFORME%20ENP%202012%20consolidado.pdf</t>
  </si>
  <si>
    <t>Paola</t>
  </si>
  <si>
    <t>Año 2012 espejo de agua usado [Ha]</t>
  </si>
  <si>
    <t>Acuicultura</t>
  </si>
  <si>
    <t>Cachama</t>
  </si>
  <si>
    <t>Participación respecto al total</t>
  </si>
  <si>
    <t>Detalle</t>
  </si>
  <si>
    <t>Dato</t>
  </si>
  <si>
    <t>Postcosecha</t>
  </si>
  <si>
    <t>Acondicionamiento de estanques</t>
  </si>
  <si>
    <t>Recolección de huevos</t>
  </si>
  <si>
    <t>Oxigenación</t>
  </si>
  <si>
    <t>Recirculación</t>
  </si>
  <si>
    <t>Siembra y crianza de peces</t>
  </si>
  <si>
    <t>Pesca / Cosecha</t>
  </si>
  <si>
    <t>Transporte interno</t>
  </si>
  <si>
    <t>Indicador [TJ/Ha]</t>
  </si>
  <si>
    <t>Tilapia</t>
  </si>
  <si>
    <t>Trucha</t>
  </si>
  <si>
    <t>Otras especies</t>
  </si>
  <si>
    <t>Camarón</t>
  </si>
  <si>
    <t>Total general Acuicultura</t>
  </si>
  <si>
    <t>kWh/año</t>
  </si>
  <si>
    <t>Dato comercial por CIIU de XM [kWh/año]</t>
  </si>
  <si>
    <t>Dato de información secundaria Tn/Ha (ministerio de agricultura)</t>
  </si>
  <si>
    <t>Consumo Eléctricidad por sector [MJ/año]</t>
  </si>
  <si>
    <t>Tabla 8. Indicador producción</t>
  </si>
  <si>
    <t>Consumo energía [MJ/año]</t>
  </si>
  <si>
    <t>Consumo energía corregida [MJ/año]</t>
  </si>
  <si>
    <t>Total [MJ/año]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</si>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</sst>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center" wrapText="1"/>
    </xf>
    <xf numFmtId="9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7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0" borderId="1" xfId="2" applyBorder="1" applyAlignment="1">
      <alignment vertical="center"/>
    </xf>
    <xf numFmtId="4" fontId="0" fillId="0" borderId="1" xfId="0" applyNumberFormat="1" applyBorder="1"/>
    <xf numFmtId="2" fontId="0" fillId="0" borderId="1" xfId="0" applyNumberFormat="1" applyBorder="1"/>
    <xf numFmtId="10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8" borderId="6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8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" fontId="0" fillId="0" borderId="6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0" fontId="0" fillId="0" borderId="4" xfId="1" applyNumberFormat="1" applyFont="1" applyFill="1" applyBorder="1" applyAlignment="1">
      <alignment horizontal="center"/>
    </xf>
    <xf numFmtId="10" fontId="0" fillId="0" borderId="1" xfId="1" applyNumberFormat="1" applyFont="1" applyFill="1" applyBorder="1" applyAlignment="1">
      <alignment horizontal="center"/>
    </xf>
    <xf numFmtId="10" fontId="0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0" fontId="0" fillId="0" borderId="0" xfId="1" applyNumberFormat="1" applyFont="1" applyFill="1"/>
    <xf numFmtId="10" fontId="0" fillId="0" borderId="8" xfId="1" applyNumberFormat="1" applyFont="1" applyFill="1" applyBorder="1" applyAlignment="1">
      <alignment horizontal="center"/>
    </xf>
    <xf numFmtId="10" fontId="0" fillId="0" borderId="0" xfId="1" applyNumberFormat="1" applyFont="1" applyFill="1" applyAlignment="1">
      <alignment horizontal="center" vertical="center" wrapText="1"/>
    </xf>
    <xf numFmtId="10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/>
    </xf>
    <xf numFmtId="0" fontId="3" fillId="9" borderId="1" xfId="0" applyFont="1" applyFill="1" applyBorder="1" applyAlignment="1">
      <alignment horizontal="center"/>
    </xf>
    <xf numFmtId="4" fontId="3" fillId="9" borderId="1" xfId="0" applyNumberFormat="1" applyFont="1" applyFill="1" applyBorder="1" applyAlignment="1">
      <alignment horizontal="center"/>
    </xf>
    <xf numFmtId="9" fontId="3" fillId="9" borderId="1" xfId="1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65">
    <dxf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A9D08-1377-468A-AF05-D7853C9878D0}" name="Tabla2" displayName="Tabla2" ref="G9:N21" totalsRowShown="0" headerRowDxfId="64" dataDxfId="62" headerRowBorderDxfId="63" tableBorderDxfId="61" totalsRowBorderDxfId="60">
  <autoFilter ref="G9:N21" xr:uid="{775A9D08-1377-468A-AF05-D7853C9878D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97AA7CE-2C19-4522-AFCC-2D7077ABB6B9}" name="Grupo Homogéneo" dataDxfId="59"/>
    <tableColumn id="2" xr3:uid="{B5D1F10D-371F-4B26-972F-7E20D881EF10}" name="Proceso" dataDxfId="58"/>
    <tableColumn id="3" xr3:uid="{D5C4E4C9-E4CD-42F0-B878-EAED958F5FA0}" name="Energético" dataDxfId="57"/>
    <tableColumn id="4" xr3:uid="{B7B5D837-72C9-44E9-A5D9-0A2D73C6B023}" name="Unidades indicador producción" dataDxfId="56"/>
    <tableColumn id="5" xr3:uid="{3CF749A7-0CC3-4EAE-8383-BA07291F80FF}" name="Indicador" dataDxfId="55"/>
    <tableColumn id="10" xr3:uid="{E16307D2-7B0D-4BEC-94C3-8D5C9401D2A7}" name="Consumo energía [MJ/año]" dataDxfId="14">
      <calculatedColumnFormula>Tabla2[[#This Row],[Indicador]]*$B$9</calculatedColumnFormula>
    </tableColumn>
    <tableColumn id="6" xr3:uid="{60D4E80F-4C08-4AEB-AFBC-D087F8850E01}" name="Participación" dataDxfId="4" dataCellStyle="Porcentaje">
      <calculatedColumnFormula>+Tabla2[[#This Row],[Consumo energía '[MJ/año']]]/$L$8</calculatedColumnFormula>
    </tableColumn>
    <tableColumn id="7" xr3:uid="{77EBC931-47E2-4B08-B4BD-8E6CB009189A}" name="Consumo energía corregida [MJ/año]" dataDxfId="13">
      <calculatedColumnFormula>IF(Tabla2[[#This Row],[Energético]]="Energía Eléctrica",((Tabla2[[#This Row],[Participación]]*$D$29)/SUMIF(Tabla2[Energético],"Energía Eléctrica",Tabla2[Participación]))*$B$32,Tabla2[[#This Row],[Consumo energía '[MJ/año']]])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0D235E-27B5-47A1-8FAD-48FEC3FF3D60}" name="Tabla22" displayName="Tabla22" ref="G47:N59" totalsRowShown="0" headerRowDxfId="54" dataDxfId="52" headerRowBorderDxfId="53" tableBorderDxfId="51" totalsRowBorderDxfId="50">
  <autoFilter ref="G47:N59" xr:uid="{810D235E-27B5-47A1-8FAD-48FEC3FF3D6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71C143EF-8141-4BBB-896B-A886228EA252}" name="Grupo Homogéneo" dataDxfId="49"/>
    <tableColumn id="2" xr3:uid="{E18C0C75-DC0C-47AA-89C2-C79B78DE0564}" name="Proceso" dataDxfId="48"/>
    <tableColumn id="3" xr3:uid="{4419E22C-435B-4D43-A336-0EF1D8C146DB}" name="Energético" dataDxfId="47"/>
    <tableColumn id="4" xr3:uid="{3325EB51-4DFC-4DFF-8A15-F0CC38A65FAB}" name="Unidades indicador producción" dataDxfId="46"/>
    <tableColumn id="5" xr3:uid="{2A1559FE-D682-42A2-9DF2-49E25BDFCCF9}" name="Indicador" dataDxfId="45"/>
    <tableColumn id="10" xr3:uid="{A8621974-BC8E-45D1-BFC4-941CD79FC464}" name="Consumo energía [MJ/año]" dataDxfId="12">
      <calculatedColumnFormula>Tabla22[[#This Row],[Indicador]]*$B$47</calculatedColumnFormula>
    </tableColumn>
    <tableColumn id="6" xr3:uid="{F1CF3606-4176-42BC-A1EE-CB26F3A9F590}" name="Participación" dataDxfId="3" dataCellStyle="Porcentaje">
      <calculatedColumnFormula>+Tabla22[[#This Row],[Consumo energía '[MJ/año']]]/$L$46</calculatedColumnFormula>
    </tableColumn>
    <tableColumn id="7" xr3:uid="{5F1BB3D7-E095-4CAC-942B-C705D306A42F}" name="Consumo energía corregida [MJ/año]" dataDxfId="11">
      <calculatedColumnFormula>IF(Tabla22[[#This Row],[Energético]]="Energía Eléctrica",((Tabla22[[#This Row],[Participación]]*$D$67)/SUMIF(Tabla22[Energético],"Energía Eléctrica",Tabla22[Participación]))*$B$70,Tabla22[[#This Row],[Consumo energía '[MJ/año']]])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A52ABE-E193-4D4B-90E7-84140C26ACDC}" name="Tabla224" displayName="Tabla224" ref="G82:N94" totalsRowShown="0" headerRowDxfId="44" dataDxfId="42" headerRowBorderDxfId="43" tableBorderDxfId="41" totalsRowBorderDxfId="40">
  <autoFilter ref="G82:N94" xr:uid="{77A52ABE-E193-4D4B-90E7-84140C26ACD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A6E7F9D7-3014-4670-9979-16C26BF11080}" name="Grupo Homogéneo" dataDxfId="39"/>
    <tableColumn id="2" xr3:uid="{2285C755-FE46-4589-86C7-13646BB8E65A}" name="Proceso" dataDxfId="38"/>
    <tableColumn id="3" xr3:uid="{1A337573-63F1-4198-84D4-1BE0F68BF392}" name="Energético" dataDxfId="37"/>
    <tableColumn id="4" xr3:uid="{17018B80-88D6-4EEC-A4CA-D113A1441A76}" name="Unidades indicador producción" dataDxfId="36"/>
    <tableColumn id="5" xr3:uid="{5A6712C8-BBE0-4824-9967-F18B0EA07EB9}" name="Indicador" dataDxfId="35"/>
    <tableColumn id="10" xr3:uid="{39A3A1B8-1DB0-451A-8FD8-0FA79CD45E89}" name="Consumo energía [MJ/año]" dataDxfId="10">
      <calculatedColumnFormula>Tabla224[[#This Row],[Indicador]]*$B$82</calculatedColumnFormula>
    </tableColumn>
    <tableColumn id="6" xr3:uid="{74743937-BE04-47FA-88FB-7328B0FB69B4}" name="Participación" dataDxfId="2" dataCellStyle="Porcentaje">
      <calculatedColumnFormula>+Tabla224[[#This Row],[Consumo energía '[MJ/año']]]/$L$81</calculatedColumnFormula>
    </tableColumn>
    <tableColumn id="7" xr3:uid="{1A19FE29-B7A6-4224-9307-EFE2217706DF}" name="Consumo energía corregida [MJ/año]" dataDxfId="9">
      <calculatedColumnFormula>IF(Tabla224[[#This Row],[Energético]]="Energía Eléctrica",((Tabla224[[#This Row],[Participación]]*$D$102)/SUMIF(Tabla224[Energético],"Energía Eléctrica",Tabla224[Participación]))*$B$105,Tabla224[[#This Row],[Consumo energía '[MJ/año']]])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D97639D-ADDF-4232-97D1-83AD28015AB8}" name="Tabla2245" displayName="Tabla2245" ref="G119:N131" totalsRowShown="0" headerRowDxfId="34" dataDxfId="32" headerRowBorderDxfId="33" tableBorderDxfId="31" totalsRowBorderDxfId="30">
  <autoFilter ref="G119:N131" xr:uid="{9D97639D-ADDF-4232-97D1-83AD28015AB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B5D09730-3C41-4EEC-B608-733ED7E43891}" name="Grupo Homogéneo" dataDxfId="29"/>
    <tableColumn id="2" xr3:uid="{6D9D014F-C0DB-4C08-8526-F5F9901DC483}" name="Proceso" dataDxfId="28"/>
    <tableColumn id="3" xr3:uid="{A0CE6A57-F46F-4637-96C6-3B79269816CE}" name="Energético" dataDxfId="27"/>
    <tableColumn id="4" xr3:uid="{1859F6A7-584E-4D79-889E-1158D1E35330}" name="Unidades indicador producción" dataDxfId="26"/>
    <tableColumn id="5" xr3:uid="{C91475C7-A41D-4E21-BBE3-7090733C5DA3}" name="Indicador" dataDxfId="25"/>
    <tableColumn id="10" xr3:uid="{ED5D30AC-756C-4663-A251-9EC1FD8A8B80}" name="Consumo energía [MJ/año]" dataDxfId="8">
      <calculatedColumnFormula>Tabla2245[[#This Row],[Indicador]]*$B$119</calculatedColumnFormula>
    </tableColumn>
    <tableColumn id="6" xr3:uid="{A1BB39EE-94DB-4ACF-AAF3-6C5CBC20A0C2}" name="Participación" dataDxfId="1" dataCellStyle="Porcentaje">
      <calculatedColumnFormula>+Tabla2245[[#This Row],[Consumo energía '[MJ/año']]]/$L$118</calculatedColumnFormula>
    </tableColumn>
    <tableColumn id="7" xr3:uid="{699CF67A-B4A8-4587-9747-699C088D719A}" name="Consumo energía corregida [MJ/año]" dataDxfId="7">
      <calculatedColumnFormula>IF(Tabla2245[[#This Row],[Energético]]="Energía Eléctrica",((Tabla2245[[#This Row],[Participación]]*$D$139)/SUMIF(Tabla2245[Energético],"Energía Eléctrica",Tabla2245[Participación]))*$B$142,Tabla2245[[#This Row],[Consumo energía '[MJ/año']]])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BEB41EB-5068-454E-B13C-B4EADD5CDD53}" name="Tabla22456" displayName="Tabla22456" ref="G157:N169" totalsRowShown="0" headerRowDxfId="24" dataDxfId="22" headerRowBorderDxfId="23" tableBorderDxfId="21" totalsRowBorderDxfId="20">
  <autoFilter ref="G157:N169" xr:uid="{1BEB41EB-5068-454E-B13C-B4EADD5CDD5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E7E730D5-8C1A-4E11-84AA-3A97E4C27575}" name="Grupo Homogéneo" dataDxfId="19"/>
    <tableColumn id="2" xr3:uid="{BBDCA9D9-8EB9-42BF-8BD3-3658C23C46BF}" name="Proceso" dataDxfId="18"/>
    <tableColumn id="3" xr3:uid="{E6D8BE80-3023-4706-83AD-4DBA219FEC83}" name="Energético" dataDxfId="17"/>
    <tableColumn id="4" xr3:uid="{4BA2B6F0-797A-4470-84FA-D8DF72820740}" name="Unidades indicador producción" dataDxfId="16"/>
    <tableColumn id="5" xr3:uid="{99A37730-E762-4045-83D3-80C277CE7F6E}" name="Indicador" dataDxfId="15"/>
    <tableColumn id="10" xr3:uid="{272AD4FE-C9BF-4DCC-9836-5B56E78A0D77}" name="Consumo energía [MJ/año]" dataDxfId="6">
      <calculatedColumnFormula>Tabla22456[[#This Row],[Indicador]]*$B$157</calculatedColumnFormula>
    </tableColumn>
    <tableColumn id="6" xr3:uid="{FAF34AC6-A25C-4BE7-9602-751D9EFC8A60}" name="Participación" dataDxfId="0" dataCellStyle="Porcentaje">
      <calculatedColumnFormula>+Tabla22456[[#This Row],[Consumo energía '[MJ/año']]]/$L$156</calculatedColumnFormula>
    </tableColumn>
    <tableColumn id="7" xr3:uid="{7C353146-B60E-4A99-B8FC-DCB640405786}" name="Consumo energía corregida [MJ/año]" dataDxfId="5">
      <calculatedColumnFormula>IF(Tabla22456[[#This Row],[Energético]]="Energía Eléctrica",((Tabla22456[[#This Row],[Participación]]*$D$177)/SUMIF(Tabla22456[Energético],"Energía Eléctrica",Tabla22456[Participación]))*$B$180,Tabla22456[[#This Row],[Consumo energía '[MJ/año']]])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ibliotecadigital.agronet.gov.co/bitstream/11348/6905/2/INFORME%20ENP%202012%20consolidado.pdf" TargetMode="Externa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196"/>
  <sheetViews>
    <sheetView showGridLines="0" tabSelected="1" topLeftCell="A167" zoomScaleNormal="100" workbookViewId="0">
      <selection activeCell="A186" sqref="A186"/>
    </sheetView>
  </sheetViews>
  <sheetFormatPr baseColWidth="10" defaultRowHeight="12.75" x14ac:dyDescent="0.2"/>
  <cols>
    <col min="1" max="1" width="28.28515625" customWidth="1"/>
    <col min="2" max="4" width="16.42578125" customWidth="1"/>
    <col min="5" max="5" width="19.140625" customWidth="1"/>
    <col min="6" max="6" width="20.28515625" customWidth="1"/>
    <col min="7" max="7" width="24.5703125" customWidth="1"/>
    <col min="8" max="8" width="26.5703125" customWidth="1"/>
    <col min="9" max="9" width="17.7109375" bestFit="1" customWidth="1"/>
    <col min="10" max="10" width="19.7109375" customWidth="1"/>
    <col min="11" max="11" width="24.5703125" customWidth="1"/>
    <col min="12" max="12" width="18.85546875" style="45" customWidth="1"/>
    <col min="13" max="13" width="11.42578125" style="57"/>
    <col min="14" max="14" width="22.85546875" style="45" customWidth="1"/>
  </cols>
  <sheetData>
    <row r="1" spans="1:14" ht="18" x14ac:dyDescent="0.25">
      <c r="A1" s="14"/>
    </row>
    <row r="2" spans="1:14" x14ac:dyDescent="0.2">
      <c r="E2" s="31" t="s">
        <v>32</v>
      </c>
      <c r="F2" s="34" t="s">
        <v>33</v>
      </c>
      <c r="G2" s="32" t="s">
        <v>34</v>
      </c>
    </row>
    <row r="3" spans="1:14" ht="51" x14ac:dyDescent="0.2">
      <c r="E3" s="31" t="s">
        <v>39</v>
      </c>
      <c r="F3" s="33" t="s">
        <v>35</v>
      </c>
      <c r="G3" s="33" t="s">
        <v>31</v>
      </c>
    </row>
    <row r="4" spans="1:14" x14ac:dyDescent="0.2">
      <c r="E4" s="31" t="s">
        <v>40</v>
      </c>
      <c r="F4" s="32">
        <f>+((17978114+1049392)/10000)</f>
        <v>1902.7506000000001</v>
      </c>
      <c r="G4" s="32">
        <f>+F4*2</f>
        <v>3805.5012000000002</v>
      </c>
    </row>
    <row r="6" spans="1:14" ht="25.5" x14ac:dyDescent="0.2">
      <c r="C6" s="28" t="s">
        <v>38</v>
      </c>
    </row>
    <row r="7" spans="1:14" ht="18" x14ac:dyDescent="0.25">
      <c r="A7" s="41" t="s">
        <v>37</v>
      </c>
      <c r="B7" s="42"/>
      <c r="C7" s="29">
        <v>0.19</v>
      </c>
      <c r="G7" s="43" t="s">
        <v>59</v>
      </c>
      <c r="H7" s="43"/>
      <c r="I7" s="43"/>
      <c r="J7" s="43"/>
      <c r="K7" s="43"/>
      <c r="N7" s="12" t="s">
        <v>62</v>
      </c>
    </row>
    <row r="8" spans="1:14" ht="31.5" x14ac:dyDescent="0.25">
      <c r="A8" s="5" t="s">
        <v>26</v>
      </c>
      <c r="B8" s="13" t="s">
        <v>36</v>
      </c>
      <c r="C8" s="4"/>
      <c r="J8" s="3" t="s">
        <v>22</v>
      </c>
      <c r="K8" s="3" t="s">
        <v>22</v>
      </c>
      <c r="L8" s="47">
        <f>SUM(Tabla2[Consumo energía '[MJ/año']])</f>
        <v>85526200.205964535</v>
      </c>
      <c r="N8" s="62">
        <f>SUM(Tabla2[Consumo energía corregida '[MJ/año']])</f>
        <v>18746157.467136461</v>
      </c>
    </row>
    <row r="9" spans="1:14" ht="35.25" customHeight="1" x14ac:dyDescent="0.2">
      <c r="A9" s="6" t="s">
        <v>13</v>
      </c>
      <c r="B9" s="7">
        <f>+G4*C7</f>
        <v>723.04522800000007</v>
      </c>
      <c r="C9" s="27" t="s">
        <v>30</v>
      </c>
      <c r="G9" s="22" t="s">
        <v>16</v>
      </c>
      <c r="H9" s="23" t="s">
        <v>17</v>
      </c>
      <c r="I9" s="23" t="s">
        <v>18</v>
      </c>
      <c r="J9" s="24" t="s">
        <v>19</v>
      </c>
      <c r="K9" s="24" t="s">
        <v>20</v>
      </c>
      <c r="L9" s="61" t="s">
        <v>60</v>
      </c>
      <c r="M9" s="61" t="s">
        <v>1</v>
      </c>
      <c r="N9" s="61" t="s">
        <v>61</v>
      </c>
    </row>
    <row r="10" spans="1:14" s="2" customFormat="1" x14ac:dyDescent="0.2">
      <c r="A10" s="6" t="s">
        <v>14</v>
      </c>
      <c r="B10" s="7">
        <v>10</v>
      </c>
      <c r="C10" s="27" t="s">
        <v>57</v>
      </c>
      <c r="D10"/>
      <c r="G10" s="25" t="s">
        <v>36</v>
      </c>
      <c r="H10" s="26" t="s">
        <v>41</v>
      </c>
      <c r="I10" s="26" t="s">
        <v>2</v>
      </c>
      <c r="J10" s="26" t="s">
        <v>21</v>
      </c>
      <c r="K10" s="39">
        <v>90795.6</v>
      </c>
      <c r="L10" s="48">
        <f>Tabla2[[#This Row],[Indicador]]*$B$9</f>
        <v>65649325.303396814</v>
      </c>
      <c r="M10" s="52">
        <f>+Tabla2[[#This Row],[Consumo energía '[MJ/año']]]/$L$8</f>
        <v>0.76759314859423011</v>
      </c>
      <c r="N10" s="49">
        <f>IF(Tabla2[[#This Row],[Energético]]="Energía Eléctrica",((Tabla2[[#This Row],[Participación]]*$D$29)/SUMIF(Tabla2[Energético],"Energía Eléctrica",Tabla2[Participación]))*$B$32,Tabla2[[#This Row],[Consumo energía '[MJ/año']]])</f>
        <v>1661109.6803507488</v>
      </c>
    </row>
    <row r="11" spans="1:14" ht="25.5" x14ac:dyDescent="0.2">
      <c r="A11" s="8" t="s">
        <v>15</v>
      </c>
      <c r="B11" s="21">
        <f>+C7*D11</f>
        <v>481551.23550485511</v>
      </c>
      <c r="C11" s="27" t="s">
        <v>55</v>
      </c>
      <c r="D11" s="7">
        <v>2534480.1868676585</v>
      </c>
      <c r="E11" s="27" t="s">
        <v>56</v>
      </c>
      <c r="G11" s="25" t="s">
        <v>36</v>
      </c>
      <c r="H11" s="26" t="s">
        <v>42</v>
      </c>
      <c r="I11" s="26" t="s">
        <v>3</v>
      </c>
      <c r="J11" s="26" t="s">
        <v>21</v>
      </c>
      <c r="K11" s="39">
        <v>4658.9523809523798</v>
      </c>
      <c r="L11" s="48">
        <f>Tabla2[[#This Row],[Indicador]]*$B$9</f>
        <v>3368633.2865268565</v>
      </c>
      <c r="M11" s="53">
        <f>+Tabla2[[#This Row],[Consumo energía '[MJ/año']]]/$L$8</f>
        <v>3.9387150117911239E-2</v>
      </c>
      <c r="N11" s="50">
        <f>IF(Tabla2[[#This Row],[Energético]]="Energía Eléctrica",((Tabla2[[#This Row],[Participación]]*$D$29)/SUMIF(Tabla2[Energético],"Energía Eléctrica",Tabla2[Participación]))*$B$32,Tabla2[[#This Row],[Consumo energía '[MJ/año']]])</f>
        <v>3368633.2865268565</v>
      </c>
    </row>
    <row r="12" spans="1:14" ht="25.5" x14ac:dyDescent="0.2">
      <c r="A12" s="8" t="s">
        <v>58</v>
      </c>
      <c r="B12" s="21">
        <f>+B11*3.6</f>
        <v>1733584.4478174783</v>
      </c>
      <c r="C12" s="1"/>
      <c r="G12" s="25" t="s">
        <v>36</v>
      </c>
      <c r="H12" s="26" t="s">
        <v>42</v>
      </c>
      <c r="I12" s="26" t="s">
        <v>2</v>
      </c>
      <c r="J12" s="26" t="s">
        <v>21</v>
      </c>
      <c r="K12" s="39">
        <v>22.755552000000002</v>
      </c>
      <c r="L12" s="48">
        <f>Tabla2[[#This Row],[Indicador]]*$B$9</f>
        <v>16453.293284105857</v>
      </c>
      <c r="M12" s="53">
        <f>+Tabla2[[#This Row],[Consumo energía '[MJ/año']]]/$L$8</f>
        <v>1.9237722761543212E-4</v>
      </c>
      <c r="N12" s="50">
        <f>IF(Tabla2[[#This Row],[Energético]]="Energía Eléctrica",((Tabla2[[#This Row],[Participación]]*$D$29)/SUMIF(Tabla2[Energético],"Energía Eléctrica",Tabla2[Participación]))*$B$32,Tabla2[[#This Row],[Consumo energía '[MJ/año']]])</f>
        <v>416.31387103477294</v>
      </c>
    </row>
    <row r="13" spans="1:14" x14ac:dyDescent="0.2">
      <c r="G13" s="25" t="s">
        <v>36</v>
      </c>
      <c r="H13" s="26" t="s">
        <v>42</v>
      </c>
      <c r="I13" s="26" t="s">
        <v>9</v>
      </c>
      <c r="J13" s="26" t="s">
        <v>21</v>
      </c>
      <c r="K13" s="39">
        <v>858.71794871794998</v>
      </c>
      <c r="L13" s="48">
        <f>Tabla2[[#This Row],[Indicador]]*$B$9</f>
        <v>620891.91501846246</v>
      </c>
      <c r="M13" s="53">
        <f>+Tabla2[[#This Row],[Consumo energía '[MJ/año']]]/$L$8</f>
        <v>7.259669125054405E-3</v>
      </c>
      <c r="N13" s="50">
        <f>IF(Tabla2[[#This Row],[Energético]]="Energía Eléctrica",((Tabla2[[#This Row],[Participación]]*$D$29)/SUMIF(Tabla2[Energético],"Energía Eléctrica",Tabla2[Participación]))*$B$32,Tabla2[[#This Row],[Consumo energía '[MJ/año']]])</f>
        <v>620891.91501846246</v>
      </c>
    </row>
    <row r="14" spans="1:14" x14ac:dyDescent="0.2">
      <c r="G14" s="25" t="s">
        <v>36</v>
      </c>
      <c r="H14" s="26" t="s">
        <v>43</v>
      </c>
      <c r="I14" s="26" t="s">
        <v>2</v>
      </c>
      <c r="J14" s="26" t="s">
        <v>21</v>
      </c>
      <c r="K14" s="39">
        <v>6.1714285714299999</v>
      </c>
      <c r="L14" s="48">
        <f>Tabla2[[#This Row],[Indicador]]*$B$9</f>
        <v>4462.2219785153193</v>
      </c>
      <c r="M14" s="53">
        <f>+Tabla2[[#This Row],[Consumo energía '[MJ/año']]]/$L$8</f>
        <v>5.2173742873755393E-5</v>
      </c>
      <c r="N14" s="50">
        <f>IF(Tabla2[[#This Row],[Energético]]="Energía Eléctrica",((Tabla2[[#This Row],[Participación]]*$D$29)/SUMIF(Tabla2[Energético],"Energía Eléctrica",Tabla2[Participación]))*$B$32,Tabla2[[#This Row],[Consumo energía '[MJ/año']]])</f>
        <v>112.90656971918865</v>
      </c>
    </row>
    <row r="15" spans="1:14" x14ac:dyDescent="0.2">
      <c r="G15" s="25" t="s">
        <v>36</v>
      </c>
      <c r="H15" s="26" t="s">
        <v>44</v>
      </c>
      <c r="I15" s="26" t="s">
        <v>2</v>
      </c>
      <c r="J15" s="26" t="s">
        <v>21</v>
      </c>
      <c r="K15" s="39">
        <v>3768.7440257088401</v>
      </c>
      <c r="L15" s="48">
        <f>Tabla2[[#This Row],[Indicador]]*$B$9</f>
        <v>2724972.3833422866</v>
      </c>
      <c r="M15" s="53">
        <f>+Tabla2[[#This Row],[Consumo energía '[MJ/año']]]/$L$8</f>
        <v>3.1861258617593174E-2</v>
      </c>
      <c r="N15" s="50">
        <f>IF(Tabla2[[#This Row],[Energético]]="Energía Eléctrica",((Tabla2[[#This Row],[Participación]]*$D$29)/SUMIF(Tabla2[Energético],"Energía Eléctrica",Tabla2[Participación]))*$B$32,Tabla2[[#This Row],[Consumo energía '[MJ/año']]])</f>
        <v>68949.345385338107</v>
      </c>
    </row>
    <row r="16" spans="1:14" x14ac:dyDescent="0.2">
      <c r="G16" s="25" t="s">
        <v>36</v>
      </c>
      <c r="H16" s="26" t="s">
        <v>45</v>
      </c>
      <c r="I16" s="26" t="s">
        <v>3</v>
      </c>
      <c r="J16" s="26" t="s">
        <v>21</v>
      </c>
      <c r="K16" s="39">
        <v>11882.039473198</v>
      </c>
      <c r="L16" s="48">
        <f>Tabla2[[#This Row],[Indicador]]*$B$9</f>
        <v>8591251.9400034491</v>
      </c>
      <c r="M16" s="53">
        <f>+Tabla2[[#This Row],[Consumo energía '[MJ/año']]]/$L$8</f>
        <v>0.10045169689889136</v>
      </c>
      <c r="N16" s="50">
        <f>IF(Tabla2[[#This Row],[Energético]]="Energía Eléctrica",((Tabla2[[#This Row],[Participación]]*$D$29)/SUMIF(Tabla2[Energético],"Energía Eléctrica",Tabla2[Participación]))*$B$32,Tabla2[[#This Row],[Consumo energía '[MJ/año']]])</f>
        <v>8591251.9400034491</v>
      </c>
    </row>
    <row r="17" spans="1:14" x14ac:dyDescent="0.2">
      <c r="G17" s="25" t="s">
        <v>36</v>
      </c>
      <c r="H17" s="26" t="s">
        <v>45</v>
      </c>
      <c r="I17" s="26" t="s">
        <v>2</v>
      </c>
      <c r="J17" s="26" t="s">
        <v>21</v>
      </c>
      <c r="K17" s="39">
        <v>99.34272</v>
      </c>
      <c r="L17" s="48">
        <f>Tabla2[[#This Row],[Indicador]]*$B$9</f>
        <v>71829.279632540172</v>
      </c>
      <c r="M17" s="53">
        <f>+Tabla2[[#This Row],[Consumo energía '[MJ/año']]]/$L$8</f>
        <v>8.3985117378722091E-4</v>
      </c>
      <c r="N17" s="50">
        <f>IF(Tabla2[[#This Row],[Energético]]="Energía Eléctrica",((Tabla2[[#This Row],[Participación]]*$D$29)/SUMIF(Tabla2[Energético],"Energía Eléctrica",Tabla2[Participación]))*$B$32,Tabla2[[#This Row],[Consumo energía '[MJ/año']]])</f>
        <v>1817.4796340833027</v>
      </c>
    </row>
    <row r="18" spans="1:14" x14ac:dyDescent="0.2">
      <c r="G18" s="25" t="s">
        <v>36</v>
      </c>
      <c r="H18" s="26" t="s">
        <v>46</v>
      </c>
      <c r="I18" s="26" t="s">
        <v>3</v>
      </c>
      <c r="J18" s="26" t="s">
        <v>21</v>
      </c>
      <c r="K18" s="39">
        <v>2026.23076923077</v>
      </c>
      <c r="L18" s="48">
        <f>Tabla2[[#This Row],[Indicador]]*$B$9</f>
        <v>1465056.4885190777</v>
      </c>
      <c r="M18" s="53">
        <f>+Tabla2[[#This Row],[Consumo energía '[MJ/año']]]/$L$8</f>
        <v>1.7129914400393364E-2</v>
      </c>
      <c r="N18" s="50">
        <f>IF(Tabla2[[#This Row],[Energético]]="Energía Eléctrica",((Tabla2[[#This Row],[Participación]]*$D$29)/SUMIF(Tabla2[Energético],"Energía Eléctrica",Tabla2[Participación]))*$B$32,Tabla2[[#This Row],[Consumo energía '[MJ/año']]])</f>
        <v>1465056.4885190777</v>
      </c>
    </row>
    <row r="19" spans="1:14" x14ac:dyDescent="0.2">
      <c r="G19" s="25" t="s">
        <v>36</v>
      </c>
      <c r="H19" s="26" t="s">
        <v>47</v>
      </c>
      <c r="I19" s="26" t="s">
        <v>3</v>
      </c>
      <c r="J19" s="26" t="s">
        <v>21</v>
      </c>
      <c r="K19" s="39">
        <v>4052.4615384615399</v>
      </c>
      <c r="L19" s="48">
        <f>Tabla2[[#This Row],[Indicador]]*$B$9</f>
        <v>2930112.9770381553</v>
      </c>
      <c r="M19" s="53">
        <f>+Tabla2[[#This Row],[Consumo energía '[MJ/año']]]/$L$8</f>
        <v>3.4259828800786728E-2</v>
      </c>
      <c r="N19" s="50">
        <f>IF(Tabla2[[#This Row],[Energético]]="Energía Eléctrica",((Tabla2[[#This Row],[Participación]]*$D$29)/SUMIF(Tabla2[Energético],"Energía Eléctrica",Tabla2[Participación]))*$B$32,Tabla2[[#This Row],[Consumo energía '[MJ/año']]])</f>
        <v>2930112.9770381553</v>
      </c>
    </row>
    <row r="20" spans="1:14" x14ac:dyDescent="0.2">
      <c r="G20" s="25" t="s">
        <v>36</v>
      </c>
      <c r="H20" s="26" t="s">
        <v>47</v>
      </c>
      <c r="I20" s="26" t="s">
        <v>2</v>
      </c>
      <c r="J20" s="26" t="s">
        <v>21</v>
      </c>
      <c r="K20" s="39">
        <v>64.428479999999993</v>
      </c>
      <c r="L20" s="48">
        <f>Tabla2[[#This Row],[Indicador]]*$B$9</f>
        <v>46584.705011293438</v>
      </c>
      <c r="M20" s="53">
        <f>+Tabla2[[#This Row],[Consumo energía '[MJ/año']]]/$L$8</f>
        <v>5.4468344085330537E-4</v>
      </c>
      <c r="N20" s="50">
        <f>IF(Tabla2[[#This Row],[Energético]]="Energía Eléctrica",((Tabla2[[#This Row],[Participación]]*$D$29)/SUMIF(Tabla2[Energético],"Energía Eléctrica",Tabla2[Participación]))*$B$32,Tabla2[[#This Row],[Consumo energía '[MJ/año']]])</f>
        <v>1178.7220065541126</v>
      </c>
    </row>
    <row r="21" spans="1:14" x14ac:dyDescent="0.2">
      <c r="G21" s="25" t="s">
        <v>36</v>
      </c>
      <c r="H21" s="26" t="s">
        <v>48</v>
      </c>
      <c r="I21" s="26" t="s">
        <v>3</v>
      </c>
      <c r="J21" s="26" t="s">
        <v>21</v>
      </c>
      <c r="K21" s="39">
        <v>50.655769230769998</v>
      </c>
      <c r="L21" s="48">
        <f>Tabla2[[#This Row],[Indicador]]*$B$9</f>
        <v>36626.412212977484</v>
      </c>
      <c r="M21" s="58">
        <f>+Tabla2[[#This Row],[Consumo energía '[MJ/año']]]/$L$8</f>
        <v>4.282478600098404E-4</v>
      </c>
      <c r="N21" s="51">
        <f>IF(Tabla2[[#This Row],[Energético]]="Energía Eléctrica",((Tabla2[[#This Row],[Participación]]*$D$29)/SUMIF(Tabla2[Energético],"Energía Eléctrica",Tabla2[Participación]))*$B$32,Tabla2[[#This Row],[Consumo energía '[MJ/año']]])</f>
        <v>36626.412212977484</v>
      </c>
    </row>
    <row r="26" spans="1:14" ht="15.75" x14ac:dyDescent="0.25">
      <c r="A26" s="43" t="s">
        <v>23</v>
      </c>
      <c r="B26" s="43"/>
      <c r="C26" s="43"/>
      <c r="D26" s="43"/>
    </row>
    <row r="28" spans="1:14" x14ac:dyDescent="0.2">
      <c r="A28" s="15" t="s">
        <v>0</v>
      </c>
      <c r="B28" s="15" t="s">
        <v>27</v>
      </c>
      <c r="C28" s="15" t="s">
        <v>28</v>
      </c>
      <c r="D28" s="15" t="s">
        <v>1</v>
      </c>
    </row>
    <row r="29" spans="1:14" x14ac:dyDescent="0.2">
      <c r="A29" s="16" t="s">
        <v>2</v>
      </c>
      <c r="B29" s="17">
        <f>B12</f>
        <v>1733584.4478174783</v>
      </c>
      <c r="C29" s="18">
        <f>Acuicultura!$B29/1000000</f>
        <v>1.7335844478174782</v>
      </c>
      <c r="D29" s="19">
        <f>B29/$B$32</f>
        <v>9.247678895563495E-2</v>
      </c>
    </row>
    <row r="30" spans="1:14" x14ac:dyDescent="0.2">
      <c r="A30" s="16" t="s">
        <v>3</v>
      </c>
      <c r="B30" s="20">
        <f>SUMIF(Tabla2[Energético],A30,Tabla2[Consumo energía '[MJ/año']])</f>
        <v>16391681.104300516</v>
      </c>
      <c r="C30" s="18">
        <f>Acuicultura!$B30/1000000</f>
        <v>16.391681104300517</v>
      </c>
      <c r="D30" s="19">
        <f>B30/$B$32</f>
        <v>0.87440218791698876</v>
      </c>
    </row>
    <row r="31" spans="1:14" x14ac:dyDescent="0.2">
      <c r="A31" s="16" t="s">
        <v>9</v>
      </c>
      <c r="B31" s="20">
        <f>SUMIF(Tabla2[Energético],A31,Tabla2[Consumo energía '[MJ/año']])</f>
        <v>620891.91501846246</v>
      </c>
      <c r="C31" s="18">
        <f>Acuicultura!$B31/1000000</f>
        <v>0.62089191501846241</v>
      </c>
      <c r="D31" s="19">
        <f>B31/$B$32</f>
        <v>3.3121023127376192E-2</v>
      </c>
    </row>
    <row r="32" spans="1:14" x14ac:dyDescent="0.2">
      <c r="A32" s="63" t="s">
        <v>63</v>
      </c>
      <c r="B32" s="64">
        <f>SUM(B29:B31)</f>
        <v>18746157.467136458</v>
      </c>
      <c r="C32" s="64">
        <f t="shared" ref="C32:D32" si="0">SUM(C29:C31)</f>
        <v>18.746157467136456</v>
      </c>
      <c r="D32" s="65">
        <f t="shared" si="0"/>
        <v>0.99999999999999989</v>
      </c>
    </row>
    <row r="36" spans="1:14" ht="18" x14ac:dyDescent="0.25">
      <c r="A36" s="40" t="s">
        <v>29</v>
      </c>
      <c r="B36" s="40"/>
      <c r="C36" s="40"/>
    </row>
    <row r="37" spans="1:14" x14ac:dyDescent="0.2">
      <c r="A37" s="9" t="str">
        <f>+A8</f>
        <v>Grupo Homogeneo</v>
      </c>
      <c r="B37" s="9" t="s">
        <v>24</v>
      </c>
      <c r="C37" s="9" t="s">
        <v>49</v>
      </c>
      <c r="D37" s="9" t="s">
        <v>25</v>
      </c>
    </row>
    <row r="38" spans="1:14" x14ac:dyDescent="0.2">
      <c r="A38" s="10" t="str">
        <f>+$B$8</f>
        <v>Acuicultura</v>
      </c>
      <c r="B38" s="11">
        <f>SUM(Tabla2[Indicador])</f>
        <v>118286.1000860717</v>
      </c>
      <c r="C38" s="11">
        <f>B38/1000000</f>
        <v>0.1182861000860717</v>
      </c>
      <c r="D38" s="11">
        <f>B38/$B$10</f>
        <v>11828.610008607171</v>
      </c>
    </row>
    <row r="44" spans="1:14" ht="25.5" x14ac:dyDescent="0.2">
      <c r="C44" s="28" t="s">
        <v>38</v>
      </c>
    </row>
    <row r="45" spans="1:14" ht="18" x14ac:dyDescent="0.25">
      <c r="A45" s="41" t="s">
        <v>50</v>
      </c>
      <c r="B45" s="42"/>
      <c r="C45" s="29">
        <v>0.57999999999999996</v>
      </c>
      <c r="G45" s="43" t="s">
        <v>59</v>
      </c>
      <c r="H45" s="43"/>
      <c r="I45" s="43"/>
      <c r="J45" s="43"/>
      <c r="K45" s="43"/>
      <c r="L45" s="46"/>
      <c r="N45" s="12" t="s">
        <v>62</v>
      </c>
    </row>
    <row r="46" spans="1:14" ht="31.5" x14ac:dyDescent="0.25">
      <c r="A46" s="5" t="s">
        <v>26</v>
      </c>
      <c r="B46" s="13" t="s">
        <v>36</v>
      </c>
      <c r="C46" s="4"/>
      <c r="J46" s="3" t="s">
        <v>22</v>
      </c>
      <c r="K46" s="3" t="s">
        <v>22</v>
      </c>
      <c r="L46" s="47">
        <f>SUM(Tabla22[Consumo energía '[MJ/año']])</f>
        <v>261079979.5761022</v>
      </c>
      <c r="N46" s="62">
        <f>SUM(Tabla22[Consumo energía corregida '[MJ/año']])</f>
        <v>57225112.268100753</v>
      </c>
    </row>
    <row r="47" spans="1:14" ht="35.25" customHeight="1" x14ac:dyDescent="0.2">
      <c r="A47" s="6" t="s">
        <v>13</v>
      </c>
      <c r="B47" s="7">
        <f>+C45*G4</f>
        <v>2207.1906960000001</v>
      </c>
      <c r="C47" s="27" t="s">
        <v>30</v>
      </c>
      <c r="G47" s="22" t="s">
        <v>16</v>
      </c>
      <c r="H47" s="23" t="s">
        <v>17</v>
      </c>
      <c r="I47" s="23" t="s">
        <v>18</v>
      </c>
      <c r="J47" s="24" t="s">
        <v>19</v>
      </c>
      <c r="K47" s="24" t="s">
        <v>20</v>
      </c>
      <c r="L47" s="61" t="s">
        <v>60</v>
      </c>
      <c r="M47" s="61" t="s">
        <v>1</v>
      </c>
      <c r="N47" s="61" t="s">
        <v>61</v>
      </c>
    </row>
    <row r="48" spans="1:14" s="2" customFormat="1" x14ac:dyDescent="0.2">
      <c r="A48" s="6" t="s">
        <v>14</v>
      </c>
      <c r="B48" s="7">
        <v>50</v>
      </c>
      <c r="C48" s="27" t="s">
        <v>57</v>
      </c>
      <c r="D48"/>
      <c r="G48" s="25" t="s">
        <v>36</v>
      </c>
      <c r="H48" s="26" t="s">
        <v>41</v>
      </c>
      <c r="I48" s="26" t="s">
        <v>2</v>
      </c>
      <c r="J48" s="26" t="s">
        <v>21</v>
      </c>
      <c r="K48" s="26">
        <v>90795.6</v>
      </c>
      <c r="L48" s="48">
        <f>Tabla22[[#This Row],[Indicador]]*$B$47</f>
        <v>200403203.55773762</v>
      </c>
      <c r="M48" s="52">
        <f>+Tabla22[[#This Row],[Consumo energía '[MJ/año']]]/$L$46</f>
        <v>0.76759314859423022</v>
      </c>
      <c r="N48" s="49">
        <f>IF(Tabla22[[#This Row],[Energético]]="Energía Eléctrica",((Tabla22[[#This Row],[Participación]]*$D$67)/SUMIF(Tabla22[Energético],"Energía Eléctrica",Tabla22[Participación]))*$B$70,Tabla22[[#This Row],[Consumo energía '[MJ/año']]])</f>
        <v>5070755.8663338646</v>
      </c>
    </row>
    <row r="49" spans="1:14" ht="25.5" x14ac:dyDescent="0.2">
      <c r="A49" s="8" t="s">
        <v>15</v>
      </c>
      <c r="B49" s="21">
        <f>+C45*D49</f>
        <v>1469998.5083832419</v>
      </c>
      <c r="C49" s="27" t="s">
        <v>55</v>
      </c>
      <c r="D49" s="7">
        <v>2534480.1868676585</v>
      </c>
      <c r="E49" s="27" t="s">
        <v>56</v>
      </c>
      <c r="G49" s="25" t="s">
        <v>36</v>
      </c>
      <c r="H49" s="26" t="s">
        <v>42</v>
      </c>
      <c r="I49" s="26" t="s">
        <v>3</v>
      </c>
      <c r="J49" s="26" t="s">
        <v>21</v>
      </c>
      <c r="K49" s="26">
        <v>4658.9523809523798</v>
      </c>
      <c r="L49" s="48">
        <f>Tabla22[[#This Row],[Indicador]]*$B$47</f>
        <v>10283196.34834514</v>
      </c>
      <c r="M49" s="53">
        <f>+Tabla22[[#This Row],[Consumo energía '[MJ/año']]]/$L$46</f>
        <v>3.9387150117911246E-2</v>
      </c>
      <c r="N49" s="50">
        <f>IF(Tabla22[[#This Row],[Energético]]="Energía Eléctrica",((Tabla22[[#This Row],[Participación]]*$D$67)/SUMIF(Tabla22[Energético],"Energía Eléctrica",Tabla22[Participación]))*$B$70,Tabla22[[#This Row],[Consumo energía '[MJ/año']]])</f>
        <v>10283196.34834514</v>
      </c>
    </row>
    <row r="50" spans="1:14" ht="25.5" x14ac:dyDescent="0.2">
      <c r="A50" s="8" t="s">
        <v>58</v>
      </c>
      <c r="B50" s="21">
        <f>+B49*3.6</f>
        <v>5291994.6301796716</v>
      </c>
      <c r="C50" s="1"/>
      <c r="G50" s="25" t="s">
        <v>36</v>
      </c>
      <c r="H50" s="26" t="s">
        <v>42</v>
      </c>
      <c r="I50" s="26" t="s">
        <v>2</v>
      </c>
      <c r="J50" s="26" t="s">
        <v>21</v>
      </c>
      <c r="K50" s="26">
        <v>22.755552000000002</v>
      </c>
      <c r="L50" s="48">
        <f>Tabla22[[#This Row],[Indicador]]*$B$47</f>
        <v>50225.8426567442</v>
      </c>
      <c r="M50" s="53">
        <f>+Tabla22[[#This Row],[Consumo energía '[MJ/año']]]/$L$46</f>
        <v>1.923772276154322E-4</v>
      </c>
      <c r="N50" s="50">
        <f>IF(Tabla22[[#This Row],[Energético]]="Energía Eléctrica",((Tabla22[[#This Row],[Participación]]*$D$67)/SUMIF(Tabla22[Energético],"Energía Eléctrica",Tabla22[Participación]))*$B$70,Tabla22[[#This Row],[Consumo energía '[MJ/año']]])</f>
        <v>1270.8528694745708</v>
      </c>
    </row>
    <row r="51" spans="1:14" x14ac:dyDescent="0.2">
      <c r="G51" s="25" t="s">
        <v>36</v>
      </c>
      <c r="H51" s="26" t="s">
        <v>42</v>
      </c>
      <c r="I51" s="26" t="s">
        <v>9</v>
      </c>
      <c r="J51" s="26" t="s">
        <v>21</v>
      </c>
      <c r="K51" s="26">
        <v>858.71794871794998</v>
      </c>
      <c r="L51" s="48">
        <f>Tabla22[[#This Row],[Indicador]]*$B$47</f>
        <v>1895354.2668984644</v>
      </c>
      <c r="M51" s="53">
        <f>+Tabla22[[#This Row],[Consumo energía '[MJ/año']]]/$L$46</f>
        <v>7.2596691250544076E-3</v>
      </c>
      <c r="N51" s="50">
        <f>IF(Tabla22[[#This Row],[Energético]]="Energía Eléctrica",((Tabla22[[#This Row],[Participación]]*$D$67)/SUMIF(Tabla22[Energético],"Energía Eléctrica",Tabla22[Participación]))*$B$70,Tabla22[[#This Row],[Consumo energía '[MJ/año']]])</f>
        <v>1895354.2668984644</v>
      </c>
    </row>
    <row r="52" spans="1:14" x14ac:dyDescent="0.2">
      <c r="G52" s="25" t="s">
        <v>36</v>
      </c>
      <c r="H52" s="26" t="s">
        <v>43</v>
      </c>
      <c r="I52" s="26" t="s">
        <v>2</v>
      </c>
      <c r="J52" s="26" t="s">
        <v>21</v>
      </c>
      <c r="K52" s="26">
        <v>6.1714285714299999</v>
      </c>
      <c r="L52" s="48">
        <f>Tabla22[[#This Row],[Indicador]]*$B$47</f>
        <v>13621.519723888869</v>
      </c>
      <c r="M52" s="53">
        <f>+Tabla22[[#This Row],[Consumo energía '[MJ/año']]]/$L$46</f>
        <v>5.2173742873755407E-5</v>
      </c>
      <c r="N52" s="50">
        <f>IF(Tabla22[[#This Row],[Energético]]="Energía Eléctrica",((Tabla22[[#This Row],[Participación]]*$D$67)/SUMIF(Tabla22[Energético],"Energía Eléctrica",Tabla22[Participación]))*$B$70,Tabla22[[#This Row],[Consumo energía '[MJ/año']]])</f>
        <v>344.6621601954181</v>
      </c>
    </row>
    <row r="53" spans="1:14" x14ac:dyDescent="0.2">
      <c r="G53" s="25" t="s">
        <v>36</v>
      </c>
      <c r="H53" s="26" t="s">
        <v>44</v>
      </c>
      <c r="I53" s="26" t="s">
        <v>2</v>
      </c>
      <c r="J53" s="26" t="s">
        <v>21</v>
      </c>
      <c r="K53" s="26">
        <v>3768.7440257088401</v>
      </c>
      <c r="L53" s="48">
        <f>Tabla22[[#This Row],[Indicador]]*$B$47</f>
        <v>8318336.7491501374</v>
      </c>
      <c r="M53" s="53">
        <f>+Tabla22[[#This Row],[Consumo energía '[MJ/año']]]/$L$46</f>
        <v>3.1861258617593181E-2</v>
      </c>
      <c r="N53" s="50">
        <f>IF(Tabla22[[#This Row],[Energético]]="Energía Eléctrica",((Tabla22[[#This Row],[Participación]]*$D$67)/SUMIF(Tabla22[Energético],"Energía Eléctrica",Tabla22[Participación]))*$B$70,Tabla22[[#This Row],[Consumo energía '[MJ/año']]])</f>
        <v>210476.9490710322</v>
      </c>
    </row>
    <row r="54" spans="1:14" x14ac:dyDescent="0.2">
      <c r="G54" s="25" t="s">
        <v>36</v>
      </c>
      <c r="H54" s="26" t="s">
        <v>45</v>
      </c>
      <c r="I54" s="26" t="s">
        <v>3</v>
      </c>
      <c r="J54" s="26" t="s">
        <v>21</v>
      </c>
      <c r="K54" s="26">
        <v>11882.039473198</v>
      </c>
      <c r="L54" s="48">
        <f>Tabla22[[#This Row],[Indicador]]*$B$47</f>
        <v>26225926.974747367</v>
      </c>
      <c r="M54" s="53">
        <f>+Tabla22[[#This Row],[Consumo energía '[MJ/año']]]/$L$46</f>
        <v>0.10045169689889137</v>
      </c>
      <c r="N54" s="50">
        <f>IF(Tabla22[[#This Row],[Energético]]="Energía Eléctrica",((Tabla22[[#This Row],[Participación]]*$D$67)/SUMIF(Tabla22[Energético],"Energía Eléctrica",Tabla22[Participación]))*$B$70,Tabla22[[#This Row],[Consumo energía '[MJ/año']]])</f>
        <v>26225926.974747367</v>
      </c>
    </row>
    <row r="55" spans="1:14" x14ac:dyDescent="0.2">
      <c r="G55" s="25" t="s">
        <v>36</v>
      </c>
      <c r="H55" s="26" t="s">
        <v>45</v>
      </c>
      <c r="I55" s="26" t="s">
        <v>2</v>
      </c>
      <c r="J55" s="26" t="s">
        <v>21</v>
      </c>
      <c r="K55" s="26">
        <v>99.34272</v>
      </c>
      <c r="L55" s="48">
        <f>Tabla22[[#This Row],[Indicador]]*$B$47</f>
        <v>219268.32729933312</v>
      </c>
      <c r="M55" s="53">
        <f>+Tabla22[[#This Row],[Consumo energía '[MJ/año']]]/$L$46</f>
        <v>8.3985117378722102E-4</v>
      </c>
      <c r="N55" s="50">
        <f>IF(Tabla22[[#This Row],[Energético]]="Energía Eléctrica",((Tabla22[[#This Row],[Participación]]*$D$67)/SUMIF(Tabla22[Energético],"Energía Eléctrica",Tabla22[Participación]))*$B$70,Tabla22[[#This Row],[Consumo energía '[MJ/año']]])</f>
        <v>5548.0957250963984</v>
      </c>
    </row>
    <row r="56" spans="1:14" x14ac:dyDescent="0.2">
      <c r="G56" s="25" t="s">
        <v>36</v>
      </c>
      <c r="H56" s="26" t="s">
        <v>46</v>
      </c>
      <c r="I56" s="26" t="s">
        <v>3</v>
      </c>
      <c r="J56" s="26" t="s">
        <v>21</v>
      </c>
      <c r="K56" s="26">
        <v>2026.23076923077</v>
      </c>
      <c r="L56" s="48">
        <f>Tabla22[[#This Row],[Indicador]]*$B$47</f>
        <v>4472277.7017950788</v>
      </c>
      <c r="M56" s="53">
        <f>+Tabla22[[#This Row],[Consumo energía '[MJ/año']]]/$L$46</f>
        <v>1.7129914400393367E-2</v>
      </c>
      <c r="N56" s="50">
        <f>IF(Tabla22[[#This Row],[Energético]]="Energía Eléctrica",((Tabla22[[#This Row],[Participación]]*$D$67)/SUMIF(Tabla22[Energético],"Energía Eléctrica",Tabla22[Participación]))*$B$70,Tabla22[[#This Row],[Consumo energía '[MJ/año']]])</f>
        <v>4472277.7017950788</v>
      </c>
    </row>
    <row r="57" spans="1:14" x14ac:dyDescent="0.2">
      <c r="G57" s="25" t="s">
        <v>36</v>
      </c>
      <c r="H57" s="26" t="s">
        <v>47</v>
      </c>
      <c r="I57" s="26" t="s">
        <v>3</v>
      </c>
      <c r="J57" s="26" t="s">
        <v>21</v>
      </c>
      <c r="K57" s="26">
        <v>4052.4615384615399</v>
      </c>
      <c r="L57" s="48">
        <f>Tabla22[[#This Row],[Indicador]]*$B$47</f>
        <v>8944555.4035901576</v>
      </c>
      <c r="M57" s="53">
        <f>+Tabla22[[#This Row],[Consumo energía '[MJ/año']]]/$L$46</f>
        <v>3.4259828800786735E-2</v>
      </c>
      <c r="N57" s="50">
        <f>IF(Tabla22[[#This Row],[Energético]]="Energía Eléctrica",((Tabla22[[#This Row],[Participación]]*$D$67)/SUMIF(Tabla22[Energético],"Energía Eléctrica",Tabla22[Participación]))*$B$70,Tabla22[[#This Row],[Consumo energía '[MJ/año']]])</f>
        <v>8944555.4035901576</v>
      </c>
    </row>
    <row r="58" spans="1:14" x14ac:dyDescent="0.2">
      <c r="G58" s="25" t="s">
        <v>36</v>
      </c>
      <c r="H58" s="26" t="s">
        <v>47</v>
      </c>
      <c r="I58" s="26" t="s">
        <v>2</v>
      </c>
      <c r="J58" s="26" t="s">
        <v>21</v>
      </c>
      <c r="K58" s="26">
        <v>64.428479999999993</v>
      </c>
      <c r="L58" s="48">
        <f>Tabla22[[#This Row],[Indicador]]*$B$47</f>
        <v>142205.94161342207</v>
      </c>
      <c r="M58" s="53">
        <f>+Tabla22[[#This Row],[Consumo energía '[MJ/año']]]/$L$46</f>
        <v>5.4468344085330548E-4</v>
      </c>
      <c r="N58" s="50">
        <f>IF(Tabla22[[#This Row],[Energético]]="Energía Eléctrica",((Tabla22[[#This Row],[Participación]]*$D$67)/SUMIF(Tabla22[Energético],"Energía Eléctrica",Tabla22[Participación]))*$B$70,Tabla22[[#This Row],[Consumo energía '[MJ/año']]])</f>
        <v>3598.2040200072915</v>
      </c>
    </row>
    <row r="59" spans="1:14" x14ac:dyDescent="0.2">
      <c r="G59" s="25" t="s">
        <v>36</v>
      </c>
      <c r="H59" s="26" t="s">
        <v>48</v>
      </c>
      <c r="I59" s="26" t="s">
        <v>3</v>
      </c>
      <c r="J59" s="26" t="s">
        <v>21</v>
      </c>
      <c r="K59" s="26">
        <v>50.655769230769998</v>
      </c>
      <c r="L59" s="48">
        <f>Tabla22[[#This Row],[Indicador]]*$B$47</f>
        <v>111806.94254487862</v>
      </c>
      <c r="M59" s="54">
        <f>+Tabla22[[#This Row],[Consumo energía '[MJ/año']]]/$L$46</f>
        <v>4.2824786000984045E-4</v>
      </c>
      <c r="N59" s="55">
        <f>IF(Tabla22[[#This Row],[Energético]]="Energía Eléctrica",((Tabla22[[#This Row],[Participación]]*$D$67)/SUMIF(Tabla22[Energético],"Energía Eléctrica",Tabla22[Participación]))*$B$70,Tabla22[[#This Row],[Consumo energía '[MJ/año']]])</f>
        <v>111806.94254487862</v>
      </c>
    </row>
    <row r="64" spans="1:14" ht="15.75" x14ac:dyDescent="0.25">
      <c r="A64" s="43" t="s">
        <v>23</v>
      </c>
      <c r="B64" s="43"/>
      <c r="C64" s="43"/>
      <c r="D64" s="43"/>
    </row>
    <row r="66" spans="1:14" x14ac:dyDescent="0.2">
      <c r="A66" s="15" t="s">
        <v>0</v>
      </c>
      <c r="B66" s="15" t="s">
        <v>27</v>
      </c>
      <c r="C66" s="15" t="s">
        <v>28</v>
      </c>
      <c r="D66" s="15" t="s">
        <v>1</v>
      </c>
    </row>
    <row r="67" spans="1:14" x14ac:dyDescent="0.2">
      <c r="A67" s="16" t="s">
        <v>2</v>
      </c>
      <c r="B67" s="17">
        <f>B50</f>
        <v>5291994.6301796716</v>
      </c>
      <c r="C67" s="18">
        <f>Acuicultura!$B67/1000000</f>
        <v>5.2919946301796719</v>
      </c>
      <c r="D67" s="19">
        <f>B67/$B$70</f>
        <v>9.2476788955634978E-2</v>
      </c>
    </row>
    <row r="68" spans="1:14" x14ac:dyDescent="0.2">
      <c r="A68" s="16" t="s">
        <v>3</v>
      </c>
      <c r="B68" s="20">
        <f>SUMIF(Tabla22[Energético],A68,Tabla22[Consumo energía '[MJ/año']])</f>
        <v>50037763.371022619</v>
      </c>
      <c r="C68" s="18">
        <f>Acuicultura!$B68/1000000</f>
        <v>50.037763371022621</v>
      </c>
      <c r="D68" s="19">
        <f>B68/$B$70</f>
        <v>0.87440218791698887</v>
      </c>
    </row>
    <row r="69" spans="1:14" x14ac:dyDescent="0.2">
      <c r="A69" s="16" t="s">
        <v>9</v>
      </c>
      <c r="B69" s="20">
        <f>SUMIF(Tabla22[Energético],A69,Tabla22[Consumo energía '[MJ/año']])</f>
        <v>1895354.2668984644</v>
      </c>
      <c r="C69" s="18">
        <f>Acuicultura!$B69/1000000</f>
        <v>1.8953542668984644</v>
      </c>
      <c r="D69" s="19">
        <f>B69/$B$70</f>
        <v>3.3121023127376199E-2</v>
      </c>
    </row>
    <row r="70" spans="1:14" x14ac:dyDescent="0.2">
      <c r="A70" s="63" t="s">
        <v>63</v>
      </c>
      <c r="B70" s="64">
        <f>SUM(B67:B69)</f>
        <v>57225112.268100753</v>
      </c>
      <c r="C70" s="64">
        <f t="shared" ref="C70:D70" si="1">SUM(C67:C69)</f>
        <v>57.225112268100759</v>
      </c>
      <c r="D70" s="65">
        <f t="shared" si="1"/>
        <v>1</v>
      </c>
    </row>
    <row r="73" spans="1:14" ht="18" x14ac:dyDescent="0.25">
      <c r="A73" s="40" t="s">
        <v>29</v>
      </c>
      <c r="B73" s="40"/>
      <c r="C73" s="40"/>
    </row>
    <row r="74" spans="1:14" x14ac:dyDescent="0.2">
      <c r="A74" s="9" t="str">
        <f>+A46</f>
        <v>Grupo Homogeneo</v>
      </c>
      <c r="B74" s="9" t="s">
        <v>24</v>
      </c>
      <c r="C74" s="9" t="s">
        <v>49</v>
      </c>
      <c r="D74" s="9" t="s">
        <v>25</v>
      </c>
    </row>
    <row r="75" spans="1:14" x14ac:dyDescent="0.2">
      <c r="A75" s="10" t="str">
        <f>+$B$8</f>
        <v>Acuicultura</v>
      </c>
      <c r="B75" s="11">
        <f>SUM(Tabla22[Indicador])</f>
        <v>118286.1000860717</v>
      </c>
      <c r="C75" s="11">
        <f>B75/1000000</f>
        <v>0.1182861000860717</v>
      </c>
      <c r="D75" s="11">
        <f>B75/B48</f>
        <v>2365.722001721434</v>
      </c>
    </row>
    <row r="79" spans="1:14" ht="25.5" x14ac:dyDescent="0.2">
      <c r="C79" s="28" t="s">
        <v>38</v>
      </c>
    </row>
    <row r="80" spans="1:14" ht="18" x14ac:dyDescent="0.25">
      <c r="A80" s="41" t="s">
        <v>51</v>
      </c>
      <c r="B80" s="42"/>
      <c r="C80" s="29">
        <v>0.16</v>
      </c>
      <c r="G80" s="43" t="s">
        <v>59</v>
      </c>
      <c r="H80" s="43"/>
      <c r="I80" s="43"/>
      <c r="J80" s="43"/>
      <c r="K80" s="43"/>
      <c r="L80" s="46"/>
      <c r="N80" s="12" t="s">
        <v>62</v>
      </c>
    </row>
    <row r="81" spans="1:14" ht="31.5" x14ac:dyDescent="0.25">
      <c r="A81" s="5" t="s">
        <v>26</v>
      </c>
      <c r="B81" s="13" t="s">
        <v>36</v>
      </c>
      <c r="C81" s="4"/>
      <c r="J81" s="3" t="s">
        <v>22</v>
      </c>
      <c r="K81" s="3" t="s">
        <v>22</v>
      </c>
      <c r="L81" s="47">
        <f>SUM(Tabla224[Consumo energía '[MJ/año']])</f>
        <v>72022063.33133857</v>
      </c>
      <c r="N81" s="62">
        <f>SUM(Tabla224[Consumo energía corregida '[MJ/año']])</f>
        <v>15786237.867062282</v>
      </c>
    </row>
    <row r="82" spans="1:14" ht="35.25" customHeight="1" x14ac:dyDescent="0.2">
      <c r="A82" s="6" t="s">
        <v>13</v>
      </c>
      <c r="B82" s="7">
        <f>+C80*G4</f>
        <v>608.88019200000008</v>
      </c>
      <c r="C82" s="27" t="s">
        <v>30</v>
      </c>
      <c r="G82" s="22" t="s">
        <v>16</v>
      </c>
      <c r="H82" s="23" t="s">
        <v>17</v>
      </c>
      <c r="I82" s="23" t="s">
        <v>18</v>
      </c>
      <c r="J82" s="24" t="s">
        <v>19</v>
      </c>
      <c r="K82" s="24" t="s">
        <v>20</v>
      </c>
      <c r="L82" s="61" t="s">
        <v>60</v>
      </c>
      <c r="M82" s="61" t="s">
        <v>1</v>
      </c>
      <c r="N82" s="61" t="s">
        <v>61</v>
      </c>
    </row>
    <row r="83" spans="1:14" s="2" customFormat="1" x14ac:dyDescent="0.2">
      <c r="A83" s="6" t="s">
        <v>14</v>
      </c>
      <c r="B83" s="7">
        <v>200</v>
      </c>
      <c r="C83" s="27" t="s">
        <v>57</v>
      </c>
      <c r="D83"/>
      <c r="G83" s="25" t="s">
        <v>36</v>
      </c>
      <c r="H83" s="26" t="s">
        <v>41</v>
      </c>
      <c r="I83" s="26" t="s">
        <v>2</v>
      </c>
      <c r="J83" s="26" t="s">
        <v>21</v>
      </c>
      <c r="K83" s="26">
        <v>90795.6</v>
      </c>
      <c r="L83" s="48">
        <f>Tabla224[[#This Row],[Indicador]]*$B$82</f>
        <v>55283642.360755213</v>
      </c>
      <c r="M83" s="52">
        <f>+Tabla224[[#This Row],[Consumo energía '[MJ/año']]]/$L$81</f>
        <v>0.76759314859423</v>
      </c>
      <c r="N83" s="49">
        <f>IF(Tabla224[[#This Row],[Energético]]="Energía Eléctrica",((Tabla224[[#This Row],[Participación]]*$D$102)/SUMIF(Tabla224[Energético],"Energía Eléctrica",Tabla224[Participación]))*$B$105,Tabla224[[#This Row],[Consumo energía '[MJ/año']]])</f>
        <v>1398829.2045058936</v>
      </c>
    </row>
    <row r="84" spans="1:14" ht="25.5" x14ac:dyDescent="0.2">
      <c r="A84" s="8" t="s">
        <v>15</v>
      </c>
      <c r="B84" s="21">
        <f>+C80*D84</f>
        <v>405516.82989882538</v>
      </c>
      <c r="C84" s="27" t="s">
        <v>55</v>
      </c>
      <c r="D84" s="7">
        <v>2534480.1868676585</v>
      </c>
      <c r="E84" s="27" t="s">
        <v>56</v>
      </c>
      <c r="G84" s="25" t="s">
        <v>36</v>
      </c>
      <c r="H84" s="26" t="s">
        <v>42</v>
      </c>
      <c r="I84" s="26" t="s">
        <v>3</v>
      </c>
      <c r="J84" s="26" t="s">
        <v>21</v>
      </c>
      <c r="K84" s="26">
        <v>4658.9523809523798</v>
      </c>
      <c r="L84" s="48">
        <f>Tabla224[[#This Row],[Indicador]]*$B$82</f>
        <v>2836743.8202331425</v>
      </c>
      <c r="M84" s="53">
        <f>+Tabla224[[#This Row],[Consumo energía '[MJ/año']]]/$L$81</f>
        <v>3.9387150117911239E-2</v>
      </c>
      <c r="N84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2836743.8202331425</v>
      </c>
    </row>
    <row r="85" spans="1:14" ht="25.5" x14ac:dyDescent="0.2">
      <c r="A85" s="8" t="s">
        <v>58</v>
      </c>
      <c r="B85" s="21">
        <f>+B84*3.6</f>
        <v>1459860.5876357714</v>
      </c>
      <c r="C85" s="1"/>
      <c r="G85" s="25" t="s">
        <v>36</v>
      </c>
      <c r="H85" s="26" t="s">
        <v>42</v>
      </c>
      <c r="I85" s="26" t="s">
        <v>2</v>
      </c>
      <c r="J85" s="26" t="s">
        <v>21</v>
      </c>
      <c r="K85" s="26">
        <v>22.755552000000002</v>
      </c>
      <c r="L85" s="48">
        <f>Tabla224[[#This Row],[Indicador]]*$B$82</f>
        <v>13855.404870825987</v>
      </c>
      <c r="M85" s="53">
        <f>+Tabla224[[#This Row],[Consumo energía '[MJ/año']]]/$L$81</f>
        <v>1.9237722761543212E-4</v>
      </c>
      <c r="N85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350.58010192401946</v>
      </c>
    </row>
    <row r="86" spans="1:14" x14ac:dyDescent="0.2">
      <c r="G86" s="25" t="s">
        <v>36</v>
      </c>
      <c r="H86" s="26" t="s">
        <v>42</v>
      </c>
      <c r="I86" s="26" t="s">
        <v>9</v>
      </c>
      <c r="J86" s="26" t="s">
        <v>21</v>
      </c>
      <c r="K86" s="26">
        <v>858.71794871794998</v>
      </c>
      <c r="L86" s="48">
        <f>Tabla224[[#This Row],[Indicador]]*$B$82</f>
        <v>522856.34948923159</v>
      </c>
      <c r="M86" s="53">
        <f>+Tabla224[[#This Row],[Consumo energía '[MJ/año']]]/$L$81</f>
        <v>7.259669125054405E-3</v>
      </c>
      <c r="N86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522856.34948923159</v>
      </c>
    </row>
    <row r="87" spans="1:14" x14ac:dyDescent="0.2">
      <c r="G87" s="25" t="s">
        <v>36</v>
      </c>
      <c r="H87" s="26" t="s">
        <v>43</v>
      </c>
      <c r="I87" s="26" t="s">
        <v>2</v>
      </c>
      <c r="J87" s="26" t="s">
        <v>21</v>
      </c>
      <c r="K87" s="26">
        <v>6.1714285714299999</v>
      </c>
      <c r="L87" s="48">
        <f>Tabla224[[#This Row],[Indicador]]*$B$82</f>
        <v>3757.6606134865847</v>
      </c>
      <c r="M87" s="53">
        <f>+Tabla224[[#This Row],[Consumo energía '[MJ/año']]]/$L$81</f>
        <v>5.2173742873755386E-5</v>
      </c>
      <c r="N87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95.079216605632553</v>
      </c>
    </row>
    <row r="88" spans="1:14" x14ac:dyDescent="0.2">
      <c r="G88" s="25" t="s">
        <v>36</v>
      </c>
      <c r="H88" s="26" t="s">
        <v>44</v>
      </c>
      <c r="I88" s="26" t="s">
        <v>2</v>
      </c>
      <c r="J88" s="26" t="s">
        <v>21</v>
      </c>
      <c r="K88" s="26">
        <v>3768.7440257088401</v>
      </c>
      <c r="L88" s="48">
        <f>Tabla224[[#This Row],[Indicador]]*$B$82</f>
        <v>2294713.5859724516</v>
      </c>
      <c r="M88" s="53">
        <f>+Tabla224[[#This Row],[Consumo energía '[MJ/año']]]/$L$81</f>
        <v>3.1861258617593161E-2</v>
      </c>
      <c r="N88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58062.606640284706</v>
      </c>
    </row>
    <row r="89" spans="1:14" x14ac:dyDescent="0.2">
      <c r="G89" s="25" t="s">
        <v>36</v>
      </c>
      <c r="H89" s="26" t="s">
        <v>45</v>
      </c>
      <c r="I89" s="26" t="s">
        <v>3</v>
      </c>
      <c r="J89" s="26" t="s">
        <v>21</v>
      </c>
      <c r="K89" s="26">
        <v>11882.039473198</v>
      </c>
      <c r="L89" s="48">
        <f>Tabla224[[#This Row],[Indicador]]*$B$82</f>
        <v>7234738.4757923782</v>
      </c>
      <c r="M89" s="53">
        <f>+Tabla224[[#This Row],[Consumo energía '[MJ/año']]]/$L$81</f>
        <v>0.10045169689889134</v>
      </c>
      <c r="N89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7234738.4757923782</v>
      </c>
    </row>
    <row r="90" spans="1:14" x14ac:dyDescent="0.2">
      <c r="G90" s="25" t="s">
        <v>36</v>
      </c>
      <c r="H90" s="26" t="s">
        <v>45</v>
      </c>
      <c r="I90" s="26" t="s">
        <v>2</v>
      </c>
      <c r="J90" s="26" t="s">
        <v>21</v>
      </c>
      <c r="K90" s="26">
        <v>99.34272</v>
      </c>
      <c r="L90" s="48">
        <f>Tabla224[[#This Row],[Indicador]]*$B$82</f>
        <v>60487.814427402249</v>
      </c>
      <c r="M90" s="53">
        <f>+Tabla224[[#This Row],[Consumo energía '[MJ/año']]]/$L$81</f>
        <v>8.398511737872208E-4</v>
      </c>
      <c r="N90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1530.5091655438341</v>
      </c>
    </row>
    <row r="91" spans="1:14" x14ac:dyDescent="0.2">
      <c r="G91" s="25" t="s">
        <v>36</v>
      </c>
      <c r="H91" s="26" t="s">
        <v>46</v>
      </c>
      <c r="I91" s="26" t="s">
        <v>3</v>
      </c>
      <c r="J91" s="26" t="s">
        <v>21</v>
      </c>
      <c r="K91" s="26">
        <v>2026.23076923077</v>
      </c>
      <c r="L91" s="48">
        <f>Tabla224[[#This Row],[Indicador]]*$B$82</f>
        <v>1233731.7798055392</v>
      </c>
      <c r="M91" s="53">
        <f>+Tabla224[[#This Row],[Consumo energía '[MJ/año']]]/$L$81</f>
        <v>1.712991440039336E-2</v>
      </c>
      <c r="N91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1233731.7798055392</v>
      </c>
    </row>
    <row r="92" spans="1:14" x14ac:dyDescent="0.2">
      <c r="G92" s="25" t="s">
        <v>36</v>
      </c>
      <c r="H92" s="26" t="s">
        <v>47</v>
      </c>
      <c r="I92" s="26" t="s">
        <v>3</v>
      </c>
      <c r="J92" s="26" t="s">
        <v>21</v>
      </c>
      <c r="K92" s="26">
        <v>4052.4615384615399</v>
      </c>
      <c r="L92" s="48">
        <f>Tabla224[[#This Row],[Indicador]]*$B$82</f>
        <v>2467463.5596110784</v>
      </c>
      <c r="M92" s="53">
        <f>+Tabla224[[#This Row],[Consumo energía '[MJ/año']]]/$L$81</f>
        <v>3.4259828800786721E-2</v>
      </c>
      <c r="N92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2467463.5596110784</v>
      </c>
    </row>
    <row r="93" spans="1:14" x14ac:dyDescent="0.2">
      <c r="G93" s="25" t="s">
        <v>36</v>
      </c>
      <c r="H93" s="26" t="s">
        <v>47</v>
      </c>
      <c r="I93" s="26" t="s">
        <v>2</v>
      </c>
      <c r="J93" s="26" t="s">
        <v>21</v>
      </c>
      <c r="K93" s="26">
        <v>64.428479999999993</v>
      </c>
      <c r="L93" s="48">
        <f>Tabla224[[#This Row],[Indicador]]*$B$82</f>
        <v>39229.225272668162</v>
      </c>
      <c r="M93" s="53">
        <f>+Tabla224[[#This Row],[Consumo energía '[MJ/año']]]/$L$81</f>
        <v>5.4468344085330537E-4</v>
      </c>
      <c r="N93" s="50">
        <f>IF(Tabla224[[#This Row],[Energético]]="Energía Eléctrica",((Tabla224[[#This Row],[Participación]]*$D$102)/SUMIF(Tabla224[Energético],"Energía Eléctrica",Tabla224[Participación]))*$B$105,Tabla224[[#This Row],[Consumo energía '[MJ/año']]])</f>
        <v>992.60800551925297</v>
      </c>
    </row>
    <row r="94" spans="1:14" x14ac:dyDescent="0.2">
      <c r="G94" s="25" t="s">
        <v>36</v>
      </c>
      <c r="H94" s="26" t="s">
        <v>48</v>
      </c>
      <c r="I94" s="26" t="s">
        <v>3</v>
      </c>
      <c r="J94" s="26" t="s">
        <v>21</v>
      </c>
      <c r="K94" s="26">
        <v>50.655769230769998</v>
      </c>
      <c r="L94" s="48">
        <f>Tabla224[[#This Row],[Indicador]]*$B$82</f>
        <v>30843.294495138933</v>
      </c>
      <c r="M94" s="58">
        <f>+Tabla224[[#This Row],[Consumo energía '[MJ/año']]]/$L$81</f>
        <v>4.2824786000984029E-4</v>
      </c>
      <c r="N94" s="51">
        <f>IF(Tabla224[[#This Row],[Energético]]="Energía Eléctrica",((Tabla224[[#This Row],[Participación]]*$D$102)/SUMIF(Tabla224[Energético],"Energía Eléctrica",Tabla224[Participación]))*$B$105,Tabla224[[#This Row],[Consumo energía '[MJ/año']]])</f>
        <v>30843.294495138933</v>
      </c>
    </row>
    <row r="99" spans="1:4" ht="15.75" x14ac:dyDescent="0.25">
      <c r="A99" s="43" t="s">
        <v>23</v>
      </c>
      <c r="B99" s="43"/>
      <c r="C99" s="43"/>
      <c r="D99" s="43"/>
    </row>
    <row r="101" spans="1:4" x14ac:dyDescent="0.2">
      <c r="A101" s="15" t="s">
        <v>0</v>
      </c>
      <c r="B101" s="15" t="s">
        <v>27</v>
      </c>
      <c r="C101" s="15" t="s">
        <v>28</v>
      </c>
      <c r="D101" s="15" t="s">
        <v>1</v>
      </c>
    </row>
    <row r="102" spans="1:4" x14ac:dyDescent="0.2">
      <c r="A102" s="16" t="s">
        <v>2</v>
      </c>
      <c r="B102" s="17">
        <f>B85</f>
        <v>1459860.5876357714</v>
      </c>
      <c r="C102" s="18">
        <f>Acuicultura!$B102/1000000</f>
        <v>1.4598605876357713</v>
      </c>
      <c r="D102" s="19">
        <f>B102/$B$105</f>
        <v>9.2476788955634964E-2</v>
      </c>
    </row>
    <row r="103" spans="1:4" x14ac:dyDescent="0.2">
      <c r="A103" s="16" t="s">
        <v>3</v>
      </c>
      <c r="B103" s="20">
        <f>SUMIF(Tabla224[Energético],A103,Tabla224[Consumo energía '[MJ/año']])</f>
        <v>13803520.929937277</v>
      </c>
      <c r="C103" s="18">
        <f>Acuicultura!$B103/1000000</f>
        <v>13.803520929937276</v>
      </c>
      <c r="D103" s="19">
        <f>B103/$B$105</f>
        <v>0.87440218791698898</v>
      </c>
    </row>
    <row r="104" spans="1:4" x14ac:dyDescent="0.2">
      <c r="A104" s="16" t="s">
        <v>9</v>
      </c>
      <c r="B104" s="20">
        <f>SUMIF(Tabla224[Energético],A104,Tabla224[Consumo energía '[MJ/año']])</f>
        <v>522856.34948923159</v>
      </c>
      <c r="C104" s="18">
        <f>Acuicultura!$B104/1000000</f>
        <v>0.52285634948923154</v>
      </c>
      <c r="D104" s="19">
        <f>B104/$B$105</f>
        <v>3.3121023127376199E-2</v>
      </c>
    </row>
    <row r="105" spans="1:4" x14ac:dyDescent="0.2">
      <c r="A105" s="63" t="s">
        <v>63</v>
      </c>
      <c r="B105" s="64">
        <f>SUM(B102:B104)</f>
        <v>15786237.867062278</v>
      </c>
      <c r="C105" s="64">
        <f t="shared" ref="C105:D105" si="2">SUM(C102:C104)</f>
        <v>15.78623786706228</v>
      </c>
      <c r="D105" s="65">
        <f t="shared" si="2"/>
        <v>1.0000000000000002</v>
      </c>
    </row>
    <row r="109" spans="1:4" ht="18" x14ac:dyDescent="0.25">
      <c r="A109" s="40" t="s">
        <v>29</v>
      </c>
      <c r="B109" s="40"/>
      <c r="C109" s="40"/>
    </row>
    <row r="110" spans="1:4" x14ac:dyDescent="0.2">
      <c r="A110" s="9" t="str">
        <f>+A81</f>
        <v>Grupo Homogeneo</v>
      </c>
      <c r="B110" s="9" t="s">
        <v>24</v>
      </c>
      <c r="C110" s="9" t="s">
        <v>49</v>
      </c>
      <c r="D110" s="9" t="s">
        <v>25</v>
      </c>
    </row>
    <row r="111" spans="1:4" x14ac:dyDescent="0.2">
      <c r="A111" s="10" t="str">
        <f>+$B$8</f>
        <v>Acuicultura</v>
      </c>
      <c r="B111" s="11">
        <f>SUM(Tabla224[Indicador])</f>
        <v>118286.1000860717</v>
      </c>
      <c r="C111" s="11">
        <f>B111/1000000</f>
        <v>0.1182861000860717</v>
      </c>
      <c r="D111" s="11">
        <f>B111/B83</f>
        <v>591.43050043035851</v>
      </c>
    </row>
    <row r="116" spans="1:14" ht="25.5" x14ac:dyDescent="0.2">
      <c r="C116" s="28" t="s">
        <v>38</v>
      </c>
    </row>
    <row r="117" spans="1:14" ht="18" x14ac:dyDescent="0.25">
      <c r="A117" s="41" t="s">
        <v>52</v>
      </c>
      <c r="B117" s="42"/>
      <c r="C117" s="29">
        <v>0.06</v>
      </c>
      <c r="G117" s="43" t="s">
        <v>59</v>
      </c>
      <c r="H117" s="43"/>
      <c r="I117" s="43"/>
      <c r="J117" s="43"/>
      <c r="K117" s="43"/>
      <c r="L117" s="46"/>
      <c r="N117" s="12" t="s">
        <v>62</v>
      </c>
    </row>
    <row r="118" spans="1:14" ht="31.5" x14ac:dyDescent="0.25">
      <c r="A118" s="5" t="s">
        <v>26</v>
      </c>
      <c r="B118" s="13" t="s">
        <v>36</v>
      </c>
      <c r="C118" s="4"/>
      <c r="J118" s="3" t="s">
        <v>22</v>
      </c>
      <c r="K118" s="3" t="s">
        <v>22</v>
      </c>
      <c r="L118" s="47">
        <f>SUM(Tabla2245[Consumo energía '[MJ/año']])</f>
        <v>27008273.749251958</v>
      </c>
      <c r="M118" s="59"/>
      <c r="N118" s="62">
        <f>SUM(Tabla2245[Consumo energía corregida '[MJ/año']])</f>
        <v>6011080.486875589</v>
      </c>
    </row>
    <row r="119" spans="1:14" ht="35.25" customHeight="1" x14ac:dyDescent="0.2">
      <c r="A119" s="6" t="s">
        <v>13</v>
      </c>
      <c r="B119" s="7">
        <f>+C117*G4</f>
        <v>228.330072</v>
      </c>
      <c r="C119" s="27" t="s">
        <v>30</v>
      </c>
      <c r="G119" s="22" t="s">
        <v>16</v>
      </c>
      <c r="H119" s="23" t="s">
        <v>17</v>
      </c>
      <c r="I119" s="23" t="s">
        <v>18</v>
      </c>
      <c r="J119" s="24" t="s">
        <v>19</v>
      </c>
      <c r="K119" s="24" t="s">
        <v>20</v>
      </c>
      <c r="L119" s="61" t="s">
        <v>60</v>
      </c>
      <c r="M119" s="61" t="s">
        <v>1</v>
      </c>
      <c r="N119" s="61" t="s">
        <v>61</v>
      </c>
    </row>
    <row r="120" spans="1:14" s="2" customFormat="1" x14ac:dyDescent="0.2">
      <c r="A120" s="6" t="s">
        <v>14</v>
      </c>
      <c r="B120" s="7">
        <v>50</v>
      </c>
      <c r="C120" s="27" t="s">
        <v>57</v>
      </c>
      <c r="D120"/>
      <c r="G120" s="25" t="s">
        <v>36</v>
      </c>
      <c r="H120" s="26" t="s">
        <v>41</v>
      </c>
      <c r="I120" s="26" t="s">
        <v>2</v>
      </c>
      <c r="J120" s="26" t="s">
        <v>21</v>
      </c>
      <c r="K120" s="26">
        <v>90795.6</v>
      </c>
      <c r="L120" s="48">
        <f>Tabla2245[[#This Row],[Indicador]]*$B$119</f>
        <v>20731365.885283202</v>
      </c>
      <c r="M120" s="52">
        <f>+Tabla2245[[#This Row],[Consumo energía '[MJ/año']]]/$L$118</f>
        <v>0.76759314859423011</v>
      </c>
      <c r="N120" s="49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611987.77697132831</v>
      </c>
    </row>
    <row r="121" spans="1:14" ht="25.5" x14ac:dyDescent="0.2">
      <c r="A121" s="8" t="s">
        <v>15</v>
      </c>
      <c r="B121" s="21">
        <f>(C117+1%)*D121</f>
        <v>177413.61308073608</v>
      </c>
      <c r="C121" s="27" t="s">
        <v>55</v>
      </c>
      <c r="D121" s="7">
        <v>2534480.1868676585</v>
      </c>
      <c r="E121" s="27" t="s">
        <v>56</v>
      </c>
      <c r="G121" s="25" t="s">
        <v>36</v>
      </c>
      <c r="H121" s="26" t="s">
        <v>42</v>
      </c>
      <c r="I121" s="26" t="s">
        <v>3</v>
      </c>
      <c r="J121" s="26" t="s">
        <v>21</v>
      </c>
      <c r="K121" s="26">
        <v>4658.9523809523798</v>
      </c>
      <c r="L121" s="48">
        <f>Tabla2245[[#This Row],[Indicador]]*$B$119</f>
        <v>1063778.9325874283</v>
      </c>
      <c r="M121" s="53">
        <f>+Tabla2245[[#This Row],[Consumo energía '[MJ/año']]]/$L$118</f>
        <v>3.9387150117911239E-2</v>
      </c>
      <c r="N121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1063778.9325874283</v>
      </c>
    </row>
    <row r="122" spans="1:14" ht="25.5" x14ac:dyDescent="0.2">
      <c r="A122" s="8" t="s">
        <v>58</v>
      </c>
      <c r="B122" s="21">
        <f>+B121*3.6</f>
        <v>638689.00709064992</v>
      </c>
      <c r="C122" s="1"/>
      <c r="G122" s="25" t="s">
        <v>36</v>
      </c>
      <c r="H122" s="26" t="s">
        <v>42</v>
      </c>
      <c r="I122" s="26" t="s">
        <v>2</v>
      </c>
      <c r="J122" s="26" t="s">
        <v>21</v>
      </c>
      <c r="K122" s="26">
        <v>22.755552000000002</v>
      </c>
      <c r="L122" s="48">
        <f>Tabla2245[[#This Row],[Indicador]]*$B$119</f>
        <v>5195.7768265597442</v>
      </c>
      <c r="M122" s="53">
        <f>+Tabla2245[[#This Row],[Consumo energía '[MJ/año']]]/$L$118</f>
        <v>1.9237722761543212E-4</v>
      </c>
      <c r="N122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153.37879459175846</v>
      </c>
    </row>
    <row r="123" spans="1:14" x14ac:dyDescent="0.2">
      <c r="G123" s="25" t="s">
        <v>36</v>
      </c>
      <c r="H123" s="26" t="s">
        <v>42</v>
      </c>
      <c r="I123" s="26" t="s">
        <v>9</v>
      </c>
      <c r="J123" s="26" t="s">
        <v>21</v>
      </c>
      <c r="K123" s="26">
        <v>858.71794871794998</v>
      </c>
      <c r="L123" s="48">
        <f>Tabla2245[[#This Row],[Indicador]]*$B$119</f>
        <v>196071.13105846182</v>
      </c>
      <c r="M123" s="53">
        <f>+Tabla2245[[#This Row],[Consumo energía '[MJ/año']]]/$L$118</f>
        <v>7.259669125054405E-3</v>
      </c>
      <c r="N123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196071.13105846182</v>
      </c>
    </row>
    <row r="124" spans="1:14" x14ac:dyDescent="0.2">
      <c r="G124" s="25" t="s">
        <v>36</v>
      </c>
      <c r="H124" s="26" t="s">
        <v>43</v>
      </c>
      <c r="I124" s="26" t="s">
        <v>2</v>
      </c>
      <c r="J124" s="26" t="s">
        <v>21</v>
      </c>
      <c r="K124" s="26">
        <v>6.1714285714299999</v>
      </c>
      <c r="L124" s="48">
        <f>Tabla2245[[#This Row],[Indicador]]*$B$119</f>
        <v>1409.122730057469</v>
      </c>
      <c r="M124" s="53">
        <f>+Tabla2245[[#This Row],[Consumo energía '[MJ/año']]]/$L$118</f>
        <v>5.2173742873755386E-5</v>
      </c>
      <c r="N124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41.597157264964224</v>
      </c>
    </row>
    <row r="125" spans="1:14" x14ac:dyDescent="0.2">
      <c r="G125" s="25" t="s">
        <v>36</v>
      </c>
      <c r="H125" s="26" t="s">
        <v>44</v>
      </c>
      <c r="I125" s="26" t="s">
        <v>2</v>
      </c>
      <c r="J125" s="26" t="s">
        <v>21</v>
      </c>
      <c r="K125" s="26">
        <v>3768.7440257088401</v>
      </c>
      <c r="L125" s="48">
        <f>Tabla2245[[#This Row],[Indicador]]*$B$119</f>
        <v>860517.59473966935</v>
      </c>
      <c r="M125" s="53">
        <f>+Tabla2245[[#This Row],[Consumo energía '[MJ/año']]]/$L$118</f>
        <v>3.1861258617593168E-2</v>
      </c>
      <c r="N125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25402.390405124563</v>
      </c>
    </row>
    <row r="126" spans="1:14" x14ac:dyDescent="0.2">
      <c r="G126" s="25" t="s">
        <v>36</v>
      </c>
      <c r="H126" s="26" t="s">
        <v>45</v>
      </c>
      <c r="I126" s="26" t="s">
        <v>3</v>
      </c>
      <c r="J126" s="26" t="s">
        <v>21</v>
      </c>
      <c r="K126" s="26">
        <v>11882.039473198</v>
      </c>
      <c r="L126" s="48">
        <f>Tabla2245[[#This Row],[Indicador]]*$B$119</f>
        <v>2713026.9284221414</v>
      </c>
      <c r="M126" s="53">
        <f>+Tabla2245[[#This Row],[Consumo energía '[MJ/año']]]/$L$118</f>
        <v>0.10045169689889134</v>
      </c>
      <c r="N126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2713026.9284221414</v>
      </c>
    </row>
    <row r="127" spans="1:14" x14ac:dyDescent="0.2">
      <c r="G127" s="25" t="s">
        <v>36</v>
      </c>
      <c r="H127" s="26" t="s">
        <v>45</v>
      </c>
      <c r="I127" s="26" t="s">
        <v>2</v>
      </c>
      <c r="J127" s="26" t="s">
        <v>21</v>
      </c>
      <c r="K127" s="26">
        <v>99.34272</v>
      </c>
      <c r="L127" s="48">
        <f>Tabla2245[[#This Row],[Indicador]]*$B$119</f>
        <v>22682.93041027584</v>
      </c>
      <c r="M127" s="53">
        <f>+Tabla2245[[#This Row],[Consumo energía '[MJ/año']]]/$L$118</f>
        <v>8.398511737872208E-4</v>
      </c>
      <c r="N127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669.59775992542723</v>
      </c>
    </row>
    <row r="128" spans="1:14" x14ac:dyDescent="0.2">
      <c r="G128" s="25" t="s">
        <v>36</v>
      </c>
      <c r="H128" s="26" t="s">
        <v>46</v>
      </c>
      <c r="I128" s="26" t="s">
        <v>3</v>
      </c>
      <c r="J128" s="26" t="s">
        <v>21</v>
      </c>
      <c r="K128" s="26">
        <v>2026.23076923077</v>
      </c>
      <c r="L128" s="48">
        <f>Tabla2245[[#This Row],[Indicador]]*$B$119</f>
        <v>462649.41742707707</v>
      </c>
      <c r="M128" s="53">
        <f>+Tabla2245[[#This Row],[Consumo energía '[MJ/año']]]/$L$118</f>
        <v>1.712991440039336E-2</v>
      </c>
      <c r="N128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462649.41742707707</v>
      </c>
    </row>
    <row r="129" spans="1:14" x14ac:dyDescent="0.2">
      <c r="G129" s="25" t="s">
        <v>36</v>
      </c>
      <c r="H129" s="26" t="s">
        <v>47</v>
      </c>
      <c r="I129" s="26" t="s">
        <v>3</v>
      </c>
      <c r="J129" s="26" t="s">
        <v>21</v>
      </c>
      <c r="K129" s="26">
        <v>4052.4615384615399</v>
      </c>
      <c r="L129" s="48">
        <f>Tabla2245[[#This Row],[Indicador]]*$B$119</f>
        <v>925298.83485415415</v>
      </c>
      <c r="M129" s="53">
        <f>+Tabla2245[[#This Row],[Consumo energía '[MJ/año']]]/$L$118</f>
        <v>3.4259828800786721E-2</v>
      </c>
      <c r="N129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925298.83485415415</v>
      </c>
    </row>
    <row r="130" spans="1:14" x14ac:dyDescent="0.2">
      <c r="G130" s="25" t="s">
        <v>36</v>
      </c>
      <c r="H130" s="26" t="s">
        <v>47</v>
      </c>
      <c r="I130" s="26" t="s">
        <v>2</v>
      </c>
      <c r="J130" s="26" t="s">
        <v>21</v>
      </c>
      <c r="K130" s="26">
        <v>64.428479999999993</v>
      </c>
      <c r="L130" s="48">
        <f>Tabla2245[[#This Row],[Indicador]]*$B$119</f>
        <v>14710.959477250559</v>
      </c>
      <c r="M130" s="53">
        <f>+Tabla2245[[#This Row],[Consumo energía '[MJ/año']]]/$L$118</f>
        <v>5.4468344085330537E-4</v>
      </c>
      <c r="N130" s="50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434.26600241467304</v>
      </c>
    </row>
    <row r="131" spans="1:14" x14ac:dyDescent="0.2">
      <c r="G131" s="25" t="s">
        <v>36</v>
      </c>
      <c r="H131" s="26" t="s">
        <v>48</v>
      </c>
      <c r="I131" s="26" t="s">
        <v>3</v>
      </c>
      <c r="J131" s="26" t="s">
        <v>21</v>
      </c>
      <c r="K131" s="26">
        <v>50.655769230769998</v>
      </c>
      <c r="L131" s="48">
        <f>Tabla2245[[#This Row],[Indicador]]*$B$119</f>
        <v>11566.235435677097</v>
      </c>
      <c r="M131" s="58">
        <f>+Tabla2245[[#This Row],[Consumo energía '[MJ/año']]]/$L$118</f>
        <v>4.2824786000984029E-4</v>
      </c>
      <c r="N131" s="51">
        <f>IF(Tabla2245[[#This Row],[Energético]]="Energía Eléctrica",((Tabla2245[[#This Row],[Participación]]*$D$139)/SUMIF(Tabla2245[Energético],"Energía Eléctrica",Tabla2245[Participación]))*$B$142,Tabla2245[[#This Row],[Consumo energía '[MJ/año']]])</f>
        <v>11566.235435677097</v>
      </c>
    </row>
    <row r="136" spans="1:14" ht="15.75" x14ac:dyDescent="0.25">
      <c r="A136" s="43" t="s">
        <v>23</v>
      </c>
      <c r="B136" s="43"/>
      <c r="C136" s="43"/>
      <c r="D136" s="43"/>
    </row>
    <row r="138" spans="1:14" x14ac:dyDescent="0.2">
      <c r="A138" s="15" t="s">
        <v>0</v>
      </c>
      <c r="B138" s="15" t="s">
        <v>27</v>
      </c>
      <c r="C138" s="15" t="s">
        <v>28</v>
      </c>
      <c r="D138" s="15" t="s">
        <v>1</v>
      </c>
    </row>
    <row r="139" spans="1:14" x14ac:dyDescent="0.2">
      <c r="A139" s="16" t="s">
        <v>2</v>
      </c>
      <c r="B139" s="17">
        <f>B122</f>
        <v>638689.00709064992</v>
      </c>
      <c r="C139" s="18">
        <f>Acuicultura!$B139/1000000</f>
        <v>0.63868900709064991</v>
      </c>
      <c r="D139" s="19">
        <f>B139/$B$142</f>
        <v>0.10625194729718627</v>
      </c>
    </row>
    <row r="140" spans="1:14" x14ac:dyDescent="0.2">
      <c r="A140" s="16" t="s">
        <v>3</v>
      </c>
      <c r="B140" s="20">
        <f>SUMIF(Tabla2245[Energético],A140,Tabla2245[Consumo energía '[MJ/año']])</f>
        <v>5176320.3487264775</v>
      </c>
      <c r="C140" s="18">
        <f>Acuicultura!$B140/1000000</f>
        <v>5.1763203487264775</v>
      </c>
      <c r="D140" s="19">
        <f>B140/$B$142</f>
        <v>0.86112976860454593</v>
      </c>
    </row>
    <row r="141" spans="1:14" x14ac:dyDescent="0.2">
      <c r="A141" s="16" t="s">
        <v>9</v>
      </c>
      <c r="B141" s="20">
        <f>SUMIF(Tabla2245[Energético],A141,Tabla2245[Consumo energía '[MJ/año']])</f>
        <v>196071.13105846182</v>
      </c>
      <c r="C141" s="18">
        <f>Acuicultura!$B141/1000000</f>
        <v>0.19607113105846183</v>
      </c>
      <c r="D141" s="19">
        <f>B141/$B$142</f>
        <v>3.2618284098267787E-2</v>
      </c>
    </row>
    <row r="142" spans="1:14" x14ac:dyDescent="0.2">
      <c r="A142" s="63" t="s">
        <v>63</v>
      </c>
      <c r="B142" s="64">
        <f>SUM(B139:B141)</f>
        <v>6011080.486875589</v>
      </c>
      <c r="C142" s="64">
        <f t="shared" ref="C142:D142" si="3">SUM(C139:C141)</f>
        <v>6.0110804868755894</v>
      </c>
      <c r="D142" s="65">
        <f t="shared" si="3"/>
        <v>1</v>
      </c>
    </row>
    <row r="146" spans="1:14" ht="18" x14ac:dyDescent="0.25">
      <c r="A146" s="40" t="s">
        <v>29</v>
      </c>
      <c r="B146" s="40"/>
      <c r="C146" s="40"/>
    </row>
    <row r="147" spans="1:14" x14ac:dyDescent="0.2">
      <c r="A147" s="9" t="str">
        <f>+A118</f>
        <v>Grupo Homogeneo</v>
      </c>
      <c r="B147" s="9" t="s">
        <v>24</v>
      </c>
      <c r="C147" s="9" t="s">
        <v>49</v>
      </c>
      <c r="D147" s="9" t="s">
        <v>25</v>
      </c>
    </row>
    <row r="148" spans="1:14" x14ac:dyDescent="0.2">
      <c r="A148" s="10" t="str">
        <f>+$B$8</f>
        <v>Acuicultura</v>
      </c>
      <c r="B148" s="11">
        <f>SUM(Tabla2245[Indicador])</f>
        <v>118286.1000860717</v>
      </c>
      <c r="C148" s="11">
        <f>B148/1000000</f>
        <v>0.1182861000860717</v>
      </c>
      <c r="D148" s="11">
        <f>B148/B120</f>
        <v>2365.722001721434</v>
      </c>
    </row>
    <row r="154" spans="1:14" ht="25.5" x14ac:dyDescent="0.2">
      <c r="C154" s="28" t="s">
        <v>38</v>
      </c>
    </row>
    <row r="155" spans="1:14" ht="18" x14ac:dyDescent="0.25">
      <c r="A155" s="41" t="s">
        <v>53</v>
      </c>
      <c r="B155" s="42"/>
      <c r="C155" s="29">
        <v>0.01</v>
      </c>
      <c r="G155" s="43" t="s">
        <v>59</v>
      </c>
      <c r="H155" s="43"/>
      <c r="I155" s="43"/>
      <c r="J155" s="43"/>
      <c r="K155" s="43"/>
      <c r="L155" s="46"/>
      <c r="N155" s="12" t="s">
        <v>62</v>
      </c>
    </row>
    <row r="156" spans="1:14" ht="31.5" x14ac:dyDescent="0.25">
      <c r="A156" s="5" t="s">
        <v>26</v>
      </c>
      <c r="B156" s="13" t="s">
        <v>36</v>
      </c>
      <c r="C156" s="4"/>
      <c r="J156" s="3" t="s">
        <v>22</v>
      </c>
      <c r="K156" s="3" t="s">
        <v>22</v>
      </c>
      <c r="L156" s="47">
        <f>SUM(Tabla22456[Consumo energía '[MJ/año']])</f>
        <v>4501378.9582086606</v>
      </c>
      <c r="N156" s="62">
        <f>SUM(Tabla22456[Consumo energía corregida '[MJ/año']])</f>
        <v>2969434.2129196436</v>
      </c>
    </row>
    <row r="157" spans="1:14" ht="35.25" customHeight="1" x14ac:dyDescent="0.2">
      <c r="A157" s="6" t="s">
        <v>13</v>
      </c>
      <c r="B157" s="7">
        <f>+C155*G4</f>
        <v>38.055012000000005</v>
      </c>
      <c r="C157" s="27" t="s">
        <v>30</v>
      </c>
      <c r="G157" s="22" t="s">
        <v>16</v>
      </c>
      <c r="H157" s="23" t="s">
        <v>17</v>
      </c>
      <c r="I157" s="23" t="s">
        <v>18</v>
      </c>
      <c r="J157" s="24" t="s">
        <v>19</v>
      </c>
      <c r="K157" s="24" t="s">
        <v>20</v>
      </c>
      <c r="L157" s="61" t="s">
        <v>60</v>
      </c>
      <c r="M157" s="61" t="s">
        <v>1</v>
      </c>
      <c r="N157" s="61" t="s">
        <v>61</v>
      </c>
    </row>
    <row r="158" spans="1:14" s="2" customFormat="1" x14ac:dyDescent="0.2">
      <c r="A158" s="6" t="s">
        <v>14</v>
      </c>
      <c r="B158" s="7">
        <v>2.7</v>
      </c>
      <c r="C158" s="27" t="s">
        <v>57</v>
      </c>
      <c r="D158"/>
      <c r="F158"/>
      <c r="G158" s="25" t="s">
        <v>36</v>
      </c>
      <c r="H158" s="26" t="s">
        <v>41</v>
      </c>
      <c r="I158" s="26" t="s">
        <v>2</v>
      </c>
      <c r="J158" s="26" t="s">
        <v>21</v>
      </c>
      <c r="K158" s="26">
        <v>90795.6</v>
      </c>
      <c r="L158" s="48">
        <f>Tabla22456[[#This Row],[Indicador]]*$B$157</f>
        <v>3455227.6475472008</v>
      </c>
      <c r="M158" s="52">
        <f>+Tabla22456[[#This Row],[Consumo energía '[MJ/año']]]/$L$156</f>
        <v>0.76759314859423</v>
      </c>
      <c r="N158" s="49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1987327.8579720405</v>
      </c>
    </row>
    <row r="159" spans="1:14" ht="25.5" x14ac:dyDescent="0.2">
      <c r="A159" s="8" t="s">
        <v>15</v>
      </c>
      <c r="B159" s="21">
        <f>+D159</f>
        <v>576121.00915430195</v>
      </c>
      <c r="C159" s="27" t="s">
        <v>55</v>
      </c>
      <c r="D159" s="7">
        <v>576121.00915430195</v>
      </c>
      <c r="E159" s="27" t="s">
        <v>56</v>
      </c>
      <c r="G159" s="25" t="s">
        <v>36</v>
      </c>
      <c r="H159" s="26" t="s">
        <v>42</v>
      </c>
      <c r="I159" s="26" t="s">
        <v>3</v>
      </c>
      <c r="J159" s="26" t="s">
        <v>21</v>
      </c>
      <c r="K159" s="26">
        <v>4658.9523809523798</v>
      </c>
      <c r="L159" s="48">
        <f>Tabla22456[[#This Row],[Indicador]]*$B$157</f>
        <v>177296.4887645714</v>
      </c>
      <c r="M159" s="53">
        <f>+Tabla22456[[#This Row],[Consumo energía '[MJ/año']]]/$L$156</f>
        <v>3.9387150117911239E-2</v>
      </c>
      <c r="N159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177296.4887645714</v>
      </c>
    </row>
    <row r="160" spans="1:14" ht="25.5" x14ac:dyDescent="0.2">
      <c r="A160" s="8" t="s">
        <v>58</v>
      </c>
      <c r="B160" s="21">
        <f>+B159*3.6</f>
        <v>2074035.6329554871</v>
      </c>
      <c r="C160" s="1"/>
      <c r="G160" s="25" t="s">
        <v>36</v>
      </c>
      <c r="H160" s="26" t="s">
        <v>42</v>
      </c>
      <c r="I160" s="26" t="s">
        <v>2</v>
      </c>
      <c r="J160" s="26" t="s">
        <v>21</v>
      </c>
      <c r="K160" s="26">
        <v>22.755552000000002</v>
      </c>
      <c r="L160" s="48">
        <f>Tabla22456[[#This Row],[Indicador]]*$B$157</f>
        <v>865.96280442662419</v>
      </c>
      <c r="M160" s="53">
        <f>+Tabla22456[[#This Row],[Consumo energía '[MJ/año']]]/$L$156</f>
        <v>1.9237722761543212E-4</v>
      </c>
      <c r="N160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498.07195957878338</v>
      </c>
    </row>
    <row r="161" spans="1:14" x14ac:dyDescent="0.2">
      <c r="G161" s="25" t="s">
        <v>36</v>
      </c>
      <c r="H161" s="26" t="s">
        <v>42</v>
      </c>
      <c r="I161" s="26" t="s">
        <v>9</v>
      </c>
      <c r="J161" s="26" t="s">
        <v>21</v>
      </c>
      <c r="K161" s="26">
        <v>858.71794871794998</v>
      </c>
      <c r="L161" s="48">
        <f>Tabla22456[[#This Row],[Indicador]]*$B$157</f>
        <v>32678.521843076975</v>
      </c>
      <c r="M161" s="53">
        <f>+Tabla22456[[#This Row],[Consumo energía '[MJ/año']]]/$L$156</f>
        <v>7.259669125054405E-3</v>
      </c>
      <c r="N161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32678.521843076975</v>
      </c>
    </row>
    <row r="162" spans="1:14" x14ac:dyDescent="0.2">
      <c r="G162" s="25" t="s">
        <v>36</v>
      </c>
      <c r="H162" s="26" t="s">
        <v>43</v>
      </c>
      <c r="I162" s="26" t="s">
        <v>2</v>
      </c>
      <c r="J162" s="26" t="s">
        <v>21</v>
      </c>
      <c r="K162" s="26">
        <v>6.1714285714299999</v>
      </c>
      <c r="L162" s="48">
        <f>Tabla22456[[#This Row],[Indicador]]*$B$157</f>
        <v>234.85378834291154</v>
      </c>
      <c r="M162" s="53">
        <f>+Tabla22456[[#This Row],[Consumo energía '[MJ/año']]]/$L$156</f>
        <v>5.2173742873755386E-5</v>
      </c>
      <c r="N162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135.07980478665741</v>
      </c>
    </row>
    <row r="163" spans="1:14" x14ac:dyDescent="0.2">
      <c r="G163" s="25" t="s">
        <v>36</v>
      </c>
      <c r="H163" s="26" t="s">
        <v>44</v>
      </c>
      <c r="I163" s="26" t="s">
        <v>2</v>
      </c>
      <c r="J163" s="26" t="s">
        <v>21</v>
      </c>
      <c r="K163" s="26">
        <v>3768.7440257088401</v>
      </c>
      <c r="L163" s="48">
        <f>Tabla22456[[#This Row],[Indicador]]*$B$157</f>
        <v>143419.59912327823</v>
      </c>
      <c r="M163" s="53">
        <f>+Tabla22456[[#This Row],[Consumo energía '[MJ/año']]]/$L$156</f>
        <v>3.1861258617593161E-2</v>
      </c>
      <c r="N163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82490.010439458216</v>
      </c>
    </row>
    <row r="164" spans="1:14" x14ac:dyDescent="0.2">
      <c r="G164" s="25" t="s">
        <v>36</v>
      </c>
      <c r="H164" s="26" t="s">
        <v>45</v>
      </c>
      <c r="I164" s="26" t="s">
        <v>3</v>
      </c>
      <c r="J164" s="26" t="s">
        <v>21</v>
      </c>
      <c r="K164" s="26">
        <v>11882.039473198</v>
      </c>
      <c r="L164" s="48">
        <f>Tabla22456[[#This Row],[Indicador]]*$B$157</f>
        <v>452171.15473702364</v>
      </c>
      <c r="M164" s="53">
        <f>+Tabla22456[[#This Row],[Consumo energía '[MJ/año']]]/$L$156</f>
        <v>0.10045169689889134</v>
      </c>
      <c r="N164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452171.15473702364</v>
      </c>
    </row>
    <row r="165" spans="1:14" x14ac:dyDescent="0.2">
      <c r="G165" s="25" t="s">
        <v>36</v>
      </c>
      <c r="H165" s="26" t="s">
        <v>45</v>
      </c>
      <c r="I165" s="26" t="s">
        <v>2</v>
      </c>
      <c r="J165" s="26" t="s">
        <v>21</v>
      </c>
      <c r="K165" s="26">
        <v>99.34272</v>
      </c>
      <c r="L165" s="48">
        <f>Tabla22456[[#This Row],[Indicador]]*$B$157</f>
        <v>3780.4884017126406</v>
      </c>
      <c r="M165" s="53">
        <f>+Tabla22456[[#This Row],[Consumo energía '[MJ/año']]]/$L$156</f>
        <v>8.398511737872208E-4</v>
      </c>
      <c r="N165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2174.4066336112787</v>
      </c>
    </row>
    <row r="166" spans="1:14" x14ac:dyDescent="0.2">
      <c r="G166" s="25" t="s">
        <v>36</v>
      </c>
      <c r="H166" s="26" t="s">
        <v>46</v>
      </c>
      <c r="I166" s="26" t="s">
        <v>3</v>
      </c>
      <c r="J166" s="26" t="s">
        <v>21</v>
      </c>
      <c r="K166" s="26">
        <v>2026.23076923077</v>
      </c>
      <c r="L166" s="48">
        <f>Tabla22456[[#This Row],[Indicador]]*$B$157</f>
        <v>77108.236237846198</v>
      </c>
      <c r="M166" s="53">
        <f>+Tabla22456[[#This Row],[Consumo energía '[MJ/año']]]/$L$156</f>
        <v>1.712991440039336E-2</v>
      </c>
      <c r="N166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77108.236237846198</v>
      </c>
    </row>
    <row r="167" spans="1:14" x14ac:dyDescent="0.2">
      <c r="G167" s="25" t="s">
        <v>36</v>
      </c>
      <c r="H167" s="26" t="s">
        <v>47</v>
      </c>
      <c r="I167" s="26" t="s">
        <v>3</v>
      </c>
      <c r="J167" s="26" t="s">
        <v>21</v>
      </c>
      <c r="K167" s="26">
        <v>4052.4615384615399</v>
      </c>
      <c r="L167" s="48">
        <f>Tabla22456[[#This Row],[Indicador]]*$B$157</f>
        <v>154216.4724756924</v>
      </c>
      <c r="M167" s="60">
        <f>+Tabla22456[[#This Row],[Consumo energía '[MJ/año']]]/$L$156</f>
        <v>3.4259828800786721E-2</v>
      </c>
      <c r="N167" s="56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154216.4724756924</v>
      </c>
    </row>
    <row r="168" spans="1:14" x14ac:dyDescent="0.2">
      <c r="G168" s="25" t="s">
        <v>36</v>
      </c>
      <c r="H168" s="26" t="s">
        <v>47</v>
      </c>
      <c r="I168" s="26" t="s">
        <v>2</v>
      </c>
      <c r="J168" s="26" t="s">
        <v>21</v>
      </c>
      <c r="K168" s="26">
        <v>64.428479999999993</v>
      </c>
      <c r="L168" s="48">
        <f>Tabla22456[[#This Row],[Indicador]]*$B$157</f>
        <v>2451.8265795417601</v>
      </c>
      <c r="M168" s="53">
        <f>+Tabla22456[[#This Row],[Consumo energía '[MJ/año']]]/$L$156</f>
        <v>5.4468344085330537E-4</v>
      </c>
      <c r="N168" s="50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1410.2061460114196</v>
      </c>
    </row>
    <row r="169" spans="1:14" x14ac:dyDescent="0.2">
      <c r="G169" s="25" t="s">
        <v>36</v>
      </c>
      <c r="H169" s="26" t="s">
        <v>48</v>
      </c>
      <c r="I169" s="26" t="s">
        <v>3</v>
      </c>
      <c r="J169" s="26" t="s">
        <v>21</v>
      </c>
      <c r="K169" s="26">
        <v>50.655769230769998</v>
      </c>
      <c r="L169" s="48">
        <f>Tabla22456[[#This Row],[Indicador]]*$B$157</f>
        <v>1927.7059059461833</v>
      </c>
      <c r="M169" s="58">
        <f>+Tabla22456[[#This Row],[Consumo energía '[MJ/año']]]/$L$156</f>
        <v>4.2824786000984029E-4</v>
      </c>
      <c r="N169" s="51">
        <f>IF(Tabla22456[[#This Row],[Energético]]="Energía Eléctrica",((Tabla22456[[#This Row],[Participación]]*$D$177)/SUMIF(Tabla22456[Energético],"Energía Eléctrica",Tabla22456[Participación]))*$B$180,Tabla22456[[#This Row],[Consumo energía '[MJ/año']]])</f>
        <v>1927.7059059461833</v>
      </c>
    </row>
    <row r="174" spans="1:14" ht="15.75" x14ac:dyDescent="0.25">
      <c r="A174" s="43" t="s">
        <v>23</v>
      </c>
      <c r="B174" s="43"/>
      <c r="C174" s="43"/>
      <c r="D174" s="43"/>
    </row>
    <row r="176" spans="1:14" x14ac:dyDescent="0.2">
      <c r="A176" s="15" t="s">
        <v>0</v>
      </c>
      <c r="B176" s="15" t="s">
        <v>27</v>
      </c>
      <c r="C176" s="15" t="s">
        <v>28</v>
      </c>
      <c r="D176" s="15" t="s">
        <v>1</v>
      </c>
    </row>
    <row r="177" spans="1:4" x14ac:dyDescent="0.2">
      <c r="A177" s="16" t="s">
        <v>2</v>
      </c>
      <c r="B177" s="17">
        <f>B160</f>
        <v>2074035.6329554871</v>
      </c>
      <c r="C177" s="18">
        <f>Acuicultura!$B177/1000000</f>
        <v>2.074035632955487</v>
      </c>
      <c r="D177" s="19">
        <f>B177/$B$180</f>
        <v>0.69846155335976545</v>
      </c>
    </row>
    <row r="178" spans="1:4" x14ac:dyDescent="0.2">
      <c r="A178" s="16" t="s">
        <v>3</v>
      </c>
      <c r="B178" s="20">
        <f>SUMIF(Tabla22456[Energético],A178,Tabla22456[Consumo energía '[MJ/año']])</f>
        <v>862720.05812107981</v>
      </c>
      <c r="C178" s="18">
        <f>Acuicultura!$B178/1000000</f>
        <v>0.86272005812107977</v>
      </c>
      <c r="D178" s="19">
        <f>B178/$B$180</f>
        <v>0.29053348087911518</v>
      </c>
    </row>
    <row r="179" spans="1:4" x14ac:dyDescent="0.2">
      <c r="A179" s="16" t="s">
        <v>9</v>
      </c>
      <c r="B179" s="20">
        <f>SUMIF(Tabla22456[Energético],A179,Tabla22456[Consumo energía '[MJ/año']])</f>
        <v>32678.521843076975</v>
      </c>
      <c r="C179" s="18">
        <f>Acuicultura!$B179/1000000</f>
        <v>3.2678521843076971E-2</v>
      </c>
      <c r="D179" s="19">
        <f>B179/$B$180</f>
        <v>1.1004965761119319E-2</v>
      </c>
    </row>
    <row r="180" spans="1:4" x14ac:dyDescent="0.2">
      <c r="A180" s="63" t="s">
        <v>63</v>
      </c>
      <c r="B180" s="64">
        <f>SUM(B177:B179)</f>
        <v>2969434.2129196441</v>
      </c>
      <c r="C180" s="64">
        <f t="shared" ref="C180:D180" si="4">SUM(C177:C179)</f>
        <v>2.9694342129196438</v>
      </c>
      <c r="D180" s="65">
        <f t="shared" si="4"/>
        <v>1</v>
      </c>
    </row>
    <row r="184" spans="1:4" ht="18" x14ac:dyDescent="0.25">
      <c r="A184" s="40" t="s">
        <v>29</v>
      </c>
      <c r="B184" s="40"/>
      <c r="C184" s="40"/>
    </row>
    <row r="185" spans="1:4" x14ac:dyDescent="0.2">
      <c r="A185" s="9" t="str">
        <f>+A156</f>
        <v>Grupo Homogeneo</v>
      </c>
      <c r="B185" s="9" t="s">
        <v>24</v>
      </c>
      <c r="C185" s="9" t="s">
        <v>49</v>
      </c>
      <c r="D185" s="9" t="s">
        <v>25</v>
      </c>
    </row>
    <row r="186" spans="1:4" x14ac:dyDescent="0.2">
      <c r="A186" s="10" t="str">
        <f>+$B$8</f>
        <v>Acuicultura</v>
      </c>
      <c r="B186" s="11">
        <f>SUM(Tabla22456[Indicador])</f>
        <v>118286.1000860717</v>
      </c>
      <c r="C186" s="11">
        <f>B186/1000000</f>
        <v>0.1182861000860717</v>
      </c>
      <c r="D186" s="11">
        <f>B186/B158</f>
        <v>43809.666698545072</v>
      </c>
    </row>
    <row r="191" spans="1:4" ht="20.25" x14ac:dyDescent="0.3">
      <c r="A191" s="44" t="s">
        <v>54</v>
      </c>
      <c r="B191" s="44"/>
      <c r="C191" s="44"/>
      <c r="D191" s="44"/>
    </row>
    <row r="192" spans="1:4" x14ac:dyDescent="0.2">
      <c r="A192" s="9" t="s">
        <v>0</v>
      </c>
      <c r="B192" s="9" t="s">
        <v>27</v>
      </c>
      <c r="C192" s="9" t="s">
        <v>28</v>
      </c>
      <c r="D192" s="9" t="s">
        <v>1</v>
      </c>
    </row>
    <row r="193" spans="1:4" x14ac:dyDescent="0.2">
      <c r="A193" s="30" t="s">
        <v>2</v>
      </c>
      <c r="B193" s="35">
        <f>+B177+B139+B102+B67+B29</f>
        <v>11198164.305679059</v>
      </c>
      <c r="C193" s="36">
        <f>B193/1000000</f>
        <v>11.198164305679059</v>
      </c>
      <c r="D193" s="37">
        <f>B193/$B$196</f>
        <v>0.11116124825339367</v>
      </c>
    </row>
    <row r="194" spans="1:4" x14ac:dyDescent="0.2">
      <c r="A194" s="30" t="s">
        <v>3</v>
      </c>
      <c r="B194" s="35">
        <f t="shared" ref="B194:B195" si="5">+B178+B140+B103+B68+B30</f>
        <v>86272005.812107965</v>
      </c>
      <c r="C194" s="36">
        <f t="shared" ref="C194:C195" si="6">B194/1000000</f>
        <v>86.272005812107963</v>
      </c>
      <c r="D194" s="37">
        <f>B194/$B$196</f>
        <v>0.85639963779906425</v>
      </c>
    </row>
    <row r="195" spans="1:4" x14ac:dyDescent="0.2">
      <c r="A195" s="30" t="s">
        <v>9</v>
      </c>
      <c r="B195" s="35">
        <f t="shared" si="5"/>
        <v>3267852.1843076972</v>
      </c>
      <c r="C195" s="36">
        <f t="shared" si="6"/>
        <v>3.2678521843076971</v>
      </c>
      <c r="D195" s="37">
        <f>B195/$B$196</f>
        <v>3.2439113947542196E-2</v>
      </c>
    </row>
    <row r="196" spans="1:4" x14ac:dyDescent="0.2">
      <c r="A196" s="63" t="s">
        <v>63</v>
      </c>
      <c r="B196" s="64">
        <f>SUM(B193:B195)</f>
        <v>100738022.30209471</v>
      </c>
      <c r="C196" s="64">
        <f t="shared" ref="C196:D196" si="7">SUM(C193:C195)</f>
        <v>100.73802230209472</v>
      </c>
      <c r="D196" s="65">
        <f t="shared" si="7"/>
        <v>1.0000000000000002</v>
      </c>
    </row>
  </sheetData>
  <mergeCells count="21">
    <mergeCell ref="A26:D26"/>
    <mergeCell ref="G7:K7"/>
    <mergeCell ref="A36:C36"/>
    <mergeCell ref="A7:B7"/>
    <mergeCell ref="A45:B45"/>
    <mergeCell ref="G45:K45"/>
    <mergeCell ref="A64:D64"/>
    <mergeCell ref="A73:C73"/>
    <mergeCell ref="A80:B80"/>
    <mergeCell ref="G80:K80"/>
    <mergeCell ref="A99:D99"/>
    <mergeCell ref="A109:C109"/>
    <mergeCell ref="A117:B117"/>
    <mergeCell ref="G117:K117"/>
    <mergeCell ref="A136:D136"/>
    <mergeCell ref="A191:D191"/>
    <mergeCell ref="A146:C146"/>
    <mergeCell ref="A155:B155"/>
    <mergeCell ref="G155:K155"/>
    <mergeCell ref="A174:D174"/>
    <mergeCell ref="A184:C184"/>
  </mergeCells>
  <phoneticPr fontId="11" type="noConversion"/>
  <hyperlinks>
    <hyperlink ref="F2" r:id="rId1" xr:uid="{D3D252B9-19C7-4238-A785-5463F8DCFED7}"/>
  </hyperlinks>
  <pageMargins left="0.7" right="0.7" top="0.75" bottom="0.75" header="0.3" footer="0.3"/>
  <pageSetup paperSize="9" orientation="portrait" r:id="rId2"/>
  <tableParts count="5">
    <tablePart r:id="rId3"/>
    <tablePart r:id="rId4"/>
    <tablePart r:id="rId5"/>
    <tablePart r:id="rId6"/>
    <tablePart r:id="rId7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A29:A31 A67:A69 A102:A104 A139:A141 A177:A179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H14"/>
  <sheetViews>
    <sheetView workbookViewId="0">
      <selection activeCell="H12" sqref="H12:H14"/>
    </sheetView>
  </sheetViews>
  <sheetFormatPr baseColWidth="10" defaultRowHeight="12.75" x14ac:dyDescent="0.2"/>
  <sheetData>
    <row r="1" spans="1:8" x14ac:dyDescent="0.2">
      <c r="A1" t="s">
        <v>2</v>
      </c>
    </row>
    <row r="2" spans="1:8" x14ac:dyDescent="0.2">
      <c r="A2" t="s">
        <v>3</v>
      </c>
    </row>
    <row r="3" spans="1:8" x14ac:dyDescent="0.2">
      <c r="A3" t="s">
        <v>4</v>
      </c>
    </row>
    <row r="4" spans="1:8" x14ac:dyDescent="0.2">
      <c r="A4" t="s">
        <v>5</v>
      </c>
    </row>
    <row r="5" spans="1:8" x14ac:dyDescent="0.2">
      <c r="A5" t="s">
        <v>6</v>
      </c>
    </row>
    <row r="6" spans="1:8" x14ac:dyDescent="0.2">
      <c r="A6" t="s">
        <v>7</v>
      </c>
    </row>
    <row r="7" spans="1:8" x14ac:dyDescent="0.2">
      <c r="A7" t="s">
        <v>8</v>
      </c>
    </row>
    <row r="8" spans="1:8" x14ac:dyDescent="0.2">
      <c r="A8" t="s">
        <v>9</v>
      </c>
    </row>
    <row r="9" spans="1:8" x14ac:dyDescent="0.2">
      <c r="A9" t="s">
        <v>10</v>
      </c>
    </row>
    <row r="10" spans="1:8" x14ac:dyDescent="0.2">
      <c r="A10" t="s">
        <v>11</v>
      </c>
    </row>
    <row r="11" spans="1:8" x14ac:dyDescent="0.2">
      <c r="A11" t="s">
        <v>12</v>
      </c>
    </row>
    <row r="12" spans="1:8" x14ac:dyDescent="0.2">
      <c r="H12" s="38" t="s">
        <v>2</v>
      </c>
    </row>
    <row r="13" spans="1:8" x14ac:dyDescent="0.2">
      <c r="H13" s="38" t="s">
        <v>3</v>
      </c>
    </row>
    <row r="14" spans="1:8" x14ac:dyDescent="0.2">
      <c r="H14" s="38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Acuicultura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2024-01-24T00:04:28Z</dcterms:modified>
</cp:coreProperties>
</file>