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44E714C0-4804-46DF-93FE-EAE74B96C2A8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Flores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D32" i="1" l="1"/>
  <c r="M12" i="1"/>
  <c r="M13" i="1"/>
  <c r="N13" i="1" s="1"/>
  <c r="P13" i="1" s="1"/>
  <c r="R13" i="1" s="1"/>
  <c r="M14" i="1"/>
  <c r="M15" i="1"/>
  <c r="N15" i="1" s="1"/>
  <c r="P15" i="1" s="1"/>
  <c r="M16" i="1"/>
  <c r="M17" i="1"/>
  <c r="N17" i="1" s="1"/>
  <c r="P17" i="1" s="1"/>
  <c r="M18" i="1"/>
  <c r="N18" i="1" s="1"/>
  <c r="P18" i="1" s="1"/>
  <c r="M19" i="1"/>
  <c r="N19" i="1" s="1"/>
  <c r="P19" i="1" s="1"/>
  <c r="M20" i="1"/>
  <c r="M21" i="1"/>
  <c r="N21" i="1" s="1"/>
  <c r="P21" i="1" s="1"/>
  <c r="R21" i="1" s="1"/>
  <c r="M22" i="1"/>
  <c r="M23" i="1"/>
  <c r="N23" i="1" s="1"/>
  <c r="P23" i="1" s="1"/>
  <c r="M24" i="1"/>
  <c r="M25" i="1"/>
  <c r="N25" i="1" s="1"/>
  <c r="P25" i="1" s="1"/>
  <c r="M26" i="1"/>
  <c r="N26" i="1" s="1"/>
  <c r="P26" i="1" s="1"/>
  <c r="M27" i="1"/>
  <c r="N27" i="1" s="1"/>
  <c r="P27" i="1" s="1"/>
  <c r="M28" i="1"/>
  <c r="M29" i="1"/>
  <c r="N29" i="1" s="1"/>
  <c r="P29" i="1" s="1"/>
  <c r="M30" i="1"/>
  <c r="M31" i="1"/>
  <c r="N31" i="1" s="1"/>
  <c r="P31" i="1" s="1"/>
  <c r="M32" i="1"/>
  <c r="N12" i="1"/>
  <c r="N14" i="1"/>
  <c r="P14" i="1" s="1"/>
  <c r="R14" i="1" s="1"/>
  <c r="N16" i="1"/>
  <c r="P16" i="1" s="1"/>
  <c r="R16" i="1" s="1"/>
  <c r="N20" i="1"/>
  <c r="P20" i="1" s="1"/>
  <c r="N22" i="1"/>
  <c r="P22" i="1" s="1"/>
  <c r="R22" i="1" s="1"/>
  <c r="N24" i="1"/>
  <c r="N28" i="1"/>
  <c r="P28" i="1" s="1"/>
  <c r="N30" i="1"/>
  <c r="P30" i="1" s="1"/>
  <c r="N32" i="1"/>
  <c r="P32" i="1" s="1"/>
  <c r="R32" i="1" s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P12" i="1"/>
  <c r="P24" i="1"/>
  <c r="A38" i="1"/>
  <c r="B8" i="1" l="1"/>
  <c r="B29" i="1" s="1"/>
  <c r="A37" i="1"/>
  <c r="O11" i="1"/>
  <c r="M11" i="1"/>
  <c r="N11" i="1" s="1"/>
  <c r="B31" i="1" l="1"/>
  <c r="C31" i="1" s="1"/>
  <c r="C29" i="1"/>
  <c r="P11" i="1"/>
  <c r="B30" i="1" l="1"/>
  <c r="C30" i="1" s="1"/>
  <c r="C32" i="1" s="1"/>
  <c r="R11" i="1"/>
  <c r="P9" i="1"/>
  <c r="Q12" i="1" l="1"/>
  <c r="Q16" i="1"/>
  <c r="Q20" i="1"/>
  <c r="Q24" i="1"/>
  <c r="Q28" i="1"/>
  <c r="Q32" i="1"/>
  <c r="Q13" i="1"/>
  <c r="Q17" i="1"/>
  <c r="Q21" i="1"/>
  <c r="Q25" i="1"/>
  <c r="Q29" i="1"/>
  <c r="Q14" i="1"/>
  <c r="Q18" i="1"/>
  <c r="Q22" i="1"/>
  <c r="Q26" i="1"/>
  <c r="Q30" i="1"/>
  <c r="Q15" i="1"/>
  <c r="Q19" i="1"/>
  <c r="Q23" i="1"/>
  <c r="Q27" i="1"/>
  <c r="Q31" i="1"/>
  <c r="Q11" i="1"/>
  <c r="B32" i="1"/>
  <c r="B38" i="1" l="1"/>
  <c r="C38" i="1" s="1"/>
  <c r="D30" i="1"/>
  <c r="D29" i="1"/>
  <c r="R26" i="1" s="1"/>
  <c r="D31" i="1"/>
  <c r="R12" i="1" l="1"/>
  <c r="R31" i="1"/>
  <c r="R24" i="1"/>
  <c r="R25" i="1"/>
  <c r="R19" i="1"/>
  <c r="R20" i="1"/>
  <c r="R15" i="1"/>
  <c r="R23" i="1"/>
  <c r="R27" i="1"/>
  <c r="R28" i="1"/>
  <c r="R17" i="1"/>
  <c r="R18" i="1"/>
  <c r="R29" i="1"/>
  <c r="R30" i="1"/>
</calcChain>
</file>

<file path=xl/sharedStrings.xml><?xml version="1.0" encoding="utf-8"?>
<sst xmlns="http://schemas.openxmlformats.org/spreadsheetml/2006/main" count="183" uniqueCount="68">
  <si>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</si>
  <si>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</si>
  <si>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</si>
  <si>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</si>
  <si>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</si>
  <si>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</si>
  <si>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</si>
  <si>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</si>
  <si>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</si>
  <si>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</si>
  <si>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</si>
  <si>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</si>
  <si>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</si>
  <si>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Área productiva total</t>
  </si>
  <si>
    <t>Rendimiento</t>
  </si>
  <si>
    <t>Consumo Eléctricidad por sector</t>
  </si>
  <si>
    <t>Grupo Homogéneo</t>
  </si>
  <si>
    <t>Proceso</t>
  </si>
  <si>
    <t>Energético</t>
  </si>
  <si>
    <t>Fumigación</t>
  </si>
  <si>
    <t>Siembra</t>
  </si>
  <si>
    <t>Producto final</t>
  </si>
  <si>
    <t>Unidades indicador producción</t>
  </si>
  <si>
    <t>Indicador</t>
  </si>
  <si>
    <t>MJ/Ha</t>
  </si>
  <si>
    <t>Parámetro</t>
  </si>
  <si>
    <t>Dato de información secundaria Tn/Ha</t>
  </si>
  <si>
    <t>Indicador área</t>
  </si>
  <si>
    <t>Unidades</t>
  </si>
  <si>
    <t>Debe estar en MJ/Tn o MJ/Ha</t>
  </si>
  <si>
    <t>Tabla 7 y Tabla 10</t>
  </si>
  <si>
    <t>Indicador [MJ/Ha]</t>
  </si>
  <si>
    <t>Indicador [MJ/Tn]</t>
  </si>
  <si>
    <t>Grupo Homogeneo</t>
  </si>
  <si>
    <t>MJ/año</t>
  </si>
  <si>
    <t>TJ/año</t>
  </si>
  <si>
    <t>Total [MJ]</t>
  </si>
  <si>
    <t>Tabla 9</t>
  </si>
  <si>
    <t>Tabla 8. Indicador producción (lo encerrado va al excel)</t>
  </si>
  <si>
    <t>Dato de información secundaria [Ha]</t>
  </si>
  <si>
    <t>Mantenimiento</t>
  </si>
  <si>
    <t>Fertilización</t>
  </si>
  <si>
    <t>Terreno fertilizado</t>
  </si>
  <si>
    <t>Terreno fumigado</t>
  </si>
  <si>
    <t>Terreno guadañado</t>
  </si>
  <si>
    <t>Postcosecha</t>
  </si>
  <si>
    <t>Sistema de Riego y drenaje</t>
  </si>
  <si>
    <t>Terreno irrigado</t>
  </si>
  <si>
    <t>https://sioc.minagricultura.gov.co/Flores/Documentos/2021-03-31%20Cifras%20Sectoriales.pdf</t>
  </si>
  <si>
    <t>Cultivo de flores</t>
  </si>
  <si>
    <t>Germinación/Plantulación</t>
  </si>
  <si>
    <t>Terreno iluminado</t>
  </si>
  <si>
    <t>Residuos compostaje</t>
  </si>
  <si>
    <t>Planta eléctrica</t>
  </si>
  <si>
    <t>Área limpiada</t>
  </si>
  <si>
    <t>Terreno cosechado</t>
  </si>
  <si>
    <t>Flores refrigeradas</t>
  </si>
  <si>
    <t>Terreno ventilado</t>
  </si>
  <si>
    <t>Fuerza motriz</t>
  </si>
  <si>
    <t>Iluminación</t>
  </si>
  <si>
    <t>Refrigeración</t>
  </si>
  <si>
    <t>Uso final de energía</t>
  </si>
  <si>
    <t>Total</t>
  </si>
  <si>
    <t>Dato comercial por CIIU de XM [kWh/año]</t>
  </si>
  <si>
    <t>Referencia</t>
  </si>
  <si>
    <t>Sector</t>
  </si>
  <si>
    <t>Consumo energía [MJ/año]</t>
  </si>
  <si>
    <t>Consumo energía corregida [MJ/año]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</si>
</sst>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i/>
      <sz val="10"/>
      <color theme="1"/>
      <name val="Arial"/>
      <family val="2"/>
    </font>
    <font>
      <b/>
      <sz val="16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0" fillId="0" borderId="0" xfId="0" applyAlignment="1"/>
    <xf numFmtId="0" fontId="3" fillId="0" borderId="1" xfId="0" applyFont="1" applyBorder="1" applyAlignment="1"/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0" fillId="2" borderId="1" xfId="0" applyFill="1" applyBorder="1" applyAlignment="1"/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4" fontId="0" fillId="0" borderId="1" xfId="0" applyNumberFormat="1" applyFont="1" applyFill="1" applyBorder="1"/>
    <xf numFmtId="4" fontId="0" fillId="0" borderId="1" xfId="0" applyNumberFormat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7" fillId="0" borderId="0" xfId="0" applyFont="1"/>
    <xf numFmtId="0" fontId="0" fillId="0" borderId="1" xfId="0" applyNumberForma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4" fontId="3" fillId="7" borderId="1" xfId="0" applyNumberFormat="1" applyFont="1" applyFill="1" applyBorder="1" applyAlignment="1">
      <alignment horizontal="center"/>
    </xf>
    <xf numFmtId="9" fontId="3" fillId="7" borderId="1" xfId="1" applyFont="1" applyFill="1" applyBorder="1" applyAlignment="1">
      <alignment horizontal="center"/>
    </xf>
    <xf numFmtId="0" fontId="9" fillId="0" borderId="0" xfId="0" applyFont="1"/>
    <xf numFmtId="0" fontId="10" fillId="3" borderId="6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4" fillId="5" borderId="0" xfId="0" applyNumberFormat="1" applyFont="1" applyFill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</cellXfs>
  <cellStyles count="2">
    <cellStyle name="Normal" xfId="0" builtinId="0"/>
    <cellStyle name="Porcentaje" xfId="1" builtinId="5"/>
  </cellStyles>
  <dxfs count="18">
    <dxf>
      <numFmt numFmtId="0" formatCode="General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0:R32" totalsRowShown="0" headerRowDxfId="17" dataDxfId="15" headerRowBorderDxfId="16" tableBorderDxfId="14" totalsRowBorderDxfId="13">
  <autoFilter ref="F10:R32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097AA7CE-2C19-4522-AFCC-2D7077ABB6B9}" name="Grupo Homogéneo" dataDxfId="12"/>
    <tableColumn id="2" xr3:uid="{B5D1F10D-371F-4B26-972F-7E20D881EF10}" name="Proceso" dataDxfId="11"/>
    <tableColumn id="13" xr3:uid="{3C749C16-0608-4775-B322-75854C08FA31}" name="Uso final de energía" dataDxfId="10"/>
    <tableColumn id="3" xr3:uid="{D5C4E4C9-E4CD-42F0-B878-EAED958F5FA0}" name="Energético" dataDxfId="9"/>
    <tableColumn id="4" xr3:uid="{B7B5D837-72C9-44E9-A5D9-0A2D73C6B023}" name="Producto final" dataDxfId="8"/>
    <tableColumn id="5" xr3:uid="{3CF749A7-0CC3-4EAE-8383-BA07291F80FF}" name="Unidades indicador producción" dataDxfId="7"/>
    <tableColumn id="6" xr3:uid="{380EDCBC-1202-4CB0-B868-AB32DBAE2810}" name="Indicador" dataDxfId="6"/>
    <tableColumn id="7" xr3:uid="{F7C4E07E-D41C-4EB3-84F4-91947724497C}" name="Parámetro" dataDxfId="5">
      <calculatedColumnFormula>IFERROR(RIGHT(Tabla2[[#This Row],[Unidades indicador producción]], LEN(Tabla2[[#This Row],[Unidades indicador producción]])-FIND("/", Tabla2[[#This Row],[Unidades indicador producción]])), "")</calculatedColumnFormula>
    </tableColumn>
    <tableColumn id="8" xr3:uid="{0FF27519-F70B-45F1-A622-B58EACF1F88B}" name="Indicador área" dataDxfId="4">
      <calculatedColumnFormula>IF(Tabla2[[#This Row],[Parámetro]]="Tn",Tabla2[[#This Row],[Indicador]]*$B$6,Tabla2[[#This Row],[Indicador]])</calculatedColumnFormula>
    </tableColumn>
    <tableColumn id="9" xr3:uid="{3AD82B07-3885-48D4-987A-DBF40EFD0198}" name="Unidades" dataDxfId="3">
      <calculatedColumnFormula>"MJ/Ha"</calculatedColumnFormula>
    </tableColumn>
    <tableColumn id="10" xr3:uid="{E16307D2-7B0D-4BEC-94C3-8D5C9401D2A7}" name="Consumo energía [MJ/año]" dataDxfId="2">
      <calculatedColumnFormula>(Tabla2[[#This Row],[Indicador área]]*$B$5)</calculatedColumnFormula>
    </tableColumn>
    <tableColumn id="11" xr3:uid="{E6CD0222-0D1F-45F9-B893-18580B388219}" name="Participación" dataDxfId="1">
      <calculatedColumnFormula>+Tabla2[[#This Row],[Consumo energía '[MJ/año']]]/$P$9</calculatedColumnFormula>
    </tableColumn>
    <tableColumn id="12" xr3:uid="{75914066-ED77-44D9-A86E-DC385A7D6FD4}" name="Consumo energía corregida [MJ/año]" dataDxfId="0">
      <calculatedColumnFormula>IF(Tabla2[[#This Row],[Energético]]="Energía Eléctrica",((Tabla2[[#This Row],[Participación]]*$D$29)/SUMIF(Tabla2[Energético],"Energía Eléctrica",Tabla2[Participación]))*$B$32,Tabla2[[#This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R38"/>
  <sheetViews>
    <sheetView showGridLines="0" tabSelected="1" workbookViewId="0">
      <selection activeCell="A10" sqref="A10"/>
    </sheetView>
  </sheetViews>
  <sheetFormatPr baseColWidth="10" defaultRowHeight="12.75" x14ac:dyDescent="0.2"/>
  <cols>
    <col min="1" max="1" width="28.28515625" customWidth="1"/>
    <col min="2" max="4" width="16.42578125" customWidth="1"/>
    <col min="6" max="6" width="20.28515625" customWidth="1"/>
    <col min="7" max="8" width="24.5703125" customWidth="1"/>
    <col min="9" max="9" width="26.5703125" customWidth="1"/>
    <col min="10" max="10" width="17.7109375" bestFit="1" customWidth="1"/>
    <col min="11" max="11" width="19.7109375" customWidth="1"/>
    <col min="12" max="12" width="11.7109375" customWidth="1"/>
    <col min="14" max="14" width="15" customWidth="1"/>
    <col min="16" max="16" width="24.5703125" customWidth="1"/>
    <col min="18" max="18" width="19.140625" customWidth="1"/>
  </cols>
  <sheetData>
    <row r="1" spans="1:18" ht="18" x14ac:dyDescent="0.25">
      <c r="A1" s="15"/>
    </row>
    <row r="3" spans="1:18" ht="20.25" x14ac:dyDescent="0.2">
      <c r="A3" s="39" t="s">
        <v>65</v>
      </c>
      <c r="B3" s="40"/>
      <c r="C3" s="4"/>
    </row>
    <row r="4" spans="1:18" x14ac:dyDescent="0.2">
      <c r="A4" s="5" t="s">
        <v>33</v>
      </c>
      <c r="B4" s="14" t="s">
        <v>49</v>
      </c>
      <c r="C4" s="4"/>
      <c r="E4" s="38" t="s">
        <v>64</v>
      </c>
    </row>
    <row r="5" spans="1:18" x14ac:dyDescent="0.2">
      <c r="A5" s="6" t="s">
        <v>13</v>
      </c>
      <c r="B5" s="7">
        <v>9680</v>
      </c>
      <c r="C5" s="31" t="s">
        <v>39</v>
      </c>
      <c r="E5" s="38">
        <v>2020</v>
      </c>
      <c r="F5" s="38" t="s">
        <v>48</v>
      </c>
      <c r="G5" s="38"/>
      <c r="H5" s="38"/>
    </row>
    <row r="6" spans="1:18" x14ac:dyDescent="0.2">
      <c r="A6" s="6" t="s">
        <v>14</v>
      </c>
      <c r="B6" s="7">
        <v>25.6</v>
      </c>
      <c r="C6" s="31" t="s">
        <v>26</v>
      </c>
    </row>
    <row r="7" spans="1:18" ht="25.5" x14ac:dyDescent="0.2">
      <c r="A7" s="8" t="s">
        <v>15</v>
      </c>
      <c r="B7" s="7">
        <v>18603472.245119084</v>
      </c>
      <c r="C7" s="31" t="s">
        <v>63</v>
      </c>
    </row>
    <row r="8" spans="1:18" ht="26.25" x14ac:dyDescent="0.25">
      <c r="A8" s="8" t="s">
        <v>15</v>
      </c>
      <c r="B8" s="22">
        <f>+B7*3.6</f>
        <v>66972500.082428701</v>
      </c>
      <c r="C8" s="1"/>
      <c r="F8" s="33" t="s">
        <v>38</v>
      </c>
      <c r="G8" s="33"/>
      <c r="H8" s="33"/>
      <c r="I8" s="33"/>
      <c r="J8" s="33"/>
      <c r="K8" s="33"/>
      <c r="L8" s="33"/>
      <c r="R8" s="12" t="s">
        <v>36</v>
      </c>
    </row>
    <row r="9" spans="1:18" ht="35.25" customHeight="1" x14ac:dyDescent="0.25">
      <c r="K9" s="3" t="s">
        <v>29</v>
      </c>
      <c r="P9" s="13">
        <f>SUM(Tabla2[Consumo energía '[MJ/año']])</f>
        <v>64552219.250196479</v>
      </c>
      <c r="R9" s="42">
        <f>SUM(Tabla2[Consumo energía corregida '[MJ/año']])</f>
        <v>73655137.518479109</v>
      </c>
    </row>
    <row r="10" spans="1:18" s="2" customFormat="1" ht="51" x14ac:dyDescent="0.2">
      <c r="F10" s="23" t="s">
        <v>16</v>
      </c>
      <c r="G10" s="24" t="s">
        <v>17</v>
      </c>
      <c r="H10" s="24" t="s">
        <v>61</v>
      </c>
      <c r="I10" s="24" t="s">
        <v>18</v>
      </c>
      <c r="J10" s="24" t="s">
        <v>21</v>
      </c>
      <c r="K10" s="25" t="s">
        <v>22</v>
      </c>
      <c r="L10" s="24" t="s">
        <v>23</v>
      </c>
      <c r="M10" s="24" t="s">
        <v>25</v>
      </c>
      <c r="N10" s="24" t="s">
        <v>27</v>
      </c>
      <c r="O10" s="24" t="s">
        <v>28</v>
      </c>
      <c r="P10" s="41" t="s">
        <v>66</v>
      </c>
      <c r="Q10" s="41" t="s">
        <v>1</v>
      </c>
      <c r="R10" s="41" t="s">
        <v>67</v>
      </c>
    </row>
    <row r="11" spans="1:18" x14ac:dyDescent="0.2">
      <c r="F11" s="26" t="s">
        <v>49</v>
      </c>
      <c r="G11" s="27" t="s">
        <v>41</v>
      </c>
      <c r="H11" s="27" t="s">
        <v>58</v>
      </c>
      <c r="I11" s="27" t="s">
        <v>3</v>
      </c>
      <c r="J11" s="27" t="s">
        <v>42</v>
      </c>
      <c r="K11" s="27" t="s">
        <v>24</v>
      </c>
      <c r="L11" s="28">
        <v>74.220907299999993</v>
      </c>
      <c r="M11" s="29" t="str">
        <f>IFERROR(RIGHT(Tabla2[[#This Row],[Unidades indicador producción]], LEN(Tabla2[[#This Row],[Unidades indicador producción]])-FIND("/", Tabla2[[#This Row],[Unidades indicador producción]])), "")</f>
        <v>Ha</v>
      </c>
      <c r="N11" s="30">
        <f>IF(Tabla2[[#This Row],[Parámetro]]="Tn",Tabla2[[#This Row],[Indicador]]*$B$6,Tabla2[[#This Row],[Indicador]])</f>
        <v>74.220907299999993</v>
      </c>
      <c r="O11" s="29" t="str">
        <f t="shared" ref="O11" si="0">"MJ/Ha"</f>
        <v>MJ/Ha</v>
      </c>
      <c r="P11" s="43">
        <f>(Tabla2[[#This Row],[Indicador área]]*$B$5)</f>
        <v>718458.38266399992</v>
      </c>
      <c r="Q11" s="44">
        <f>+Tabla2[[#This Row],[Consumo energía '[MJ/año']]]/$P$9</f>
        <v>1.1129878895090243E-2</v>
      </c>
      <c r="R11" s="44">
        <f>IF(Tabla2[[#This Row],[Energético]]="Energía Eléctrica",((Tabla2[[#This Row],[Participación]]*$D$29)/SUMIF(Tabla2[Energético],"Energía Eléctrica",Tabla2[Participación]))*$B$32,Tabla2[[#This Row],[Consumo energía '[MJ/año']]])</f>
        <v>718458.38266399992</v>
      </c>
    </row>
    <row r="12" spans="1:18" x14ac:dyDescent="0.2">
      <c r="F12" s="26" t="s">
        <v>49</v>
      </c>
      <c r="G12" s="27" t="s">
        <v>41</v>
      </c>
      <c r="H12" s="27" t="s">
        <v>58</v>
      </c>
      <c r="I12" s="27" t="s">
        <v>2</v>
      </c>
      <c r="J12" s="27" t="s">
        <v>42</v>
      </c>
      <c r="K12" s="27" t="s">
        <v>24</v>
      </c>
      <c r="L12" s="28">
        <v>0.53690400000000005</v>
      </c>
      <c r="M12" s="32" t="str">
        <f>IFERROR(RIGHT(Tabla2[[#This Row],[Unidades indicador producción]], LEN(Tabla2[[#This Row],[Unidades indicador producción]])-FIND("/", Tabla2[[#This Row],[Unidades indicador producción]])), "")</f>
        <v>Ha</v>
      </c>
      <c r="N12" s="30">
        <f>IF(Tabla2[[#This Row],[Parámetro]]="Tn",Tabla2[[#This Row],[Indicador]]*$B$6,Tabla2[[#This Row],[Indicador]])</f>
        <v>0.53690400000000005</v>
      </c>
      <c r="O12" s="32" t="str">
        <f t="shared" ref="O12:O32" si="1">"MJ/Ha"</f>
        <v>MJ/Ha</v>
      </c>
      <c r="P12" s="43">
        <f>(Tabla2[[#This Row],[Indicador área]]*$B$5)</f>
        <v>5197.2307200000005</v>
      </c>
      <c r="Q12" s="45">
        <f>+Tabla2[[#This Row],[Consumo energía '[MJ/año']]]/$P$9</f>
        <v>8.0512037856609887E-5</v>
      </c>
      <c r="R12" s="45">
        <f>IF(Tabla2[[#This Row],[Energético]]="Energía Eléctrica",((Tabla2[[#This Row],[Participación]]*$D$29)/SUMIF(Tabla2[Energético],"Energía Eléctrica",Tabla2[Participación]))*$B$32,Tabla2[[#This Row],[Consumo energía '[MJ/año']]])</f>
        <v>6014.7580803584742</v>
      </c>
    </row>
    <row r="13" spans="1:18" x14ac:dyDescent="0.2">
      <c r="F13" s="26" t="s">
        <v>49</v>
      </c>
      <c r="G13" s="27" t="s">
        <v>41</v>
      </c>
      <c r="H13" s="27" t="s">
        <v>58</v>
      </c>
      <c r="I13" s="27" t="s">
        <v>9</v>
      </c>
      <c r="J13" s="27" t="s">
        <v>42</v>
      </c>
      <c r="K13" s="27" t="s">
        <v>24</v>
      </c>
      <c r="L13" s="28">
        <v>51.523076920000001</v>
      </c>
      <c r="M13" s="32" t="str">
        <f>IFERROR(RIGHT(Tabla2[[#This Row],[Unidades indicador producción]], LEN(Tabla2[[#This Row],[Unidades indicador producción]])-FIND("/", Tabla2[[#This Row],[Unidades indicador producción]])), "")</f>
        <v>Ha</v>
      </c>
      <c r="N13" s="30">
        <f>IF(Tabla2[[#This Row],[Parámetro]]="Tn",Tabla2[[#This Row],[Indicador]]*$B$6,Tabla2[[#This Row],[Indicador]])</f>
        <v>51.523076920000001</v>
      </c>
      <c r="O13" s="32" t="str">
        <f t="shared" si="1"/>
        <v>MJ/Ha</v>
      </c>
      <c r="P13" s="43">
        <f>(Tabla2[[#This Row],[Indicador área]]*$B$5)</f>
        <v>498743.3845856</v>
      </c>
      <c r="Q13" s="45">
        <f>+Tabla2[[#This Row],[Consumo energía '[MJ/año']]]/$P$9</f>
        <v>7.7262004370838413E-3</v>
      </c>
      <c r="R13" s="45">
        <f>IF(Tabla2[[#This Row],[Energético]]="Energía Eléctrica",((Tabla2[[#This Row],[Participación]]*$D$29)/SUMIF(Tabla2[Energético],"Energía Eléctrica",Tabla2[Participación]))*$B$32,Tabla2[[#This Row],[Consumo energía '[MJ/año']]])</f>
        <v>498743.3845856</v>
      </c>
    </row>
    <row r="14" spans="1:18" x14ac:dyDescent="0.2">
      <c r="F14" s="26" t="s">
        <v>49</v>
      </c>
      <c r="G14" s="27" t="s">
        <v>19</v>
      </c>
      <c r="H14" s="27" t="s">
        <v>58</v>
      </c>
      <c r="I14" s="27" t="s">
        <v>3</v>
      </c>
      <c r="J14" s="27" t="s">
        <v>43</v>
      </c>
      <c r="K14" s="27" t="s">
        <v>24</v>
      </c>
      <c r="L14" s="28">
        <v>115.78461540000001</v>
      </c>
      <c r="M14" s="32" t="str">
        <f>IFERROR(RIGHT(Tabla2[[#This Row],[Unidades indicador producción]], LEN(Tabla2[[#This Row],[Unidades indicador producción]])-FIND("/", Tabla2[[#This Row],[Unidades indicador producción]])), "")</f>
        <v>Ha</v>
      </c>
      <c r="N14" s="30">
        <f>IF(Tabla2[[#This Row],[Parámetro]]="Tn",Tabla2[[#This Row],[Indicador]]*$B$6,Tabla2[[#This Row],[Indicador]])</f>
        <v>115.78461540000001</v>
      </c>
      <c r="O14" s="32" t="str">
        <f t="shared" si="1"/>
        <v>MJ/Ha</v>
      </c>
      <c r="P14" s="43">
        <f>(Tabla2[[#This Row],[Indicador área]]*$B$5)</f>
        <v>1120795.0770720001</v>
      </c>
      <c r="Q14" s="45">
        <f>+Tabla2[[#This Row],[Consumo energía '[MJ/año']]]/$P$9</f>
        <v>1.7362611078140258E-2</v>
      </c>
      <c r="R14" s="45">
        <f>IF(Tabla2[[#This Row],[Energético]]="Energía Eléctrica",((Tabla2[[#This Row],[Participación]]*$D$29)/SUMIF(Tabla2[Energético],"Energía Eléctrica",Tabla2[Participación]))*$B$32,Tabla2[[#This Row],[Consumo energía '[MJ/año']]])</f>
        <v>1120795.0770720001</v>
      </c>
    </row>
    <row r="15" spans="1:18" x14ac:dyDescent="0.2">
      <c r="F15" s="26" t="s">
        <v>49</v>
      </c>
      <c r="G15" s="27" t="s">
        <v>19</v>
      </c>
      <c r="H15" s="27" t="s">
        <v>58</v>
      </c>
      <c r="I15" s="27" t="s">
        <v>2</v>
      </c>
      <c r="J15" s="27" t="s">
        <v>43</v>
      </c>
      <c r="K15" s="27" t="s">
        <v>24</v>
      </c>
      <c r="L15" s="28">
        <v>35.564513079999998</v>
      </c>
      <c r="M15" s="32" t="str">
        <f>IFERROR(RIGHT(Tabla2[[#This Row],[Unidades indicador producción]], LEN(Tabla2[[#This Row],[Unidades indicador producción]])-FIND("/", Tabla2[[#This Row],[Unidades indicador producción]])), "")</f>
        <v>Ha</v>
      </c>
      <c r="N15" s="30">
        <f>IF(Tabla2[[#This Row],[Parámetro]]="Tn",Tabla2[[#This Row],[Indicador]]*$B$6,Tabla2[[#This Row],[Indicador]])</f>
        <v>35.564513079999998</v>
      </c>
      <c r="O15" s="32" t="str">
        <f t="shared" si="1"/>
        <v>MJ/Ha</v>
      </c>
      <c r="P15" s="43">
        <f>(Tabla2[[#This Row],[Indicador área]]*$B$5)</f>
        <v>344264.4866144</v>
      </c>
      <c r="Q15" s="45">
        <f>+Tabla2[[#This Row],[Consumo energía '[MJ/año']]]/$P$9</f>
        <v>5.3331162059676541E-3</v>
      </c>
      <c r="R15" s="45">
        <f>IF(Tabla2[[#This Row],[Energético]]="Energía Eléctrica",((Tabla2[[#This Row],[Participación]]*$D$29)/SUMIF(Tabla2[Energético],"Energía Eléctrica",Tabla2[Participación]))*$B$32,Tabla2[[#This Row],[Consumo energía '[MJ/año']]])</f>
        <v>398417.48696590948</v>
      </c>
    </row>
    <row r="16" spans="1:18" x14ac:dyDescent="0.2">
      <c r="F16" s="26" t="s">
        <v>49</v>
      </c>
      <c r="G16" s="27" t="s">
        <v>19</v>
      </c>
      <c r="H16" s="27" t="s">
        <v>58</v>
      </c>
      <c r="I16" s="27" t="s">
        <v>9</v>
      </c>
      <c r="J16" s="27" t="s">
        <v>43</v>
      </c>
      <c r="K16" s="27" t="s">
        <v>24</v>
      </c>
      <c r="L16" s="28">
        <v>76.900114810000005</v>
      </c>
      <c r="M16" s="32" t="str">
        <f>IFERROR(RIGHT(Tabla2[[#This Row],[Unidades indicador producción]], LEN(Tabla2[[#This Row],[Unidades indicador producción]])-FIND("/", Tabla2[[#This Row],[Unidades indicador producción]])), "")</f>
        <v>Ha</v>
      </c>
      <c r="N16" s="30">
        <f>IF(Tabla2[[#This Row],[Parámetro]]="Tn",Tabla2[[#This Row],[Indicador]]*$B$6,Tabla2[[#This Row],[Indicador]])</f>
        <v>76.900114810000005</v>
      </c>
      <c r="O16" s="32" t="str">
        <f t="shared" si="1"/>
        <v>MJ/Ha</v>
      </c>
      <c r="P16" s="43">
        <f>(Tabla2[[#This Row],[Indicador área]]*$B$5)</f>
        <v>744393.1113608001</v>
      </c>
      <c r="Q16" s="45">
        <f>+Tabla2[[#This Row],[Consumo energía '[MJ/año']]]/$P$9</f>
        <v>1.1531642444013021E-2</v>
      </c>
      <c r="R16" s="45">
        <f>IF(Tabla2[[#This Row],[Energético]]="Energía Eléctrica",((Tabla2[[#This Row],[Participación]]*$D$29)/SUMIF(Tabla2[Energético],"Energía Eléctrica",Tabla2[Participación]))*$B$32,Tabla2[[#This Row],[Consumo energía '[MJ/año']]])</f>
        <v>744393.1113608001</v>
      </c>
    </row>
    <row r="17" spans="1:18" x14ac:dyDescent="0.2">
      <c r="F17" s="26" t="s">
        <v>49</v>
      </c>
      <c r="G17" s="27" t="s">
        <v>50</v>
      </c>
      <c r="H17" s="27" t="s">
        <v>58</v>
      </c>
      <c r="I17" s="27" t="s">
        <v>2</v>
      </c>
      <c r="J17" s="27" t="s">
        <v>47</v>
      </c>
      <c r="K17" s="27" t="s">
        <v>24</v>
      </c>
      <c r="L17" s="28">
        <v>53.690399999999997</v>
      </c>
      <c r="M17" s="32" t="str">
        <f>IFERROR(RIGHT(Tabla2[[#This Row],[Unidades indicador producción]], LEN(Tabla2[[#This Row],[Unidades indicador producción]])-FIND("/", Tabla2[[#This Row],[Unidades indicador producción]])), "")</f>
        <v>Ha</v>
      </c>
      <c r="N17" s="30">
        <f>IF(Tabla2[[#This Row],[Parámetro]]="Tn",Tabla2[[#This Row],[Indicador]]*$B$6,Tabla2[[#This Row],[Indicador]])</f>
        <v>53.690399999999997</v>
      </c>
      <c r="O17" s="32" t="str">
        <f t="shared" si="1"/>
        <v>MJ/Ha</v>
      </c>
      <c r="P17" s="43">
        <f>(Tabla2[[#This Row],[Indicador área]]*$B$5)</f>
        <v>519723.07199999999</v>
      </c>
      <c r="Q17" s="45">
        <f>+Tabla2[[#This Row],[Consumo energía '[MJ/año']]]/$P$9</f>
        <v>8.0512037856609875E-3</v>
      </c>
      <c r="R17" s="45">
        <f>IF(Tabla2[[#This Row],[Energético]]="Energía Eléctrica",((Tabla2[[#This Row],[Participación]]*$D$29)/SUMIF(Tabla2[Energético],"Energía Eléctrica",Tabla2[Participación]))*$B$32,Tabla2[[#This Row],[Consumo energía '[MJ/año']]])</f>
        <v>601475.80803584738</v>
      </c>
    </row>
    <row r="18" spans="1:18" x14ac:dyDescent="0.2">
      <c r="F18" s="26" t="s">
        <v>49</v>
      </c>
      <c r="G18" s="27" t="s">
        <v>50</v>
      </c>
      <c r="H18" s="27" t="s">
        <v>59</v>
      </c>
      <c r="I18" s="27" t="s">
        <v>2</v>
      </c>
      <c r="J18" s="27" t="s">
        <v>51</v>
      </c>
      <c r="K18" s="27" t="s">
        <v>24</v>
      </c>
      <c r="L18" s="28">
        <v>864</v>
      </c>
      <c r="M18" s="32" t="str">
        <f>IFERROR(RIGHT(Tabla2[[#This Row],[Unidades indicador producción]], LEN(Tabla2[[#This Row],[Unidades indicador producción]])-FIND("/", Tabla2[[#This Row],[Unidades indicador producción]])), "")</f>
        <v>Ha</v>
      </c>
      <c r="N18" s="30">
        <f>IF(Tabla2[[#This Row],[Parámetro]]="Tn",Tabla2[[#This Row],[Indicador]]*$B$6,Tabla2[[#This Row],[Indicador]])</f>
        <v>864</v>
      </c>
      <c r="O18" s="32" t="str">
        <f t="shared" si="1"/>
        <v>MJ/Ha</v>
      </c>
      <c r="P18" s="43">
        <f>(Tabla2[[#This Row],[Indicador área]]*$B$5)</f>
        <v>8363520</v>
      </c>
      <c r="Q18" s="45">
        <f>+Tabla2[[#This Row],[Consumo energía '[MJ/año']]]/$P$9</f>
        <v>0.12956208318081247</v>
      </c>
      <c r="R18" s="45">
        <f>IF(Tabla2[[#This Row],[Energético]]="Energía Eléctrica",((Tabla2[[#This Row],[Participación]]*$D$29)/SUMIF(Tabla2[Energético],"Energía Eléctrica",Tabla2[Participación]))*$B$32,Tabla2[[#This Row],[Consumo energía '[MJ/año']]])</f>
        <v>9679106.4723483566</v>
      </c>
    </row>
    <row r="19" spans="1:18" x14ac:dyDescent="0.2">
      <c r="F19" s="26" t="s">
        <v>49</v>
      </c>
      <c r="G19" s="27" t="s">
        <v>40</v>
      </c>
      <c r="H19" s="27" t="s">
        <v>58</v>
      </c>
      <c r="I19" s="27" t="s">
        <v>2</v>
      </c>
      <c r="J19" s="27" t="s">
        <v>52</v>
      </c>
      <c r="K19" s="27" t="s">
        <v>24</v>
      </c>
      <c r="L19" s="28">
        <v>89.208664619999993</v>
      </c>
      <c r="M19" s="32" t="str">
        <f>IFERROR(RIGHT(Tabla2[[#This Row],[Unidades indicador producción]], LEN(Tabla2[[#This Row],[Unidades indicador producción]])-FIND("/", Tabla2[[#This Row],[Unidades indicador producción]])), "")</f>
        <v>Ha</v>
      </c>
      <c r="N19" s="30">
        <f>IF(Tabla2[[#This Row],[Parámetro]]="Tn",Tabla2[[#This Row],[Indicador]]*$B$6,Tabla2[[#This Row],[Indicador]])</f>
        <v>89.208664619999993</v>
      </c>
      <c r="O19" s="32" t="str">
        <f t="shared" si="1"/>
        <v>MJ/Ha</v>
      </c>
      <c r="P19" s="43">
        <f>(Tabla2[[#This Row],[Indicador área]]*$B$5)</f>
        <v>863539.87352159992</v>
      </c>
      <c r="Q19" s="45">
        <f>+Tabla2[[#This Row],[Consumo energía '[MJ/año']]]/$P$9</f>
        <v>1.3377384752251899E-2</v>
      </c>
      <c r="R19" s="45">
        <f>IF(Tabla2[[#This Row],[Energético]]="Energía Eléctrica",((Tabla2[[#This Row],[Participación]]*$D$29)/SUMIF(Tabla2[Energético],"Energía Eléctrica",Tabla2[Participación]))*$B$32,Tabla2[[#This Row],[Consumo energía '[MJ/año']]])</f>
        <v>999375.18878818944</v>
      </c>
    </row>
    <row r="20" spans="1:18" x14ac:dyDescent="0.2">
      <c r="F20" s="26" t="s">
        <v>49</v>
      </c>
      <c r="G20" s="27" t="s">
        <v>40</v>
      </c>
      <c r="H20" s="27" t="s">
        <v>59</v>
      </c>
      <c r="I20" s="27" t="s">
        <v>2</v>
      </c>
      <c r="J20" s="27" t="s">
        <v>51</v>
      </c>
      <c r="K20" s="27" t="s">
        <v>24</v>
      </c>
      <c r="L20" s="28">
        <v>1.384615385</v>
      </c>
      <c r="M20" s="32" t="str">
        <f>IFERROR(RIGHT(Tabla2[[#This Row],[Unidades indicador producción]], LEN(Tabla2[[#This Row],[Unidades indicador producción]])-FIND("/", Tabla2[[#This Row],[Unidades indicador producción]])), "")</f>
        <v>Ha</v>
      </c>
      <c r="N20" s="30">
        <f>IF(Tabla2[[#This Row],[Parámetro]]="Tn",Tabla2[[#This Row],[Indicador]]*$B$6,Tabla2[[#This Row],[Indicador]])</f>
        <v>1.384615385</v>
      </c>
      <c r="O20" s="32" t="str">
        <f t="shared" si="1"/>
        <v>MJ/Ha</v>
      </c>
      <c r="P20" s="43">
        <f>(Tabla2[[#This Row],[Indicador área]]*$B$5)</f>
        <v>13403.0769268</v>
      </c>
      <c r="Q20" s="45">
        <f>+Tabla2[[#This Row],[Consumo energía '[MJ/año']]]/$P$9</f>
        <v>2.0763154361666978E-4</v>
      </c>
      <c r="R20" s="45">
        <f>IF(Tabla2[[#This Row],[Energético]]="Energía Eléctrica",((Tabla2[[#This Row],[Participación]]*$D$29)/SUMIF(Tabla2[Energético],"Energía Eléctrica",Tabla2[Participación]))*$B$32,Tabla2[[#This Row],[Consumo energía '[MJ/año']]])</f>
        <v>15511.388581790057</v>
      </c>
    </row>
    <row r="21" spans="1:18" x14ac:dyDescent="0.2">
      <c r="F21" s="26" t="s">
        <v>49</v>
      </c>
      <c r="G21" s="27" t="s">
        <v>40</v>
      </c>
      <c r="H21" s="27" t="s">
        <v>58</v>
      </c>
      <c r="I21" s="27" t="s">
        <v>9</v>
      </c>
      <c r="J21" s="27" t="s">
        <v>44</v>
      </c>
      <c r="K21" s="27" t="s">
        <v>24</v>
      </c>
      <c r="L21" s="28">
        <v>128.80769230000001</v>
      </c>
      <c r="M21" s="32" t="str">
        <f>IFERROR(RIGHT(Tabla2[[#This Row],[Unidades indicador producción]], LEN(Tabla2[[#This Row],[Unidades indicador producción]])-FIND("/", Tabla2[[#This Row],[Unidades indicador producción]])), "")</f>
        <v>Ha</v>
      </c>
      <c r="N21" s="30">
        <f>IF(Tabla2[[#This Row],[Parámetro]]="Tn",Tabla2[[#This Row],[Indicador]]*$B$6,Tabla2[[#This Row],[Indicador]])</f>
        <v>128.80769230000001</v>
      </c>
      <c r="O21" s="32" t="str">
        <f t="shared" si="1"/>
        <v>MJ/Ha</v>
      </c>
      <c r="P21" s="43">
        <f>(Tabla2[[#This Row],[Indicador área]]*$B$5)</f>
        <v>1246858.4614640002</v>
      </c>
      <c r="Q21" s="45">
        <f>+Tabla2[[#This Row],[Consumo energía '[MJ/año']]]/$P$9</f>
        <v>1.9315501092709606E-2</v>
      </c>
      <c r="R21" s="45">
        <f>IF(Tabla2[[#This Row],[Energético]]="Energía Eléctrica",((Tabla2[[#This Row],[Participación]]*$D$29)/SUMIF(Tabla2[Energético],"Energía Eléctrica",Tabla2[Participación]))*$B$32,Tabla2[[#This Row],[Consumo energía '[MJ/año']]])</f>
        <v>1246858.4614640002</v>
      </c>
    </row>
    <row r="22" spans="1:18" x14ac:dyDescent="0.2">
      <c r="F22" s="26" t="s">
        <v>49</v>
      </c>
      <c r="G22" s="27" t="s">
        <v>45</v>
      </c>
      <c r="H22" s="27" t="s">
        <v>58</v>
      </c>
      <c r="I22" s="27" t="s">
        <v>3</v>
      </c>
      <c r="J22" s="27" t="s">
        <v>53</v>
      </c>
      <c r="K22" s="27" t="s">
        <v>24</v>
      </c>
      <c r="L22" s="28">
        <v>49.907161799999997</v>
      </c>
      <c r="M22" s="32" t="str">
        <f>IFERROR(RIGHT(Tabla2[[#This Row],[Unidades indicador producción]], LEN(Tabla2[[#This Row],[Unidades indicador producción]])-FIND("/", Tabla2[[#This Row],[Unidades indicador producción]])), "")</f>
        <v>Ha</v>
      </c>
      <c r="N22" s="30">
        <f>IF(Tabla2[[#This Row],[Parámetro]]="Tn",Tabla2[[#This Row],[Indicador]]*$B$6,Tabla2[[#This Row],[Indicador]])</f>
        <v>49.907161799999997</v>
      </c>
      <c r="O22" s="32" t="str">
        <f t="shared" si="1"/>
        <v>MJ/Ha</v>
      </c>
      <c r="P22" s="43">
        <f>(Tabla2[[#This Row],[Indicador área]]*$B$5)</f>
        <v>483101.32622399996</v>
      </c>
      <c r="Q22" s="45">
        <f>+Tabla2[[#This Row],[Consumo energía '[MJ/año']]]/$P$9</f>
        <v>7.4838840838540111E-3</v>
      </c>
      <c r="R22" s="45">
        <f>IF(Tabla2[[#This Row],[Energético]]="Energía Eléctrica",((Tabla2[[#This Row],[Participación]]*$D$29)/SUMIF(Tabla2[Energético],"Energía Eléctrica",Tabla2[Participación]))*$B$32,Tabla2[[#This Row],[Consumo energía '[MJ/año']]])</f>
        <v>483101.32622399996</v>
      </c>
    </row>
    <row r="23" spans="1:18" x14ac:dyDescent="0.2">
      <c r="F23" s="26" t="s">
        <v>49</v>
      </c>
      <c r="G23" s="27" t="s">
        <v>45</v>
      </c>
      <c r="H23" s="27" t="s">
        <v>58</v>
      </c>
      <c r="I23" s="27" t="s">
        <v>2</v>
      </c>
      <c r="J23" s="27" t="s">
        <v>54</v>
      </c>
      <c r="K23" s="27" t="s">
        <v>24</v>
      </c>
      <c r="L23" s="28">
        <v>1738.8</v>
      </c>
      <c r="M23" s="32" t="str">
        <f>IFERROR(RIGHT(Tabla2[[#This Row],[Unidades indicador producción]], LEN(Tabla2[[#This Row],[Unidades indicador producción]])-FIND("/", Tabla2[[#This Row],[Unidades indicador producción]])), "")</f>
        <v>Ha</v>
      </c>
      <c r="N23" s="30">
        <f>IF(Tabla2[[#This Row],[Parámetro]]="Tn",Tabla2[[#This Row],[Indicador]]*$B$6,Tabla2[[#This Row],[Indicador]])</f>
        <v>1738.8</v>
      </c>
      <c r="O23" s="32" t="str">
        <f t="shared" si="1"/>
        <v>MJ/Ha</v>
      </c>
      <c r="P23" s="43">
        <f>(Tabla2[[#This Row],[Indicador área]]*$B$5)</f>
        <v>16831584</v>
      </c>
      <c r="Q23" s="45">
        <f>+Tabla2[[#This Row],[Consumo energía '[MJ/año']]]/$P$9</f>
        <v>0.26074369240138506</v>
      </c>
      <c r="R23" s="45">
        <f>IF(Tabla2[[#This Row],[Energético]]="Energía Eléctrica",((Tabla2[[#This Row],[Participación]]*$D$29)/SUMIF(Tabla2[Energético],"Energía Eléctrica",Tabla2[Participación]))*$B$32,Tabla2[[#This Row],[Consumo energía '[MJ/año']]])</f>
        <v>19479201.775601067</v>
      </c>
    </row>
    <row r="24" spans="1:18" x14ac:dyDescent="0.2">
      <c r="F24" s="26" t="s">
        <v>49</v>
      </c>
      <c r="G24" s="27" t="s">
        <v>45</v>
      </c>
      <c r="H24" s="27" t="s">
        <v>58</v>
      </c>
      <c r="I24" s="27" t="s">
        <v>2</v>
      </c>
      <c r="J24" s="27" t="s">
        <v>43</v>
      </c>
      <c r="K24" s="27" t="s">
        <v>24</v>
      </c>
      <c r="L24" s="28">
        <v>0.25566857100000001</v>
      </c>
      <c r="M24" s="32" t="str">
        <f>IFERROR(RIGHT(Tabla2[[#This Row],[Unidades indicador producción]], LEN(Tabla2[[#This Row],[Unidades indicador producción]])-FIND("/", Tabla2[[#This Row],[Unidades indicador producción]])), "")</f>
        <v>Ha</v>
      </c>
      <c r="N24" s="30">
        <f>IF(Tabla2[[#This Row],[Parámetro]]="Tn",Tabla2[[#This Row],[Indicador]]*$B$6,Tabla2[[#This Row],[Indicador]])</f>
        <v>0.25566857100000001</v>
      </c>
      <c r="O24" s="32" t="str">
        <f t="shared" si="1"/>
        <v>MJ/Ha</v>
      </c>
      <c r="P24" s="43">
        <f>(Tabla2[[#This Row],[Indicador área]]*$B$5)</f>
        <v>2474.8717672800003</v>
      </c>
      <c r="Q24" s="45">
        <f>+Tabla2[[#This Row],[Consumo energía '[MJ/año']]]/$P$9</f>
        <v>3.8339065581737801E-5</v>
      </c>
      <c r="R24" s="45">
        <f>IF(Tabla2[[#This Row],[Energético]]="Energía Eléctrica",((Tabla2[[#This Row],[Participación]]*$D$29)/SUMIF(Tabla2[Energético],"Energía Eléctrica",Tabla2[Participación]))*$B$32,Tabla2[[#This Row],[Consumo energía '[MJ/año']]])</f>
        <v>2864.1705096552723</v>
      </c>
    </row>
    <row r="25" spans="1:18" x14ac:dyDescent="0.2">
      <c r="F25" s="26" t="s">
        <v>49</v>
      </c>
      <c r="G25" s="27" t="s">
        <v>45</v>
      </c>
      <c r="H25" s="27" t="s">
        <v>58</v>
      </c>
      <c r="I25" s="27" t="s">
        <v>2</v>
      </c>
      <c r="J25" s="27" t="s">
        <v>55</v>
      </c>
      <c r="K25" s="27" t="s">
        <v>24</v>
      </c>
      <c r="L25" s="28">
        <v>1699.010274</v>
      </c>
      <c r="M25" s="32" t="str">
        <f>IFERROR(RIGHT(Tabla2[[#This Row],[Unidades indicador producción]], LEN(Tabla2[[#This Row],[Unidades indicador producción]])-FIND("/", Tabla2[[#This Row],[Unidades indicador producción]])), "")</f>
        <v>Ha</v>
      </c>
      <c r="N25" s="30">
        <f>IF(Tabla2[[#This Row],[Parámetro]]="Tn",Tabla2[[#This Row],[Indicador]]*$B$6,Tabla2[[#This Row],[Indicador]])</f>
        <v>1699.010274</v>
      </c>
      <c r="O25" s="32" t="str">
        <f t="shared" si="1"/>
        <v>MJ/Ha</v>
      </c>
      <c r="P25" s="43">
        <f>(Tabla2[[#This Row],[Indicador área]]*$B$5)</f>
        <v>16446419.45232</v>
      </c>
      <c r="Q25" s="45">
        <f>+Tabla2[[#This Row],[Consumo energía '[MJ/año']]]/$P$9</f>
        <v>0.25477697968176272</v>
      </c>
      <c r="R25" s="45">
        <f>IF(Tabla2[[#This Row],[Energético]]="Energía Eléctrica",((Tabla2[[#This Row],[Participación]]*$D$29)/SUMIF(Tabla2[Energético],"Energía Eléctrica",Tabla2[Participación]))*$B$32,Tabla2[[#This Row],[Consumo energía '[MJ/año']]])</f>
        <v>19033450.624606196</v>
      </c>
    </row>
    <row r="26" spans="1:18" ht="15.75" x14ac:dyDescent="0.25">
      <c r="A26" s="33" t="s">
        <v>30</v>
      </c>
      <c r="B26" s="33"/>
      <c r="C26" s="33"/>
      <c r="D26" s="33"/>
      <c r="F26" s="26" t="s">
        <v>49</v>
      </c>
      <c r="G26" s="27" t="s">
        <v>45</v>
      </c>
      <c r="H26" s="27" t="s">
        <v>60</v>
      </c>
      <c r="I26" s="27" t="s">
        <v>2</v>
      </c>
      <c r="J26" s="27" t="s">
        <v>56</v>
      </c>
      <c r="K26" s="27" t="s">
        <v>24</v>
      </c>
      <c r="L26" s="28">
        <v>132.08275860000001</v>
      </c>
      <c r="M26" s="32" t="str">
        <f>IFERROR(RIGHT(Tabla2[[#This Row],[Unidades indicador producción]], LEN(Tabla2[[#This Row],[Unidades indicador producción]])-FIND("/", Tabla2[[#This Row],[Unidades indicador producción]])), "")</f>
        <v>Ha</v>
      </c>
      <c r="N26" s="30">
        <f>IF(Tabla2[[#This Row],[Parámetro]]="Tn",Tabla2[[#This Row],[Indicador]]*$B$6,Tabla2[[#This Row],[Indicador]])</f>
        <v>132.08275860000001</v>
      </c>
      <c r="O26" s="32" t="str">
        <f t="shared" si="1"/>
        <v>MJ/Ha</v>
      </c>
      <c r="P26" s="43">
        <f>(Tabla2[[#This Row],[Indicador área]]*$B$5)</f>
        <v>1278561.1032480001</v>
      </c>
      <c r="Q26" s="45">
        <f>+Tabla2[[#This Row],[Consumo energía '[MJ/año']]]/$P$9</f>
        <v>1.9806617310745806E-2</v>
      </c>
      <c r="R26" s="45">
        <f>IF(Tabla2[[#This Row],[Energético]]="Energía Eléctrica",((Tabla2[[#This Row],[Participación]]*$D$29)/SUMIF(Tabla2[Energético],"Energía Eléctrica",Tabla2[Participación]))*$B$32,Tabla2[[#This Row],[Consumo energía '[MJ/año']]])</f>
        <v>1479679.494966303</v>
      </c>
    </row>
    <row r="27" spans="1:18" x14ac:dyDescent="0.2">
      <c r="F27" s="26" t="s">
        <v>49</v>
      </c>
      <c r="G27" s="27" t="s">
        <v>45</v>
      </c>
      <c r="H27" s="27" t="s">
        <v>59</v>
      </c>
      <c r="I27" s="27" t="s">
        <v>2</v>
      </c>
      <c r="J27" s="27" t="s">
        <v>51</v>
      </c>
      <c r="K27" s="27" t="s">
        <v>24</v>
      </c>
      <c r="L27" s="28">
        <v>391.0415764</v>
      </c>
      <c r="M27" s="32" t="str">
        <f>IFERROR(RIGHT(Tabla2[[#This Row],[Unidades indicador producción]], LEN(Tabla2[[#This Row],[Unidades indicador producción]])-FIND("/", Tabla2[[#This Row],[Unidades indicador producción]])), "")</f>
        <v>Ha</v>
      </c>
      <c r="N27" s="30">
        <f>IF(Tabla2[[#This Row],[Parámetro]]="Tn",Tabla2[[#This Row],[Indicador]]*$B$6,Tabla2[[#This Row],[Indicador]])</f>
        <v>391.0415764</v>
      </c>
      <c r="O27" s="32" t="str">
        <f t="shared" si="1"/>
        <v>MJ/Ha</v>
      </c>
      <c r="P27" s="43">
        <f>(Tabla2[[#This Row],[Indicador área]]*$B$5)</f>
        <v>3785282.4595519998</v>
      </c>
      <c r="Q27" s="45">
        <f>+Tabla2[[#This Row],[Consumo energía '[MJ/año']]]/$P$9</f>
        <v>5.8639075519320405E-2</v>
      </c>
      <c r="R27" s="45">
        <f>IF(Tabla2[[#This Row],[Energético]]="Energía Eléctrica",((Tabla2[[#This Row],[Participación]]*$D$29)/SUMIF(Tabla2[Energético],"Energía Eléctrica",Tabla2[Participación]))*$B$32,Tabla2[[#This Row],[Consumo energía '[MJ/año']]])</f>
        <v>4380709.5521881292</v>
      </c>
    </row>
    <row r="28" spans="1:18" x14ac:dyDescent="0.2">
      <c r="A28" s="16" t="s">
        <v>0</v>
      </c>
      <c r="B28" s="16" t="s">
        <v>34</v>
      </c>
      <c r="C28" s="16" t="s">
        <v>35</v>
      </c>
      <c r="D28" s="16" t="s">
        <v>1</v>
      </c>
      <c r="F28" s="26" t="s">
        <v>49</v>
      </c>
      <c r="G28" s="27" t="s">
        <v>45</v>
      </c>
      <c r="H28" s="27" t="s">
        <v>58</v>
      </c>
      <c r="I28" s="27" t="s">
        <v>2</v>
      </c>
      <c r="J28" s="27" t="s">
        <v>57</v>
      </c>
      <c r="K28" s="27" t="s">
        <v>24</v>
      </c>
      <c r="L28" s="28">
        <v>11.233683689999999</v>
      </c>
      <c r="M28" s="32" t="str">
        <f>IFERROR(RIGHT(Tabla2[[#This Row],[Unidades indicador producción]], LEN(Tabla2[[#This Row],[Unidades indicador producción]])-FIND("/", Tabla2[[#This Row],[Unidades indicador producción]])), "")</f>
        <v>Ha</v>
      </c>
      <c r="N28" s="30">
        <f>IF(Tabla2[[#This Row],[Parámetro]]="Tn",Tabla2[[#This Row],[Indicador]]*$B$6,Tabla2[[#This Row],[Indicador]])</f>
        <v>11.233683689999999</v>
      </c>
      <c r="O28" s="32" t="str">
        <f t="shared" si="1"/>
        <v>MJ/Ha</v>
      </c>
      <c r="P28" s="43">
        <f>(Tabla2[[#This Row],[Indicador área]]*$B$5)</f>
        <v>108742.0581192</v>
      </c>
      <c r="Q28" s="45">
        <f>+Tabla2[[#This Row],[Consumo energía '[MJ/año']]]/$P$9</f>
        <v>1.6845595609614771E-3</v>
      </c>
      <c r="R28" s="45">
        <f>IF(Tabla2[[#This Row],[Energético]]="Energía Eléctrica",((Tabla2[[#This Row],[Participación]]*$D$29)/SUMIF(Tabla2[Energético],"Energía Eléctrica",Tabla2[Participación]))*$B$32,Tabla2[[#This Row],[Consumo energía '[MJ/año']]])</f>
        <v>125847.24596318652</v>
      </c>
    </row>
    <row r="29" spans="1:18" x14ac:dyDescent="0.2">
      <c r="A29" s="17" t="s">
        <v>2</v>
      </c>
      <c r="B29" s="18">
        <f>B8</f>
        <v>66972500.082428701</v>
      </c>
      <c r="C29" s="19">
        <f>Flores!$B29/1000000</f>
        <v>66.972500082428695</v>
      </c>
      <c r="D29" s="20">
        <f>B29/$B$32</f>
        <v>0.90927126523422996</v>
      </c>
      <c r="F29" s="26" t="s">
        <v>49</v>
      </c>
      <c r="G29" s="27" t="s">
        <v>20</v>
      </c>
      <c r="H29" s="27" t="s">
        <v>58</v>
      </c>
      <c r="I29" s="27" t="s">
        <v>2</v>
      </c>
      <c r="J29" s="27" t="s">
        <v>47</v>
      </c>
      <c r="K29" s="27" t="s">
        <v>24</v>
      </c>
      <c r="L29" s="28">
        <v>6.7112999999999996</v>
      </c>
      <c r="M29" s="32" t="str">
        <f>IFERROR(RIGHT(Tabla2[[#This Row],[Unidades indicador producción]], LEN(Tabla2[[#This Row],[Unidades indicador producción]])-FIND("/", Tabla2[[#This Row],[Unidades indicador producción]])), "")</f>
        <v>Ha</v>
      </c>
      <c r="N29" s="30">
        <f>IF(Tabla2[[#This Row],[Parámetro]]="Tn",Tabla2[[#This Row],[Indicador]]*$B$6,Tabla2[[#This Row],[Indicador]])</f>
        <v>6.7112999999999996</v>
      </c>
      <c r="O29" s="32" t="str">
        <f t="shared" si="1"/>
        <v>MJ/Ha</v>
      </c>
      <c r="P29" s="43">
        <f>(Tabla2[[#This Row],[Indicador área]]*$B$5)</f>
        <v>64965.383999999998</v>
      </c>
      <c r="Q29" s="45">
        <f>+Tabla2[[#This Row],[Consumo energía '[MJ/año']]]/$P$9</f>
        <v>1.0064004732076234E-3</v>
      </c>
      <c r="R29" s="45">
        <f>IF(Tabla2[[#This Row],[Energético]]="Energía Eléctrica",((Tabla2[[#This Row],[Participación]]*$D$29)/SUMIF(Tabla2[Energético],"Energía Eléctrica",Tabla2[Participación]))*$B$32,Tabla2[[#This Row],[Consumo energía '[MJ/año']]])</f>
        <v>75184.476004480923</v>
      </c>
    </row>
    <row r="30" spans="1:18" x14ac:dyDescent="0.2">
      <c r="A30" s="17" t="s">
        <v>9</v>
      </c>
      <c r="B30" s="21">
        <f>SUMIF(Tabla2[Energético],A30,Tabla2[Consumo energía '[MJ/año']])</f>
        <v>4360282.6500904001</v>
      </c>
      <c r="C30" s="19">
        <f>Flores!$B30/1000000</f>
        <v>4.3602826500903999</v>
      </c>
      <c r="D30" s="20">
        <f>B30/$B$32</f>
        <v>5.919862207841866E-2</v>
      </c>
      <c r="F30" s="26" t="s">
        <v>49</v>
      </c>
      <c r="G30" s="27" t="s">
        <v>20</v>
      </c>
      <c r="H30" s="27" t="s">
        <v>59</v>
      </c>
      <c r="I30" s="27" t="s">
        <v>2</v>
      </c>
      <c r="J30" s="27" t="s">
        <v>51</v>
      </c>
      <c r="K30" s="27" t="s">
        <v>24</v>
      </c>
      <c r="L30" s="28">
        <v>864</v>
      </c>
      <c r="M30" s="32" t="str">
        <f>IFERROR(RIGHT(Tabla2[[#This Row],[Unidades indicador producción]], LEN(Tabla2[[#This Row],[Unidades indicador producción]])-FIND("/", Tabla2[[#This Row],[Unidades indicador producción]])), "")</f>
        <v>Ha</v>
      </c>
      <c r="N30" s="30">
        <f>IF(Tabla2[[#This Row],[Parámetro]]="Tn",Tabla2[[#This Row],[Indicador]]*$B$6,Tabla2[[#This Row],[Indicador]])</f>
        <v>864</v>
      </c>
      <c r="O30" s="32" t="str">
        <f t="shared" si="1"/>
        <v>MJ/Ha</v>
      </c>
      <c r="P30" s="43">
        <f>(Tabla2[[#This Row],[Indicador área]]*$B$5)</f>
        <v>8363520</v>
      </c>
      <c r="Q30" s="45">
        <f>+Tabla2[[#This Row],[Consumo energía '[MJ/año']]]/$P$9</f>
        <v>0.12956208318081247</v>
      </c>
      <c r="R30" s="45">
        <f>IF(Tabla2[[#This Row],[Energético]]="Energía Eléctrica",((Tabla2[[#This Row],[Participación]]*$D$29)/SUMIF(Tabla2[Energético],"Energía Eléctrica",Tabla2[Participación]))*$B$32,Tabla2[[#This Row],[Consumo energía '[MJ/año']]])</f>
        <v>9679106.4723483566</v>
      </c>
    </row>
    <row r="31" spans="1:18" x14ac:dyDescent="0.2">
      <c r="A31" s="17" t="s">
        <v>3</v>
      </c>
      <c r="B31" s="21">
        <f>SUMIF(Tabla2[Energético],A31,Tabla2[Consumo energía '[MJ/año']])</f>
        <v>2322354.78596</v>
      </c>
      <c r="C31" s="19">
        <f>Flores!$B31/1000000</f>
        <v>2.32235478596</v>
      </c>
      <c r="D31" s="20">
        <f>B31/$B$32</f>
        <v>3.1530112687351258E-2</v>
      </c>
      <c r="F31" s="26" t="s">
        <v>49</v>
      </c>
      <c r="G31" s="27" t="s">
        <v>46</v>
      </c>
      <c r="H31" s="27" t="s">
        <v>58</v>
      </c>
      <c r="I31" s="27" t="s">
        <v>2</v>
      </c>
      <c r="J31" s="27" t="s">
        <v>47</v>
      </c>
      <c r="K31" s="27" t="s">
        <v>24</v>
      </c>
      <c r="L31" s="28">
        <v>90.742225759999997</v>
      </c>
      <c r="M31" s="32" t="str">
        <f>IFERROR(RIGHT(Tabla2[[#This Row],[Unidades indicador producción]], LEN(Tabla2[[#This Row],[Unidades indicador producción]])-FIND("/", Tabla2[[#This Row],[Unidades indicador producción]])), "")</f>
        <v>Ha</v>
      </c>
      <c r="N31" s="30">
        <f>IF(Tabla2[[#This Row],[Parámetro]]="Tn",Tabla2[[#This Row],[Indicador]]*$B$6,Tabla2[[#This Row],[Indicador]])</f>
        <v>90.742225759999997</v>
      </c>
      <c r="O31" s="32" t="str">
        <f t="shared" si="1"/>
        <v>MJ/Ha</v>
      </c>
      <c r="P31" s="43">
        <f>(Tabla2[[#This Row],[Indicador área]]*$B$5)</f>
        <v>878384.74535679992</v>
      </c>
      <c r="Q31" s="45">
        <f>+Tabla2[[#This Row],[Consumo energía '[MJ/año']]]/$P$9</f>
        <v>1.3607351622603221E-2</v>
      </c>
      <c r="R31" s="45">
        <f>IF(Tabla2[[#This Row],[Energético]]="Energía Eléctrica",((Tabla2[[#This Row],[Participación]]*$D$29)/SUMIF(Tabla2[Energético],"Energía Eléctrica",Tabla2[Participación]))*$B$32,Tabla2[[#This Row],[Consumo energía '[MJ/año']]])</f>
        <v>1016555.1674408701</v>
      </c>
    </row>
    <row r="32" spans="1:18" x14ac:dyDescent="0.2">
      <c r="A32" s="35" t="s">
        <v>62</v>
      </c>
      <c r="B32" s="36">
        <f>SUM(B29:B31)</f>
        <v>73655137.518479109</v>
      </c>
      <c r="C32" s="36">
        <f>SUM(C29:C31)</f>
        <v>73.655137518479094</v>
      </c>
      <c r="D32" s="37">
        <f>SUM(D29:D31)</f>
        <v>0.99999999999999989</v>
      </c>
      <c r="F32" s="26" t="s">
        <v>49</v>
      </c>
      <c r="G32" s="27" t="s">
        <v>46</v>
      </c>
      <c r="H32" s="27" t="s">
        <v>58</v>
      </c>
      <c r="I32" s="27" t="s">
        <v>9</v>
      </c>
      <c r="J32" s="27" t="s">
        <v>47</v>
      </c>
      <c r="K32" s="27" t="s">
        <v>24</v>
      </c>
      <c r="L32" s="28">
        <v>193.21153849999999</v>
      </c>
      <c r="M32" s="32" t="str">
        <f>IFERROR(RIGHT(Tabla2[[#This Row],[Unidades indicador producción]], LEN(Tabla2[[#This Row],[Unidades indicador producción]])-FIND("/", Tabla2[[#This Row],[Unidades indicador producción]])), "")</f>
        <v>Ha</v>
      </c>
      <c r="N32" s="30">
        <f>IF(Tabla2[[#This Row],[Parámetro]]="Tn",Tabla2[[#This Row],[Indicador]]*$B$6,Tabla2[[#This Row],[Indicador]])</f>
        <v>193.21153849999999</v>
      </c>
      <c r="O32" s="32" t="str">
        <f t="shared" si="1"/>
        <v>MJ/Ha</v>
      </c>
      <c r="P32" s="43">
        <f>(Tabla2[[#This Row],[Indicador área]]*$B$5)</f>
        <v>1870287.6926799999</v>
      </c>
      <c r="Q32" s="45">
        <f>+Tabla2[[#This Row],[Consumo energía '[MJ/año']]]/$P$9</f>
        <v>2.8973251646562209E-2</v>
      </c>
      <c r="R32" s="45">
        <f>IF(Tabla2[[#This Row],[Energético]]="Energía Eléctrica",((Tabla2[[#This Row],[Participación]]*$D$29)/SUMIF(Tabla2[Energético],"Energía Eléctrica",Tabla2[Participación]))*$B$32,Tabla2[[#This Row],[Consumo energía '[MJ/año']]])</f>
        <v>1870287.6926799999</v>
      </c>
    </row>
    <row r="36" spans="1:3" ht="18" x14ac:dyDescent="0.25">
      <c r="A36" s="34" t="s">
        <v>37</v>
      </c>
      <c r="B36" s="34"/>
      <c r="C36" s="34"/>
    </row>
    <row r="37" spans="1:3" x14ac:dyDescent="0.2">
      <c r="A37" s="9" t="str">
        <f>+A4</f>
        <v>Grupo Homogeneo</v>
      </c>
      <c r="B37" s="9" t="s">
        <v>31</v>
      </c>
      <c r="C37" s="9" t="s">
        <v>32</v>
      </c>
    </row>
    <row r="38" spans="1:3" x14ac:dyDescent="0.2">
      <c r="A38" s="10" t="str">
        <f>+$B$4</f>
        <v>Cultivo de flores</v>
      </c>
      <c r="B38" s="11">
        <f>+B32/B5</f>
        <v>7609.0018097602388</v>
      </c>
      <c r="C38" s="11">
        <f>B38/$B$6</f>
        <v>297.22663319375931</v>
      </c>
    </row>
  </sheetData>
  <mergeCells count="4">
    <mergeCell ref="A26:D26"/>
    <mergeCell ref="F8:L8"/>
    <mergeCell ref="A36:C36"/>
    <mergeCell ref="A3:B3"/>
  </mergeCells>
  <phoneticPr fontId="8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A29:A31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Flores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2024-01-24T01:49:59Z</dcterms:modified>
</cp:coreProperties>
</file>