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LANEACION 2020 y 2021\ESTRATEGIAS PROURE EQUIPOS E NACIONALES\EJECUCION\PRIMER ENTREGABLE\"/>
    </mc:Choice>
  </mc:AlternateContent>
  <xr:revisionPtr revIDLastSave="0" documentId="8_{44065513-296B-4362-839B-B49A7869B2EF}" xr6:coauthVersionLast="47" xr6:coauthVersionMax="47" xr10:uidLastSave="{00000000-0000-0000-0000-000000000000}"/>
  <bookViews>
    <workbookView xWindow="-108" yWindow="-108" windowWidth="23256" windowHeight="12576" firstSheet="3" activeTab="6" xr2:uid="{00000000-000D-0000-FFFF-FFFF00000000}"/>
  </bookViews>
  <sheets>
    <sheet name="Metas PROURE" sheetId="1" r:id="rId1"/>
    <sheet name="PROUREvsMercado" sheetId="2" r:id="rId2"/>
    <sheet name="Tenencia electrodomésticos" sheetId="3" r:id="rId3"/>
    <sheet name="Subsistencia" sheetId="4" r:id="rId4"/>
    <sheet name="Viviendas" sheetId="5" r:id="rId5"/>
    <sheet name="Import product finales 17-20 " sheetId="6" r:id="rId6"/>
    <sheet name="Insumos Import 17-20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6" i="7" l="1"/>
  <c r="C26" i="7"/>
  <c r="D26" i="7"/>
  <c r="A26" i="7"/>
  <c r="F22" i="3" l="1"/>
  <c r="E22" i="3"/>
  <c r="H7" i="5"/>
  <c r="I8" i="5"/>
  <c r="I7" i="5"/>
  <c r="H8" i="5"/>
  <c r="B24" i="5"/>
  <c r="E24" i="5"/>
  <c r="D24" i="5"/>
  <c r="C24" i="5"/>
  <c r="C13" i="5"/>
  <c r="D13" i="5"/>
  <c r="E13" i="5"/>
  <c r="B13" i="5"/>
  <c r="K11" i="4"/>
  <c r="K12" i="4"/>
  <c r="K13" i="4"/>
  <c r="K14" i="4"/>
  <c r="K15" i="4"/>
  <c r="K16" i="4"/>
  <c r="K17" i="4"/>
  <c r="K18" i="4"/>
  <c r="K10" i="4"/>
  <c r="K25" i="4"/>
  <c r="K26" i="4"/>
  <c r="K27" i="4"/>
  <c r="K28" i="4"/>
  <c r="K29" i="4"/>
  <c r="K30" i="4"/>
  <c r="K31" i="4"/>
  <c r="K32" i="4"/>
  <c r="K24" i="4"/>
  <c r="K39" i="4"/>
  <c r="K40" i="4"/>
  <c r="K41" i="4"/>
  <c r="K42" i="4"/>
  <c r="K43" i="4"/>
  <c r="K44" i="4"/>
  <c r="K45" i="4"/>
  <c r="K46" i="4"/>
  <c r="K38" i="4"/>
  <c r="L47" i="4"/>
  <c r="M33" i="4"/>
  <c r="L33" i="4"/>
  <c r="N33" i="4" s="1"/>
  <c r="L19" i="4"/>
  <c r="K47" i="4"/>
  <c r="K33" i="4"/>
  <c r="K19" i="4"/>
  <c r="G30" i="3"/>
  <c r="G29" i="3"/>
  <c r="H29" i="3" s="1"/>
  <c r="C47" i="2"/>
  <c r="C46" i="2"/>
  <c r="D45" i="2"/>
  <c r="D44" i="2"/>
  <c r="N13" i="2"/>
  <c r="M13" i="2"/>
  <c r="L13" i="2"/>
  <c r="D48" i="2"/>
  <c r="D49" i="2"/>
  <c r="E45" i="2" s="1"/>
  <c r="D50" i="2"/>
  <c r="D5" i="1"/>
  <c r="D4" i="1"/>
  <c r="D3" i="1"/>
  <c r="C3" i="1"/>
  <c r="G28" i="3" l="1"/>
  <c r="F28" i="3"/>
  <c r="O13" i="2"/>
  <c r="O12" i="2"/>
  <c r="F40" i="2" l="1"/>
  <c r="O14" i="2" s="1"/>
  <c r="E40" i="2"/>
  <c r="D40" i="2"/>
  <c r="C40" i="2"/>
  <c r="I40" i="2" s="1"/>
  <c r="U14" i="2" s="1"/>
  <c r="I39" i="2"/>
  <c r="U12" i="2" s="1"/>
  <c r="H39" i="2"/>
  <c r="G39" i="2"/>
  <c r="I38" i="2"/>
  <c r="H38" i="2"/>
  <c r="G38" i="2"/>
  <c r="I37" i="2"/>
  <c r="U13" i="2" s="1"/>
  <c r="H37" i="2"/>
  <c r="G37" i="2"/>
  <c r="N12" i="2"/>
  <c r="O11" i="2"/>
  <c r="C7" i="2"/>
  <c r="U11" i="2" s="1"/>
  <c r="E7" i="2"/>
  <c r="D7" i="2"/>
  <c r="H40" i="2" l="1"/>
  <c r="G40" i="2"/>
  <c r="G41" i="2" s="1"/>
  <c r="F32" i="2"/>
  <c r="N14" i="2" s="1"/>
  <c r="E32" i="2"/>
  <c r="D32" i="2"/>
  <c r="C32" i="2"/>
  <c r="C24" i="2"/>
  <c r="H28" i="3" l="1"/>
  <c r="E28" i="3" s="1"/>
  <c r="G31" i="3"/>
  <c r="H31" i="3" s="1"/>
  <c r="E31" i="3" s="1"/>
  <c r="H30" i="3"/>
  <c r="E30" i="3" s="1"/>
  <c r="E29" i="3"/>
  <c r="F31" i="3"/>
  <c r="F30" i="3"/>
  <c r="F29" i="3"/>
  <c r="G27" i="3"/>
  <c r="H27" i="3" s="1"/>
  <c r="E27" i="3" s="1"/>
  <c r="I27" i="3" s="1"/>
  <c r="F27" i="3"/>
  <c r="G25" i="3"/>
  <c r="H25" i="3"/>
  <c r="G26" i="3"/>
  <c r="H26" i="3"/>
  <c r="F26" i="3"/>
  <c r="F25" i="3"/>
  <c r="M12" i="2"/>
  <c r="G6" i="2"/>
  <c r="F6" i="2"/>
  <c r="L11" i="2" s="1"/>
  <c r="I31" i="2"/>
  <c r="T12" i="2" s="1"/>
  <c r="H31" i="2"/>
  <c r="G31" i="2"/>
  <c r="I30" i="2"/>
  <c r="H30" i="2"/>
  <c r="G30" i="2"/>
  <c r="I29" i="2"/>
  <c r="T13" i="2" s="1"/>
  <c r="H29" i="2"/>
  <c r="G29" i="2"/>
  <c r="L12" i="2"/>
  <c r="E24" i="2"/>
  <c r="F24" i="2"/>
  <c r="L14" i="2" s="1"/>
  <c r="D24" i="2"/>
  <c r="D16" i="2"/>
  <c r="E16" i="2"/>
  <c r="F16" i="2"/>
  <c r="M14" i="2" s="1"/>
  <c r="C16" i="2"/>
  <c r="I23" i="2"/>
  <c r="R12" i="2" s="1"/>
  <c r="H23" i="2"/>
  <c r="G23" i="2"/>
  <c r="I22" i="2"/>
  <c r="H22" i="2"/>
  <c r="G22" i="2"/>
  <c r="I21" i="2"/>
  <c r="R13" i="2" s="1"/>
  <c r="H21" i="2"/>
  <c r="G21" i="2"/>
  <c r="I15" i="2"/>
  <c r="S12" i="2" s="1"/>
  <c r="H15" i="2"/>
  <c r="G15" i="2"/>
  <c r="I14" i="2"/>
  <c r="H14" i="2"/>
  <c r="G14" i="2"/>
  <c r="I13" i="2"/>
  <c r="S13" i="2" s="1"/>
  <c r="G13" i="2"/>
  <c r="H13" i="2"/>
  <c r="O6" i="2"/>
  <c r="N6" i="2"/>
  <c r="M6" i="2"/>
  <c r="L6" i="2"/>
  <c r="K6" i="2"/>
  <c r="J6" i="2"/>
  <c r="I6" i="2"/>
  <c r="H6" i="2"/>
  <c r="O5" i="2"/>
  <c r="N5" i="2"/>
  <c r="M5" i="2"/>
  <c r="L5" i="2"/>
  <c r="K5" i="2"/>
  <c r="J5" i="2"/>
  <c r="I5" i="2"/>
  <c r="H5" i="2"/>
  <c r="G5" i="2"/>
  <c r="F5" i="2"/>
  <c r="M11" i="2" s="1"/>
  <c r="O4" i="2"/>
  <c r="N4" i="2"/>
  <c r="M4" i="2"/>
  <c r="L4" i="2"/>
  <c r="K4" i="2"/>
  <c r="J4" i="2"/>
  <c r="I4" i="2"/>
  <c r="H4" i="2"/>
  <c r="G4" i="2"/>
  <c r="F4" i="2"/>
  <c r="O3" i="2"/>
  <c r="N3" i="2"/>
  <c r="M3" i="2"/>
  <c r="L3" i="2"/>
  <c r="K3" i="2"/>
  <c r="J3" i="2"/>
  <c r="I3" i="2"/>
  <c r="H3" i="2"/>
  <c r="G3" i="2"/>
  <c r="F3" i="2"/>
  <c r="C13" i="1"/>
  <c r="B13" i="1"/>
  <c r="B31" i="1"/>
  <c r="B32" i="1"/>
  <c r="B30" i="1"/>
  <c r="B25" i="1"/>
  <c r="B24" i="1"/>
  <c r="B26" i="1" s="1"/>
  <c r="C19" i="1"/>
  <c r="D19" i="1"/>
  <c r="E19" i="1"/>
  <c r="F19" i="1"/>
  <c r="G19" i="1"/>
  <c r="H19" i="1"/>
  <c r="I19" i="1"/>
  <c r="J19" i="1"/>
  <c r="K19" i="1"/>
  <c r="L19" i="1"/>
  <c r="B18" i="1"/>
  <c r="B17" i="1"/>
  <c r="G24" i="2" l="1"/>
  <c r="G25" i="2" s="1"/>
  <c r="N11" i="2"/>
  <c r="G16" i="2"/>
  <c r="G17" i="2" s="1"/>
  <c r="E3" i="2"/>
  <c r="H16" i="2"/>
  <c r="C3" i="2"/>
  <c r="I16" i="2"/>
  <c r="S14" i="2" s="1"/>
  <c r="D3" i="2"/>
  <c r="I24" i="2"/>
  <c r="R14" i="2" s="1"/>
  <c r="H32" i="2"/>
  <c r="I32" i="2"/>
  <c r="T14" i="2" s="1"/>
  <c r="G32" i="2"/>
  <c r="G33" i="2" s="1"/>
  <c r="H24" i="2"/>
  <c r="E5" i="2"/>
  <c r="E4" i="2"/>
  <c r="D6" i="2"/>
  <c r="C6" i="2"/>
  <c r="R11" i="2" s="1"/>
  <c r="D5" i="2"/>
  <c r="C4" i="2"/>
  <c r="E6" i="2"/>
  <c r="D4" i="2"/>
  <c r="C5" i="2"/>
  <c r="S11" i="2" s="1"/>
  <c r="B19" i="1"/>
  <c r="B21" i="1" s="1"/>
  <c r="T11" i="2" l="1"/>
</calcChain>
</file>

<file path=xl/sharedStrings.xml><?xml version="1.0" encoding="utf-8"?>
<sst xmlns="http://schemas.openxmlformats.org/spreadsheetml/2006/main" count="363" uniqueCount="184">
  <si>
    <t>Neveras</t>
  </si>
  <si>
    <t>No. Neveras a cambiar</t>
  </si>
  <si>
    <t>Año 1 (mayores a 10 años)</t>
  </si>
  <si>
    <t>Año 2 (de 10 años)</t>
  </si>
  <si>
    <t>Año 3 (de 9 años)</t>
  </si>
  <si>
    <t>Año 4 (de 8 años)</t>
  </si>
  <si>
    <t>Año 5 (de 7 años)</t>
  </si>
  <si>
    <t>Año 6 (de 6 años)</t>
  </si>
  <si>
    <t>Año 7 (de 5 años)</t>
  </si>
  <si>
    <t>Año 8 (de 4 años)</t>
  </si>
  <si>
    <t>Año 9 (de 3 años)</t>
  </si>
  <si>
    <t>Año 10 (de 2 y 1 año)</t>
  </si>
  <si>
    <t>Total</t>
  </si>
  <si>
    <t>Año 1</t>
  </si>
  <si>
    <t>Año 2</t>
  </si>
  <si>
    <t>Año 3</t>
  </si>
  <si>
    <t>Año 4</t>
  </si>
  <si>
    <t>Año 5</t>
  </si>
  <si>
    <t>Año 6</t>
  </si>
  <si>
    <t>Año 7</t>
  </si>
  <si>
    <t>Año 8</t>
  </si>
  <si>
    <t>Año 9</t>
  </si>
  <si>
    <t>Año 10</t>
  </si>
  <si>
    <t>Rural</t>
  </si>
  <si>
    <t xml:space="preserve"> Urbano</t>
  </si>
  <si>
    <t>Iluminación (Número de hogares)</t>
  </si>
  <si>
    <t>Número de bombillos LED</t>
  </si>
  <si>
    <t>Bombillos promedio por hogar</t>
  </si>
  <si>
    <t>Medida de refrigeración</t>
  </si>
  <si>
    <t>Hogares que realizar remplazo por tecnología</t>
  </si>
  <si>
    <t>Total hogares</t>
  </si>
  <si>
    <t>GLP</t>
  </si>
  <si>
    <t>Medida de iluminación</t>
  </si>
  <si>
    <t>Medida cocción rural</t>
  </si>
  <si>
    <t>Medida cocción urbana</t>
  </si>
  <si>
    <t>Electricas convencionales</t>
  </si>
  <si>
    <t>Electricas de inducción</t>
  </si>
  <si>
    <t>Gas  natural (Eficientes)</t>
  </si>
  <si>
    <t>Promedio</t>
  </si>
  <si>
    <t>Equipo</t>
  </si>
  <si>
    <t>Mínimo</t>
  </si>
  <si>
    <t>Máximo</t>
  </si>
  <si>
    <t>Estufa Eléctrica</t>
  </si>
  <si>
    <t>Estufa Inducción</t>
  </si>
  <si>
    <t>Estufa Gas</t>
  </si>
  <si>
    <t>Nevera</t>
  </si>
  <si>
    <t>Exportaciones</t>
  </si>
  <si>
    <t>Cocinas a Gas</t>
  </si>
  <si>
    <t>Años</t>
  </si>
  <si>
    <t xml:space="preserve">Importaciones </t>
  </si>
  <si>
    <t>Mercado aparente</t>
  </si>
  <si>
    <t>Refrigeración doméstica</t>
  </si>
  <si>
    <t>Meta año 1</t>
  </si>
  <si>
    <t>Producción 2020</t>
  </si>
  <si>
    <t>Importaciones 2020</t>
  </si>
  <si>
    <t>Estufas a gas</t>
  </si>
  <si>
    <t>Estufas eléctricas</t>
  </si>
  <si>
    <t>Cocinas Eléctricas</t>
  </si>
  <si>
    <t>Metas PROURE</t>
  </si>
  <si>
    <t>Meta anual promedio</t>
  </si>
  <si>
    <t>Máxima producción 2017-2020</t>
  </si>
  <si>
    <t>Máxima importación 2017-2020</t>
  </si>
  <si>
    <t>Bien</t>
  </si>
  <si>
    <t>Máquina lavadora de ropa</t>
  </si>
  <si>
    <t>Nevera o refrigerador</t>
  </si>
  <si>
    <t>Estufa eléctrica o de gas</t>
  </si>
  <si>
    <t>Horno eléctrico o de gas</t>
  </si>
  <si>
    <t>Horno microondas</t>
  </si>
  <si>
    <t>Calentador de agua eléctrico o de gas o ducha eléctrica</t>
  </si>
  <si>
    <t>Plancha</t>
  </si>
  <si>
    <t>Tv a color convencional</t>
  </si>
  <si>
    <t>Tv  lcd, plasma o led</t>
  </si>
  <si>
    <t>Reproductor de video (dvd, blue-ray, otros)</t>
  </si>
  <si>
    <t>Equipo de sonido</t>
  </si>
  <si>
    <t>Aire acondicionado</t>
  </si>
  <si>
    <t>Ventilador o abanico</t>
  </si>
  <si>
    <t>Computador de escritorio</t>
  </si>
  <si>
    <t>Computador portátil</t>
  </si>
  <si>
    <t>Tableta</t>
  </si>
  <si>
    <t>%</t>
  </si>
  <si>
    <t>Hogares</t>
  </si>
  <si>
    <t>Hogares (miles)</t>
  </si>
  <si>
    <t>Número de hogares</t>
  </si>
  <si>
    <t>Hogares con acceso a energía eléctrica</t>
  </si>
  <si>
    <t>Hogares con acceso a gas natural</t>
  </si>
  <si>
    <t>ECV</t>
  </si>
  <si>
    <t>Hogares que preparan alimentos con electricidad</t>
  </si>
  <si>
    <t>Gas natural conectado a red pública</t>
  </si>
  <si>
    <t>Gas propano/GLP (en cilindro o pipeta)</t>
  </si>
  <si>
    <t>Leña, madera</t>
  </si>
  <si>
    <t>Hogares que cocinan</t>
  </si>
  <si>
    <t>Producción</t>
  </si>
  <si>
    <t>Bombillos LED</t>
  </si>
  <si>
    <t>Iluminación</t>
  </si>
  <si>
    <t>Hogares 2019</t>
  </si>
  <si>
    <t>Tenencia neveras</t>
  </si>
  <si>
    <t>Tenencia cocinas</t>
  </si>
  <si>
    <t>Cocinan con electricidad</t>
  </si>
  <si>
    <t>Cocinan con gas natural</t>
  </si>
  <si>
    <t>Cocinan con GLP</t>
  </si>
  <si>
    <t>Mercado aparente 2020</t>
  </si>
  <si>
    <t>Máximo mercado aparente 2017-2020</t>
  </si>
  <si>
    <t>Anexo ECV 2018 Cuadro 13</t>
  </si>
  <si>
    <t>Cuadro 10</t>
  </si>
  <si>
    <t>Con acceso a energía eléctrica</t>
  </si>
  <si>
    <t>Con acceso a gas natural</t>
  </si>
  <si>
    <t>kWh/mes</t>
  </si>
  <si>
    <t>&lt; 1.000</t>
  </si>
  <si>
    <t>&gt; 1.000</t>
  </si>
  <si>
    <t>msnm</t>
  </si>
  <si>
    <t>Consumo subsistencia actual</t>
  </si>
  <si>
    <t>Pirámide de Maslow</t>
  </si>
  <si>
    <t>Promedio de consolidado tenencia</t>
  </si>
  <si>
    <t>Promedio de Número de equipos Corpoema</t>
  </si>
  <si>
    <t>Promedio de Horas de uso Encuesta Corpoema</t>
  </si>
  <si>
    <t>Promedio de Potencia</t>
  </si>
  <si>
    <t>Promedio de Consumo mes hogar</t>
  </si>
  <si>
    <t>Promedio de Consumo Etiqueta</t>
  </si>
  <si>
    <t>Seguridad</t>
  </si>
  <si>
    <t>Fisiológicas</t>
  </si>
  <si>
    <t>Ventilador</t>
  </si>
  <si>
    <t>Afiliación</t>
  </si>
  <si>
    <t>Televisor</t>
  </si>
  <si>
    <t>Autorrealización</t>
  </si>
  <si>
    <t>Celular</t>
  </si>
  <si>
    <t>Licuadora</t>
  </si>
  <si>
    <t>Lavadora</t>
  </si>
  <si>
    <t>Reconocimiento</t>
  </si>
  <si>
    <t>Menos de 500 msnm</t>
  </si>
  <si>
    <t>500 - 1.500 msnm</t>
  </si>
  <si>
    <t>Más de 1.500 msnm</t>
  </si>
  <si>
    <t>Promedio de Consumo Eficiente</t>
  </si>
  <si>
    <t>Calentador de agua</t>
  </si>
  <si>
    <t>Anexo H: Estructura general Censo de Edificaciones - unidades y variaciones doce meses. VIS y No VIS.
Doce meses a diciembre 2019 - Doce meses a diciembre 2020</t>
  </si>
  <si>
    <t>VIVIENDA VIS Y NO VIS</t>
  </si>
  <si>
    <t>Destino y tipo de vivienda</t>
  </si>
  <si>
    <t>Total área culminada *</t>
  </si>
  <si>
    <t>Área en proceso</t>
  </si>
  <si>
    <t>Área paralizada**</t>
  </si>
  <si>
    <t>Nueva</t>
  </si>
  <si>
    <t>Reinicia                   proceso</t>
  </si>
  <si>
    <t>VIS</t>
  </si>
  <si>
    <t xml:space="preserve"> Apartamentos</t>
  </si>
  <si>
    <t xml:space="preserve"> Casas</t>
  </si>
  <si>
    <t>No VIS</t>
  </si>
  <si>
    <t>Unidades de vivienda</t>
  </si>
  <si>
    <t>Cantidad total de importaciones electrodomésticos</t>
  </si>
  <si>
    <t>Ventiladores</t>
  </si>
  <si>
    <t>Acondicionamiento de aire</t>
  </si>
  <si>
    <t>Refrigeración</t>
  </si>
  <si>
    <t>Licuadoras</t>
  </si>
  <si>
    <t xml:space="preserve">Cocinas a gas </t>
  </si>
  <si>
    <t>Planchas eléctricas</t>
  </si>
  <si>
    <t>Hornos microondas</t>
  </si>
  <si>
    <t>Hornos eléctricos</t>
  </si>
  <si>
    <t>Televisores</t>
  </si>
  <si>
    <t>Código de Partida</t>
  </si>
  <si>
    <t>Ventilación</t>
  </si>
  <si>
    <t>Total cantidad importaciones elestrodomésticos por país 2019</t>
  </si>
  <si>
    <t>CHINA</t>
  </si>
  <si>
    <t>MÉXICO</t>
  </si>
  <si>
    <t>TAIWÁN</t>
  </si>
  <si>
    <t>Otros Países</t>
  </si>
  <si>
    <t>Cantidad Total de partes importadas de electrodomésticos</t>
  </si>
  <si>
    <t>Compresores para refrigeración doméstica</t>
  </si>
  <si>
    <t>Grifería Gas</t>
  </si>
  <si>
    <t>Motores Licuadoras</t>
  </si>
  <si>
    <t xml:space="preserve">Motores Ventiladores </t>
  </si>
  <si>
    <t>Motores Lavadoras</t>
  </si>
  <si>
    <t>Páneles de cristal para TV</t>
  </si>
  <si>
    <t>Resistencias calentadoras para cocinas eléctricas</t>
  </si>
  <si>
    <t>Total de cantidades de partes importadas</t>
  </si>
  <si>
    <t>Cocina a gas</t>
  </si>
  <si>
    <t>Lavadoras</t>
  </si>
  <si>
    <t>Cocinas eléctricas</t>
  </si>
  <si>
    <t>Producción Nacional de electrodomésticos con base en partes</t>
  </si>
  <si>
    <t>Código de Partida para partes</t>
  </si>
  <si>
    <t>Ventilación (motores)</t>
  </si>
  <si>
    <t>Lavadoras (motores)</t>
  </si>
  <si>
    <t>Licuadoras (motores)</t>
  </si>
  <si>
    <t>Cocinas a gas (válvulas)</t>
  </si>
  <si>
    <t>Refrigeración doméstica (compresores)</t>
  </si>
  <si>
    <t>Televisores (páneles cristal)</t>
  </si>
  <si>
    <t>Cocinas Eléctricas (resistencias)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</si>
</sst>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_-* #,##0.00_-;\-* #,##0.00_-;_-* &quot;-&quot;??_-;_-@"/>
    <numFmt numFmtId="165" formatCode="_-* #,##0_-;\-* #,##0_-;_-* &quot;-&quot;_-;_-@"/>
    <numFmt numFmtId="166" formatCode="_-* #,##0_-;\-* #,##0_-;_-* &quot;-&quot;??_-;_-@_-"/>
    <numFmt numFmtId="167" formatCode="0.0%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rgb="FF000000"/>
      <name val="Arial"/>
      <family val="2"/>
    </font>
    <font>
      <sz val="10"/>
      <name val="Arial"/>
      <family val="2"/>
    </font>
    <font>
      <sz val="9"/>
      <color indexed="8"/>
      <name val="Arial"/>
      <family val="2"/>
    </font>
    <font>
      <i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rgb="FFFFFFFF"/>
      <name val="Calibri"/>
      <family val="2"/>
      <scheme val="minor"/>
    </font>
    <font>
      <b/>
      <sz val="14"/>
      <color theme="0"/>
      <name val="Segoe UI"/>
      <family val="2"/>
    </font>
    <font>
      <b/>
      <sz val="9"/>
      <color theme="1"/>
      <name val="Segoe UI"/>
      <family val="2"/>
    </font>
    <font>
      <sz val="9"/>
      <color theme="1"/>
      <name val="Segoe UI"/>
      <family val="2"/>
    </font>
    <font>
      <b/>
      <i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 (Cuerpo)"/>
    </font>
  </fonts>
  <fills count="12">
    <fill>
      <patternFill patternType="none"/>
    </fill>
    <fill>
      <patternFill patternType="gray125"/>
    </fill>
    <fill>
      <patternFill patternType="solid">
        <fgColor rgb="FF0070C0"/>
        <bgColor rgb="FF0070C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3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7" fillId="0" borderId="0"/>
    <xf numFmtId="0" fontId="5" fillId="0" borderId="0"/>
    <xf numFmtId="0" fontId="7" fillId="0" borderId="0"/>
    <xf numFmtId="41" fontId="1" fillId="0" borderId="0" applyFont="0" applyFill="0" applyBorder="0" applyAlignment="0" applyProtection="0"/>
  </cellStyleXfs>
  <cellXfs count="157">
    <xf numFmtId="0" fontId="0" fillId="0" borderId="0" xfId="0"/>
    <xf numFmtId="43" fontId="0" fillId="0" borderId="1" xfId="1" applyFont="1" applyBorder="1" applyAlignment="1">
      <alignment horizontal="left"/>
    </xf>
    <xf numFmtId="0" fontId="2" fillId="0" borderId="0" xfId="0" applyFont="1"/>
    <xf numFmtId="0" fontId="0" fillId="0" borderId="0" xfId="0" applyFont="1"/>
    <xf numFmtId="0" fontId="0" fillId="0" borderId="1" xfId="0" applyFont="1" applyBorder="1"/>
    <xf numFmtId="0" fontId="0" fillId="0" borderId="0" xfId="0" applyFont="1" applyBorder="1"/>
    <xf numFmtId="43" fontId="0" fillId="0" borderId="0" xfId="1" applyFont="1" applyBorder="1"/>
    <xf numFmtId="0" fontId="2" fillId="0" borderId="0" xfId="0" applyFont="1" applyFill="1" applyBorder="1"/>
    <xf numFmtId="0" fontId="4" fillId="2" borderId="2" xfId="0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vertical="center" wrapText="1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/>
    </xf>
    <xf numFmtId="0" fontId="2" fillId="0" borderId="1" xfId="0" applyFont="1" applyFill="1" applyBorder="1"/>
    <xf numFmtId="166" fontId="0" fillId="0" borderId="0" xfId="0" applyNumberFormat="1" applyFont="1"/>
    <xf numFmtId="0" fontId="5" fillId="0" borderId="0" xfId="0" applyFont="1" applyBorder="1" applyAlignment="1">
      <alignment horizontal="left" vertical="center"/>
    </xf>
    <xf numFmtId="164" fontId="5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6" fontId="0" fillId="0" borderId="1" xfId="1" applyNumberFormat="1" applyFont="1" applyBorder="1"/>
    <xf numFmtId="166" fontId="2" fillId="0" borderId="1" xfId="1" applyNumberFormat="1" applyFont="1" applyBorder="1"/>
    <xf numFmtId="166" fontId="5" fillId="0" borderId="2" xfId="0" applyNumberFormat="1" applyFont="1" applyBorder="1" applyAlignment="1">
      <alignment horizontal="center"/>
    </xf>
    <xf numFmtId="166" fontId="0" fillId="0" borderId="0" xfId="0" applyNumberFormat="1"/>
    <xf numFmtId="0" fontId="2" fillId="0" borderId="0" xfId="0" applyFont="1" applyAlignment="1">
      <alignment horizontal="left" vertical="center"/>
    </xf>
    <xf numFmtId="0" fontId="6" fillId="0" borderId="3" xfId="4" applyFont="1" applyBorder="1" applyAlignment="1">
      <alignment horizontal="center" vertical="center" wrapText="1"/>
    </xf>
    <xf numFmtId="0" fontId="0" fillId="0" borderId="4" xfId="0" applyBorder="1"/>
    <xf numFmtId="0" fontId="8" fillId="0" borderId="4" xfId="5" applyFont="1" applyBorder="1" applyAlignment="1">
      <alignment horizontal="left" wrapText="1"/>
    </xf>
    <xf numFmtId="0" fontId="0" fillId="0" borderId="5" xfId="0" applyBorder="1"/>
    <xf numFmtId="9" fontId="0" fillId="0" borderId="0" xfId="3" applyFont="1"/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41" fontId="0" fillId="0" borderId="4" xfId="2" applyFont="1" applyBorder="1"/>
    <xf numFmtId="41" fontId="0" fillId="0" borderId="5" xfId="2" applyFont="1" applyBorder="1"/>
    <xf numFmtId="41" fontId="0" fillId="0" borderId="0" xfId="2" applyFont="1"/>
    <xf numFmtId="167" fontId="0" fillId="0" borderId="6" xfId="3" applyNumberFormat="1" applyFont="1" applyBorder="1" applyAlignment="1">
      <alignment horizontal="center" vertical="center"/>
    </xf>
    <xf numFmtId="167" fontId="0" fillId="0" borderId="7" xfId="3" applyNumberFormat="1" applyFont="1" applyBorder="1" applyAlignment="1">
      <alignment horizontal="center" vertical="center"/>
    </xf>
    <xf numFmtId="0" fontId="9" fillId="0" borderId="0" xfId="0" applyFont="1"/>
    <xf numFmtId="0" fontId="0" fillId="0" borderId="4" xfId="0" applyFill="1" applyBorder="1"/>
    <xf numFmtId="167" fontId="0" fillId="0" borderId="0" xfId="3" applyNumberFormat="1" applyFont="1"/>
    <xf numFmtId="0" fontId="6" fillId="0" borderId="1" xfId="4" applyFont="1" applyBorder="1" applyAlignment="1">
      <alignment horizontal="center" vertical="center" wrapText="1"/>
    </xf>
    <xf numFmtId="41" fontId="0" fillId="0" borderId="1" xfId="2" applyFont="1" applyBorder="1"/>
    <xf numFmtId="0" fontId="0" fillId="0" borderId="7" xfId="0" applyBorder="1"/>
    <xf numFmtId="41" fontId="0" fillId="4" borderId="1" xfId="2" applyFont="1" applyFill="1" applyBorder="1"/>
    <xf numFmtId="41" fontId="0" fillId="0" borderId="0" xfId="0" applyNumberFormat="1"/>
    <xf numFmtId="166" fontId="0" fillId="0" borderId="0" xfId="0" applyNumberFormat="1" applyFont="1" applyBorder="1"/>
    <xf numFmtId="166" fontId="0" fillId="0" borderId="8" xfId="0" applyNumberFormat="1" applyFont="1" applyBorder="1"/>
    <xf numFmtId="0" fontId="5" fillId="0" borderId="8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66" fontId="0" fillId="0" borderId="11" xfId="0" applyNumberFormat="1" applyFont="1" applyBorder="1"/>
    <xf numFmtId="166" fontId="0" fillId="0" borderId="4" xfId="0" applyNumberFormat="1" applyFont="1" applyBorder="1"/>
    <xf numFmtId="0" fontId="0" fillId="0" borderId="0" xfId="0" applyBorder="1"/>
    <xf numFmtId="0" fontId="2" fillId="0" borderId="0" xfId="0" applyFont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2" fillId="0" borderId="4" xfId="0" applyFont="1" applyBorder="1" applyAlignment="1">
      <alignment horizontal="center" vertical="center"/>
    </xf>
    <xf numFmtId="166" fontId="0" fillId="0" borderId="4" xfId="0" applyNumberFormat="1" applyFont="1" applyFill="1" applyBorder="1"/>
    <xf numFmtId="166" fontId="0" fillId="0" borderId="0" xfId="0" applyNumberFormat="1" applyFont="1" applyFill="1" applyBorder="1"/>
    <xf numFmtId="0" fontId="2" fillId="0" borderId="8" xfId="0" applyFont="1" applyBorder="1" applyAlignment="1">
      <alignment horizontal="center" vertical="center"/>
    </xf>
    <xf numFmtId="166" fontId="0" fillId="0" borderId="8" xfId="0" applyNumberFormat="1" applyFont="1" applyFill="1" applyBorder="1"/>
    <xf numFmtId="41" fontId="0" fillId="0" borderId="0" xfId="2" applyFont="1" applyFill="1" applyBorder="1"/>
    <xf numFmtId="166" fontId="2" fillId="0" borderId="0" xfId="0" applyNumberFormat="1" applyFont="1" applyBorder="1"/>
    <xf numFmtId="41" fontId="0" fillId="5" borderId="0" xfId="2" applyNumberFormat="1" applyFont="1" applyFill="1"/>
    <xf numFmtId="41" fontId="0" fillId="0" borderId="0" xfId="2" applyNumberFormat="1" applyFont="1" applyFill="1"/>
    <xf numFmtId="0" fontId="10" fillId="0" borderId="0" xfId="0" applyFont="1" applyAlignment="1">
      <alignment horizontal="center" vertical="center"/>
    </xf>
    <xf numFmtId="0" fontId="11" fillId="0" borderId="0" xfId="0" applyFont="1"/>
    <xf numFmtId="0" fontId="12" fillId="6" borderId="12" xfId="0" applyFont="1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center" vertical="center" wrapText="1"/>
    </xf>
    <xf numFmtId="0" fontId="0" fillId="7" borderId="16" xfId="0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center" vertical="center" wrapText="1"/>
    </xf>
    <xf numFmtId="9" fontId="0" fillId="0" borderId="0" xfId="0" applyNumberFormat="1"/>
    <xf numFmtId="0" fontId="14" fillId="7" borderId="16" xfId="0" applyFont="1" applyFill="1" applyBorder="1" applyAlignment="1">
      <alignment horizontal="center" vertical="center" wrapText="1"/>
    </xf>
    <xf numFmtId="0" fontId="15" fillId="7" borderId="16" xfId="0" applyFont="1" applyFill="1" applyBorder="1" applyAlignment="1">
      <alignment horizontal="center" vertical="center" wrapText="1"/>
    </xf>
    <xf numFmtId="0" fontId="5" fillId="8" borderId="16" xfId="0" applyFont="1" applyFill="1" applyBorder="1" applyAlignment="1">
      <alignment horizontal="center" vertical="center" wrapText="1"/>
    </xf>
    <xf numFmtId="9" fontId="5" fillId="7" borderId="12" xfId="0" applyNumberFormat="1" applyFont="1" applyFill="1" applyBorder="1" applyAlignment="1">
      <alignment vertical="center" wrapText="1"/>
    </xf>
    <xf numFmtId="0" fontId="13" fillId="6" borderId="13" xfId="0" applyFont="1" applyFill="1" applyBorder="1" applyAlignment="1">
      <alignment vertical="center" wrapText="1"/>
    </xf>
    <xf numFmtId="0" fontId="15" fillId="7" borderId="12" xfId="0" applyFont="1" applyFill="1" applyBorder="1" applyAlignment="1">
      <alignment horizontal="center" vertical="center" wrapText="1"/>
    </xf>
    <xf numFmtId="0" fontId="16" fillId="6" borderId="15" xfId="0" applyFont="1" applyFill="1" applyBorder="1" applyAlignment="1">
      <alignment horizontal="center" vertical="center" wrapText="1"/>
    </xf>
    <xf numFmtId="0" fontId="17" fillId="7" borderId="16" xfId="0" applyFont="1" applyFill="1" applyBorder="1" applyAlignment="1">
      <alignment horizontal="center" vertical="center" wrapText="1"/>
    </xf>
    <xf numFmtId="0" fontId="16" fillId="6" borderId="12" xfId="0" applyFont="1" applyFill="1" applyBorder="1" applyAlignment="1">
      <alignment horizontal="center" vertical="center" wrapText="1"/>
    </xf>
    <xf numFmtId="0" fontId="18" fillId="6" borderId="13" xfId="0" applyFont="1" applyFill="1" applyBorder="1" applyAlignment="1">
      <alignment horizontal="center" vertical="center" wrapText="1"/>
    </xf>
    <xf numFmtId="0" fontId="18" fillId="6" borderId="14" xfId="0" applyFont="1" applyFill="1" applyBorder="1" applyAlignment="1">
      <alignment horizontal="center" vertical="center" wrapText="1"/>
    </xf>
    <xf numFmtId="9" fontId="5" fillId="7" borderId="16" xfId="0" applyNumberFormat="1" applyFont="1" applyFill="1" applyBorder="1" applyAlignment="1">
      <alignment horizontal="center" vertical="center" wrapText="1"/>
    </xf>
    <xf numFmtId="0" fontId="18" fillId="6" borderId="13" xfId="0" applyFont="1" applyFill="1" applyBorder="1" applyAlignment="1">
      <alignment vertical="center" wrapText="1"/>
    </xf>
    <xf numFmtId="0" fontId="5" fillId="7" borderId="12" xfId="0" applyFont="1" applyFill="1" applyBorder="1" applyAlignment="1">
      <alignment vertical="center" wrapText="1"/>
    </xf>
    <xf numFmtId="0" fontId="0" fillId="7" borderId="12" xfId="0" applyFill="1" applyBorder="1" applyAlignment="1">
      <alignment vertical="center" wrapText="1"/>
    </xf>
    <xf numFmtId="0" fontId="16" fillId="6" borderId="12" xfId="0" applyFont="1" applyFill="1" applyBorder="1" applyAlignment="1">
      <alignment vertical="center" wrapText="1"/>
    </xf>
    <xf numFmtId="0" fontId="17" fillId="7" borderId="12" xfId="0" applyFont="1" applyFill="1" applyBorder="1" applyAlignment="1">
      <alignment vertical="center" wrapText="1"/>
    </xf>
    <xf numFmtId="9" fontId="14" fillId="7" borderId="16" xfId="0" applyNumberFormat="1" applyFont="1" applyFill="1" applyBorder="1" applyAlignment="1">
      <alignment horizontal="center" vertical="center" wrapText="1"/>
    </xf>
    <xf numFmtId="0" fontId="10" fillId="7" borderId="16" xfId="0" applyFont="1" applyFill="1" applyBorder="1" applyAlignment="1">
      <alignment horizontal="center" vertical="center" wrapText="1"/>
    </xf>
    <xf numFmtId="0" fontId="17" fillId="8" borderId="16" xfId="0" applyFont="1" applyFill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9" fontId="5" fillId="4" borderId="12" xfId="0" applyNumberFormat="1" applyFont="1" applyFill="1" applyBorder="1" applyAlignment="1">
      <alignment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17" fillId="4" borderId="12" xfId="0" applyFont="1" applyFill="1" applyBorder="1" applyAlignment="1">
      <alignment vertical="center" wrapText="1"/>
    </xf>
    <xf numFmtId="9" fontId="5" fillId="4" borderId="16" xfId="0" applyNumberFormat="1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vertical="center" wrapText="1"/>
    </xf>
    <xf numFmtId="9" fontId="14" fillId="4" borderId="16" xfId="0" applyNumberFormat="1" applyFont="1" applyFill="1" applyBorder="1" applyAlignment="1">
      <alignment horizontal="center" vertical="center" wrapText="1"/>
    </xf>
    <xf numFmtId="0" fontId="14" fillId="4" borderId="16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11" fontId="21" fillId="10" borderId="18" xfId="0" applyNumberFormat="1" applyFont="1" applyFill="1" applyBorder="1"/>
    <xf numFmtId="3" fontId="21" fillId="10" borderId="18" xfId="0" applyNumberFormat="1" applyFont="1" applyFill="1" applyBorder="1"/>
    <xf numFmtId="3" fontId="21" fillId="10" borderId="11" xfId="0" applyNumberFormat="1" applyFont="1" applyFill="1" applyBorder="1"/>
    <xf numFmtId="3" fontId="21" fillId="10" borderId="17" xfId="0" applyNumberFormat="1" applyFont="1" applyFill="1" applyBorder="1"/>
    <xf numFmtId="11" fontId="21" fillId="0" borderId="6" xfId="0" applyNumberFormat="1" applyFont="1" applyBorder="1"/>
    <xf numFmtId="3" fontId="21" fillId="0" borderId="6" xfId="0" applyNumberFormat="1" applyFont="1" applyBorder="1"/>
    <xf numFmtId="3" fontId="21" fillId="0" borderId="4" xfId="0" applyNumberFormat="1" applyFont="1" applyBorder="1"/>
    <xf numFmtId="3" fontId="21" fillId="0" borderId="8" xfId="0" applyNumberFormat="1" applyFont="1" applyBorder="1"/>
    <xf numFmtId="0" fontId="21" fillId="10" borderId="6" xfId="0" applyFont="1" applyFill="1" applyBorder="1"/>
    <xf numFmtId="3" fontId="21" fillId="10" borderId="6" xfId="0" applyNumberFormat="1" applyFont="1" applyFill="1" applyBorder="1"/>
    <xf numFmtId="3" fontId="21" fillId="10" borderId="4" xfId="0" applyNumberFormat="1" applyFont="1" applyFill="1" applyBorder="1"/>
    <xf numFmtId="3" fontId="21" fillId="10" borderId="8" xfId="0" applyNumberFormat="1" applyFont="1" applyFill="1" applyBorder="1"/>
    <xf numFmtId="0" fontId="22" fillId="0" borderId="0" xfId="0" applyFont="1"/>
    <xf numFmtId="3" fontId="0" fillId="0" borderId="0" xfId="0" applyNumberFormat="1"/>
    <xf numFmtId="0" fontId="20" fillId="10" borderId="7" xfId="0" applyFont="1" applyFill="1" applyBorder="1"/>
    <xf numFmtId="3" fontId="20" fillId="10" borderId="7" xfId="0" applyNumberFormat="1" applyFont="1" applyFill="1" applyBorder="1"/>
    <xf numFmtId="3" fontId="20" fillId="10" borderId="5" xfId="0" applyNumberFormat="1" applyFont="1" applyFill="1" applyBorder="1"/>
    <xf numFmtId="3" fontId="20" fillId="10" borderId="9" xfId="0" applyNumberFormat="1" applyFont="1" applyFill="1" applyBorder="1"/>
    <xf numFmtId="0" fontId="10" fillId="0" borderId="0" xfId="0" applyFont="1" applyAlignment="1">
      <alignment horizontal="left" vertical="center"/>
    </xf>
    <xf numFmtId="0" fontId="2" fillId="11" borderId="1" xfId="0" applyFont="1" applyFill="1" applyBorder="1"/>
    <xf numFmtId="0" fontId="23" fillId="11" borderId="1" xfId="0" applyFont="1" applyFill="1" applyBorder="1" applyAlignment="1">
      <alignment vertical="center"/>
    </xf>
    <xf numFmtId="3" fontId="0" fillId="0" borderId="1" xfId="0" applyNumberFormat="1" applyBorder="1" applyAlignment="1">
      <alignment vertical="center"/>
    </xf>
    <xf numFmtId="0" fontId="24" fillId="11" borderId="1" xfId="0" applyFont="1" applyFill="1" applyBorder="1" applyAlignment="1"/>
    <xf numFmtId="3" fontId="0" fillId="0" borderId="1" xfId="0" applyNumberFormat="1" applyBorder="1"/>
    <xf numFmtId="3" fontId="0" fillId="0" borderId="1" xfId="0" applyNumberFormat="1" applyFont="1" applyFill="1" applyBorder="1"/>
    <xf numFmtId="0" fontId="24" fillId="11" borderId="1" xfId="0" applyFont="1" applyFill="1" applyBorder="1" applyAlignment="1">
      <alignment horizontal="left" vertical="center"/>
    </xf>
    <xf numFmtId="0" fontId="24" fillId="11" borderId="1" xfId="0" applyFont="1" applyFill="1" applyBorder="1" applyAlignment="1">
      <alignment horizontal="center" vertical="center"/>
    </xf>
    <xf numFmtId="0" fontId="23" fillId="11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4" fillId="11" borderId="1" xfId="0" applyFont="1" applyFill="1" applyBorder="1" applyAlignment="1">
      <alignment horizontal="center" vertical="center" wrapText="1"/>
    </xf>
    <xf numFmtId="0" fontId="24" fillId="11" borderId="1" xfId="0" applyFont="1" applyFill="1" applyBorder="1" applyAlignment="1">
      <alignment horizontal="center" vertical="center"/>
    </xf>
    <xf numFmtId="0" fontId="24" fillId="11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11" borderId="1" xfId="0" applyFont="1" applyFill="1" applyBorder="1" applyAlignment="1">
      <alignment horizontal="left"/>
    </xf>
    <xf numFmtId="0" fontId="23" fillId="11" borderId="1" xfId="0" applyFont="1" applyFill="1" applyBorder="1" applyAlignment="1"/>
    <xf numFmtId="3" fontId="0" fillId="0" borderId="1" xfId="0" applyNumberFormat="1" applyFill="1" applyBorder="1"/>
    <xf numFmtId="0" fontId="0" fillId="0" borderId="1" xfId="0" applyFill="1" applyBorder="1"/>
    <xf numFmtId="0" fontId="0" fillId="0" borderId="1" xfId="0" applyNumberFormat="1" applyFill="1" applyBorder="1"/>
    <xf numFmtId="41" fontId="7" fillId="0" borderId="1" xfId="7" applyNumberFormat="1" applyBorder="1"/>
    <xf numFmtId="41" fontId="0" fillId="0" borderId="1" xfId="8" applyFont="1" applyBorder="1"/>
    <xf numFmtId="166" fontId="0" fillId="0" borderId="1" xfId="0" applyNumberFormat="1" applyFont="1" applyFill="1" applyBorder="1"/>
    <xf numFmtId="0" fontId="0" fillId="3" borderId="0" xfId="0" applyFill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20" fillId="0" borderId="18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19" fillId="9" borderId="4" xfId="7" applyFont="1" applyFill="1" applyBorder="1" applyAlignment="1">
      <alignment horizontal="center" vertical="center" wrapText="1"/>
    </xf>
    <xf numFmtId="0" fontId="19" fillId="9" borderId="0" xfId="7" applyFont="1" applyFill="1" applyBorder="1" applyAlignment="1">
      <alignment horizontal="center" vertical="center" wrapText="1"/>
    </xf>
    <xf numFmtId="0" fontId="24" fillId="11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/>
    </xf>
    <xf numFmtId="0" fontId="24" fillId="11" borderId="18" xfId="0" applyFont="1" applyFill="1" applyBorder="1" applyAlignment="1">
      <alignment horizontal="center" vertical="center"/>
    </xf>
    <xf numFmtId="0" fontId="24" fillId="11" borderId="6" xfId="0" applyFont="1" applyFill="1" applyBorder="1" applyAlignment="1">
      <alignment horizontal="center" vertical="center"/>
    </xf>
    <xf numFmtId="0" fontId="24" fillId="11" borderId="7" xfId="0" applyFont="1" applyFill="1" applyBorder="1" applyAlignment="1">
      <alignment horizontal="center" vertical="center"/>
    </xf>
  </cellXfs>
  <cellStyles count="9">
    <cellStyle name="Millares" xfId="1" builtinId="3"/>
    <cellStyle name="Millares [0]" xfId="2" builtinId="6"/>
    <cellStyle name="Millares [0] 2" xfId="8" xr:uid="{00000000-0005-0000-0000-000002000000}"/>
    <cellStyle name="Normal" xfId="0" builtinId="0"/>
    <cellStyle name="Normal 2" xfId="7" xr:uid="{00000000-0005-0000-0000-000004000000}"/>
    <cellStyle name="Normal 5" xfId="6" xr:uid="{00000000-0005-0000-0000-000005000000}"/>
    <cellStyle name="Normal_Sheet1" xfId="5" xr:uid="{00000000-0005-0000-0000-000006000000}"/>
    <cellStyle name="Porcentaje" xfId="3" builtinId="5"/>
    <cellStyle name="style1501164958401" xfId="4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PROUREvsMercado!$K$11</c:f>
              <c:strCache>
                <c:ptCount val="1"/>
                <c:pt idx="0">
                  <c:v>Meta año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PROUREvsMercado!$L$10:$N$10</c:f>
              <c:strCache>
                <c:ptCount val="3"/>
                <c:pt idx="0">
                  <c:v>Neveras</c:v>
                </c:pt>
                <c:pt idx="1">
                  <c:v>Estufas a gas</c:v>
                </c:pt>
                <c:pt idx="2">
                  <c:v>Estufas eléctricas</c:v>
                </c:pt>
              </c:strCache>
            </c:strRef>
          </c:cat>
          <c:val>
            <c:numRef>
              <c:f>PROUREvsMercado!$L$11:$N$11</c:f>
              <c:numCache>
                <c:formatCode>_-* #,##0_-;\-* #,##0_-;_-* "-"??_-;_-@_-</c:formatCode>
                <c:ptCount val="3"/>
                <c:pt idx="0">
                  <c:v>903980.00000000012</c:v>
                </c:pt>
                <c:pt idx="1">
                  <c:v>1114126.5840565911</c:v>
                </c:pt>
                <c:pt idx="2">
                  <c:v>922423.26982212183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44-40F8-8AC0-7223AA35271D}"/>
            </c:ext>
          </c:extLst>
        </c:ser>
        <c:ser>
          <c:idx val="1"/>
          <c:order val="1"/>
          <c:tx>
            <c:strRef>
              <c:f>PROUREvsMercado!$K$12</c:f>
              <c:strCache>
                <c:ptCount val="1"/>
                <c:pt idx="0">
                  <c:v>Producción 2020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PROUREvsMercado!$L$10:$N$10</c:f>
              <c:strCache>
                <c:ptCount val="3"/>
                <c:pt idx="0">
                  <c:v>Neveras</c:v>
                </c:pt>
                <c:pt idx="1">
                  <c:v>Estufas a gas</c:v>
                </c:pt>
                <c:pt idx="2">
                  <c:v>Estufas eléctricas</c:v>
                </c:pt>
              </c:strCache>
            </c:strRef>
          </c:cat>
          <c:val>
            <c:numRef>
              <c:f>PROUREvsMercado!$L$12:$N$12</c:f>
              <c:numCache>
                <c:formatCode>_-* #,##0_-;\-* #,##0_-;_-* "-"??_-;_-@_-</c:formatCode>
                <c:ptCount val="3"/>
                <c:pt idx="0">
                  <c:v>1125358</c:v>
                </c:pt>
                <c:pt idx="1">
                  <c:v>1082957.5</c:v>
                </c:pt>
                <c:pt idx="2">
                  <c:v>290810.69499999995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44-40F8-8AC0-7223AA35271D}"/>
            </c:ext>
          </c:extLst>
        </c:ser>
        <c:ser>
          <c:idx val="2"/>
          <c:order val="2"/>
          <c:tx>
            <c:strRef>
              <c:f>PROUREvsMercado!$K$14</c:f>
              <c:strCache>
                <c:ptCount val="1"/>
                <c:pt idx="0">
                  <c:v>Mercado aparente 2020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PROUREvsMercado!$L$10:$N$10</c:f>
              <c:strCache>
                <c:ptCount val="3"/>
                <c:pt idx="0">
                  <c:v>Neveras</c:v>
                </c:pt>
                <c:pt idx="1">
                  <c:v>Estufas a gas</c:v>
                </c:pt>
                <c:pt idx="2">
                  <c:v>Estufas eléctricas</c:v>
                </c:pt>
              </c:strCache>
            </c:strRef>
          </c:cat>
          <c:val>
            <c:numRef>
              <c:f>PROUREvsMercado!$L$14:$N$14</c:f>
              <c:numCache>
                <c:formatCode>_-* #,##0_-;\-* #,##0_-;_-* "-"??_-;_-@_-</c:formatCode>
                <c:ptCount val="3"/>
                <c:pt idx="0">
                  <c:v>887538</c:v>
                </c:pt>
                <c:pt idx="1">
                  <c:v>1118342.5</c:v>
                </c:pt>
                <c:pt idx="2">
                  <c:v>244901.69499999995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44-40F8-8AC0-7223AA3527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52946416"/>
        <c:axId val="652947072"/>
      </c:barChart>
      <c:catAx>
        <c:axId val="652946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52947072"/>
        <c:crosses val="autoZero"/>
        <c:auto val="1"/>
        <c:lblAlgn val="ctr"/>
        <c:lblOffset val="100"/>
        <c:noMultiLvlLbl val="0"/>
      </c:catAx>
      <c:valAx>
        <c:axId val="652947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52946416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2.2222222222222223E-2"/>
                <c:y val="0.1204301347173843"/>
              </c:manualLayout>
            </c:layout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r>
                    <a:rPr lang="es-CO"/>
                    <a:t>Miles</a:t>
                  </a:r>
                  <a:r>
                    <a:rPr lang="es-CO" baseline="0"/>
                    <a:t> de unidades</a:t>
                  </a:r>
                  <a:endParaRPr lang="es-CO"/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cantidad de partes importadas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'Insumos Import 17-20'!$A$24:$D$25</c15:sqref>
                  </c15:fullRef>
                  <c15:levelRef>
                    <c15:sqref>'Insumos Import 17-20'!$A$25:$D$25</c15:sqref>
                  </c15:levelRef>
                </c:ext>
              </c:extLst>
              <c:f>'Insumos Import 17-20'!$A$25:$D$25</c:f>
              <c:strCach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strCache>
            </c:strRef>
          </c:cat>
          <c:val>
            <c:numRef>
              <c:f>'Insumos Import 17-20'!$A$26:$D$26</c:f>
              <c:numCache>
                <c:formatCode>#,##0</c:formatCode>
                <c:ptCount val="4"/>
                <c:pt idx="0">
                  <c:v>8617334</c:v>
                </c:pt>
                <c:pt idx="1">
                  <c:v>9265736</c:v>
                </c:pt>
                <c:pt idx="2">
                  <c:v>7619245</c:v>
                </c:pt>
                <c:pt idx="3">
                  <c:v>9020572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6C-48B1-8F9F-5324C76B6E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48588383"/>
        <c:axId val="748590879"/>
      </c:barChart>
      <c:catAx>
        <c:axId val="7485883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48590879"/>
        <c:crosses val="autoZero"/>
        <c:auto val="1"/>
        <c:lblAlgn val="ctr"/>
        <c:lblOffset val="100"/>
        <c:noMultiLvlLbl val="0"/>
      </c:catAx>
      <c:valAx>
        <c:axId val="748590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48588383"/>
        <c:crosses val="autoZero"/>
        <c:crossBetween val="between"/>
        <c:dispUnits>
          <c:builtInUnit val="thousands"/>
          <c:dispUnitsLbl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en-US"/>
                    <a:t>Miles de unidades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Producción Nacional de Elecetrodomésticos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'Insumos Import 17-20'!$G$25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'Insumos Import 17-20'!$F$26:$F$32</c:f>
              <c:strCache>
                <c:ptCount val="7"/>
                <c:pt idx="0">
                  <c:v>Refrigeración doméstica</c:v>
                </c:pt>
                <c:pt idx="1">
                  <c:v>Cocina a gas</c:v>
                </c:pt>
                <c:pt idx="2">
                  <c:v>Licuadoras</c:v>
                </c:pt>
                <c:pt idx="3">
                  <c:v>Ventiladores</c:v>
                </c:pt>
                <c:pt idx="4">
                  <c:v>Lavadoras</c:v>
                </c:pt>
                <c:pt idx="5">
                  <c:v>Televisores</c:v>
                </c:pt>
                <c:pt idx="6">
                  <c:v>Cocinas eléctricas</c:v>
                </c:pt>
              </c:strCache>
            </c:strRef>
          </c:cat>
          <c:val>
            <c:numRef>
              <c:f>'Insumos Import 17-20'!$G$26:$G$32</c:f>
              <c:numCache>
                <c:formatCode>_(* #,##0_);_(* \(#,##0\);_(* "-"_);_(@_)</c:formatCode>
                <c:ptCount val="7"/>
                <c:pt idx="0" formatCode="#,##0">
                  <c:v>906428</c:v>
                </c:pt>
                <c:pt idx="1">
                  <c:v>779848</c:v>
                </c:pt>
                <c:pt idx="2" formatCode="#,##0">
                  <c:v>3211331</c:v>
                </c:pt>
                <c:pt idx="3" formatCode="#,##0">
                  <c:v>1060020</c:v>
                </c:pt>
                <c:pt idx="4" formatCode="#,##0">
                  <c:v>160140</c:v>
                </c:pt>
                <c:pt idx="5" formatCode="#,##0">
                  <c:v>340204</c:v>
                </c:pt>
                <c:pt idx="6" formatCode="_-* #,##0_-;\-* #,##0_-;_-* &quot;-&quot;??_-;_-@_-">
                  <c:v>208566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59-4440-993C-A667C1D22353}"/>
            </c:ext>
          </c:extLst>
        </c:ser>
        <c:ser>
          <c:idx val="1"/>
          <c:order val="1"/>
          <c:tx>
            <c:strRef>
              <c:f>'Insumos Import 17-20'!$H$25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'Insumos Import 17-20'!$F$26:$F$32</c:f>
              <c:strCache>
                <c:ptCount val="7"/>
                <c:pt idx="0">
                  <c:v>Refrigeración doméstica</c:v>
                </c:pt>
                <c:pt idx="1">
                  <c:v>Cocina a gas</c:v>
                </c:pt>
                <c:pt idx="2">
                  <c:v>Licuadoras</c:v>
                </c:pt>
                <c:pt idx="3">
                  <c:v>Ventiladores</c:v>
                </c:pt>
                <c:pt idx="4">
                  <c:v>Lavadoras</c:v>
                </c:pt>
                <c:pt idx="5">
                  <c:v>Televisores</c:v>
                </c:pt>
                <c:pt idx="6">
                  <c:v>Cocinas eléctricas</c:v>
                </c:pt>
              </c:strCache>
            </c:strRef>
          </c:cat>
          <c:val>
            <c:numRef>
              <c:f>'Insumos Import 17-20'!$H$26:$H$32</c:f>
              <c:numCache>
                <c:formatCode>_(* #,##0_);_(* \(#,##0\);_(* "-"_);_(@_)</c:formatCode>
                <c:ptCount val="7"/>
                <c:pt idx="0" formatCode="#,##0">
                  <c:v>866064</c:v>
                </c:pt>
                <c:pt idx="1">
                  <c:v>1113273</c:v>
                </c:pt>
                <c:pt idx="2" formatCode="#,##0">
                  <c:v>2577395</c:v>
                </c:pt>
                <c:pt idx="3" formatCode="#,##0">
                  <c:v>1141141</c:v>
                </c:pt>
                <c:pt idx="4" formatCode="#,##0">
                  <c:v>135260</c:v>
                </c:pt>
                <c:pt idx="5" formatCode="#,##0">
                  <c:v>505341</c:v>
                </c:pt>
                <c:pt idx="6" formatCode="_-* #,##0_-;\-* #,##0_-;_-* &quot;-&quot;??_-;_-@_-">
                  <c:v>228553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59-4440-993C-A667C1D22353}"/>
            </c:ext>
          </c:extLst>
        </c:ser>
        <c:ser>
          <c:idx val="2"/>
          <c:order val="2"/>
          <c:tx>
            <c:strRef>
              <c:f>'Insumos Import 17-20'!$I$25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'Insumos Import 17-20'!$F$26:$F$32</c:f>
              <c:strCache>
                <c:ptCount val="7"/>
                <c:pt idx="0">
                  <c:v>Refrigeración doméstica</c:v>
                </c:pt>
                <c:pt idx="1">
                  <c:v>Cocina a gas</c:v>
                </c:pt>
                <c:pt idx="2">
                  <c:v>Licuadoras</c:v>
                </c:pt>
                <c:pt idx="3">
                  <c:v>Ventiladores</c:v>
                </c:pt>
                <c:pt idx="4">
                  <c:v>Lavadoras</c:v>
                </c:pt>
                <c:pt idx="5">
                  <c:v>Televisores</c:v>
                </c:pt>
                <c:pt idx="6">
                  <c:v>Cocinas eléctricas</c:v>
                </c:pt>
              </c:strCache>
            </c:strRef>
          </c:cat>
          <c:val>
            <c:numRef>
              <c:f>'Insumos Import 17-20'!$I$26:$I$32</c:f>
              <c:numCache>
                <c:formatCode>_(* #,##0_);_(* \(#,##0\);_(* "-"_);_(@_)</c:formatCode>
                <c:ptCount val="7"/>
                <c:pt idx="0" formatCode="#,##0">
                  <c:v>930869</c:v>
                </c:pt>
                <c:pt idx="1">
                  <c:v>959186</c:v>
                </c:pt>
                <c:pt idx="2" formatCode="#,##0">
                  <c:v>1304695</c:v>
                </c:pt>
                <c:pt idx="3" formatCode="#,##0">
                  <c:v>964008</c:v>
                </c:pt>
                <c:pt idx="4" formatCode="#,##0">
                  <c:v>161310</c:v>
                </c:pt>
                <c:pt idx="5" formatCode="#,##0">
                  <c:v>643309</c:v>
                </c:pt>
                <c:pt idx="6" formatCode="_-* #,##0_-;\-* #,##0_-;_-* &quot;-&quot;??_-;_-@_-">
                  <c:v>286513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59-4440-993C-A667C1D22353}"/>
            </c:ext>
          </c:extLst>
        </c:ser>
        <c:ser>
          <c:idx val="3"/>
          <c:order val="3"/>
          <c:tx>
            <c:strRef>
              <c:f>'Insumos Import 17-20'!$J$25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'Insumos Import 17-20'!$F$26:$F$32</c:f>
              <c:strCache>
                <c:ptCount val="7"/>
                <c:pt idx="0">
                  <c:v>Refrigeración doméstica</c:v>
                </c:pt>
                <c:pt idx="1">
                  <c:v>Cocina a gas</c:v>
                </c:pt>
                <c:pt idx="2">
                  <c:v>Licuadoras</c:v>
                </c:pt>
                <c:pt idx="3">
                  <c:v>Ventiladores</c:v>
                </c:pt>
                <c:pt idx="4">
                  <c:v>Lavadoras</c:v>
                </c:pt>
                <c:pt idx="5">
                  <c:v>Televisores</c:v>
                </c:pt>
                <c:pt idx="6">
                  <c:v>Cocinas eléctricas</c:v>
                </c:pt>
              </c:strCache>
            </c:strRef>
          </c:cat>
          <c:val>
            <c:numRef>
              <c:f>'Insumos Import 17-20'!$J$26:$J$32</c:f>
              <c:numCache>
                <c:formatCode>_(* #,##0_);_(* \(#,##0\);_(* "-"_);_(@_)</c:formatCode>
                <c:ptCount val="7"/>
                <c:pt idx="0" formatCode="#,##0">
                  <c:v>1125358</c:v>
                </c:pt>
                <c:pt idx="1">
                  <c:v>1082957</c:v>
                </c:pt>
                <c:pt idx="2" formatCode="#,##0">
                  <c:v>1572888</c:v>
                </c:pt>
                <c:pt idx="3" formatCode="#,##0">
                  <c:v>1287717</c:v>
                </c:pt>
                <c:pt idx="4" formatCode="#,##0">
                  <c:v>224654</c:v>
                </c:pt>
                <c:pt idx="5" formatCode="#,##0">
                  <c:v>676044</c:v>
                </c:pt>
                <c:pt idx="6" formatCode="_-* #,##0_-;\-* #,##0_-;_-* &quot;-&quot;??_-;_-@_-">
                  <c:v>290810.69499999995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259-4440-993C-A667C1D223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80535215"/>
        <c:axId val="780538543"/>
      </c:barChart>
      <c:catAx>
        <c:axId val="7805352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80538543"/>
        <c:crosses val="autoZero"/>
        <c:auto val="1"/>
        <c:lblAlgn val="ctr"/>
        <c:lblOffset val="100"/>
        <c:noMultiLvlLbl val="0"/>
      </c:catAx>
      <c:valAx>
        <c:axId val="780538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80535215"/>
        <c:crosses val="autoZero"/>
        <c:crossBetween val="between"/>
        <c:dispUnits>
          <c:builtInUnit val="thousands"/>
          <c:dispUnitsLbl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en-US"/>
                    <a:t>Millones de Unidades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PROUREvsMercado!$Q$11</c:f>
              <c:strCache>
                <c:ptCount val="1"/>
                <c:pt idx="0">
                  <c:v>Meta anual promedio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PROUREvsMercado!$R$10:$T$10</c:f>
              <c:strCache>
                <c:ptCount val="3"/>
                <c:pt idx="0">
                  <c:v>Neveras</c:v>
                </c:pt>
                <c:pt idx="1">
                  <c:v>Estufas a gas</c:v>
                </c:pt>
                <c:pt idx="2">
                  <c:v>Estufas eléctricas</c:v>
                </c:pt>
              </c:strCache>
            </c:strRef>
          </c:cat>
          <c:val>
            <c:numRef>
              <c:f>PROUREvsMercado!$R$11:$T$11</c:f>
              <c:numCache>
                <c:formatCode>_-* #,##0_-;\-* #,##0_-;_-* "-"??_-;_-@_-</c:formatCode>
                <c:ptCount val="3"/>
                <c:pt idx="0">
                  <c:v>1291400</c:v>
                </c:pt>
                <c:pt idx="1">
                  <c:v>1203823.7672890567</c:v>
                </c:pt>
                <c:pt idx="2">
                  <c:v>156258.81123289344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0A-480C-8700-D1A821EEA1A7}"/>
            </c:ext>
          </c:extLst>
        </c:ser>
        <c:ser>
          <c:idx val="1"/>
          <c:order val="1"/>
          <c:tx>
            <c:strRef>
              <c:f>PROUREvsMercado!$Q$12</c:f>
              <c:strCache>
                <c:ptCount val="1"/>
                <c:pt idx="0">
                  <c:v>Máxima producción 2017-2020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PROUREvsMercado!$R$10:$T$10</c:f>
              <c:strCache>
                <c:ptCount val="3"/>
                <c:pt idx="0">
                  <c:v>Neveras</c:v>
                </c:pt>
                <c:pt idx="1">
                  <c:v>Estufas a gas</c:v>
                </c:pt>
                <c:pt idx="2">
                  <c:v>Estufas eléctricas</c:v>
                </c:pt>
              </c:strCache>
            </c:strRef>
          </c:cat>
          <c:val>
            <c:numRef>
              <c:f>PROUREvsMercado!$R$12:$T$12</c:f>
              <c:numCache>
                <c:formatCode>_-* #,##0_-;\-* #,##0_-;_-* "-"??_-;_-@_-</c:formatCode>
                <c:ptCount val="3"/>
                <c:pt idx="0">
                  <c:v>1125358</c:v>
                </c:pt>
                <c:pt idx="1">
                  <c:v>1113273</c:v>
                </c:pt>
                <c:pt idx="2">
                  <c:v>290810.69499999995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0A-480C-8700-D1A821EEA1A7}"/>
            </c:ext>
          </c:extLst>
        </c:ser>
        <c:ser>
          <c:idx val="2"/>
          <c:order val="2"/>
          <c:tx>
            <c:strRef>
              <c:f>PROUREvsMercado!$Q$14</c:f>
              <c:strCache>
                <c:ptCount val="1"/>
                <c:pt idx="0">
                  <c:v>Máximo mercado aparente 2017-2020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PROUREvsMercado!$R$10:$T$10</c:f>
              <c:strCache>
                <c:ptCount val="3"/>
                <c:pt idx="0">
                  <c:v>Neveras</c:v>
                </c:pt>
                <c:pt idx="1">
                  <c:v>Estufas a gas</c:v>
                </c:pt>
                <c:pt idx="2">
                  <c:v>Estufas eléctricas</c:v>
                </c:pt>
              </c:strCache>
            </c:strRef>
          </c:cat>
          <c:val>
            <c:numRef>
              <c:f>PROUREvsMercado!$R$14:$T$14</c:f>
              <c:numCache>
                <c:formatCode>_-* #,##0_-;\-* #,##0_-;_-* "-"??_-;_-@_-</c:formatCode>
                <c:ptCount val="3"/>
                <c:pt idx="0">
                  <c:v>887538</c:v>
                </c:pt>
                <c:pt idx="1">
                  <c:v>1200400</c:v>
                </c:pt>
                <c:pt idx="2">
                  <c:v>305638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40A-480C-8700-D1A821EEA1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52946416"/>
        <c:axId val="652947072"/>
      </c:barChart>
      <c:catAx>
        <c:axId val="652946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52947072"/>
        <c:crosses val="autoZero"/>
        <c:auto val="1"/>
        <c:lblAlgn val="ctr"/>
        <c:lblOffset val="100"/>
        <c:noMultiLvlLbl val="0"/>
      </c:catAx>
      <c:valAx>
        <c:axId val="652947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52946416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2.2222222222222223E-2"/>
                <c:y val="0.1204301347173843"/>
              </c:manualLayout>
            </c:layout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r>
                    <a:rPr lang="es-CO"/>
                    <a:t>Miles</a:t>
                  </a:r>
                  <a:r>
                    <a:rPr lang="es-CO" baseline="0"/>
                    <a:t> de unidades</a:t>
                  </a:r>
                  <a:endParaRPr lang="es-CO"/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PROUREvsMercado!$K$11</c:f>
              <c:strCache>
                <c:ptCount val="1"/>
                <c:pt idx="0">
                  <c:v>Meta año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PROUREvsMercado!$O$10</c:f>
              <c:strCache>
                <c:ptCount val="1"/>
                <c:pt idx="0">
                  <c:v>Bombillos LED</c:v>
                </c:pt>
              </c:strCache>
            </c:strRef>
          </c:cat>
          <c:val>
            <c:numRef>
              <c:f>PROUREvsMercado!$O$11</c:f>
              <c:numCache>
                <c:formatCode>_-* #,##0_-;\-* #,##0_-;_-* "-"??_-;_-@_-</c:formatCode>
                <c:ptCount val="1"/>
                <c:pt idx="0">
                  <c:v>1565639.6100000225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86-49A1-B46C-C749FDDCBD17}"/>
            </c:ext>
          </c:extLst>
        </c:ser>
        <c:ser>
          <c:idx val="2"/>
          <c:order val="2"/>
          <c:tx>
            <c:strRef>
              <c:f>PROUREvsMercado!$K$13</c:f>
              <c:strCache>
                <c:ptCount val="1"/>
                <c:pt idx="0">
                  <c:v>Importaciones 2020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PROUREvsMercado!$O$10</c:f>
              <c:strCache>
                <c:ptCount val="1"/>
                <c:pt idx="0">
                  <c:v>Bombillos LED</c:v>
                </c:pt>
              </c:strCache>
            </c:strRef>
          </c:cat>
          <c:val>
            <c:numRef>
              <c:f>PROUREvsMercado!$O$13</c:f>
              <c:numCache>
                <c:formatCode>_-* #,##0_-;\-* #,##0_-;_-* "-"??_-;_-@_-</c:formatCode>
                <c:ptCount val="1"/>
                <c:pt idx="0">
                  <c:v>28823976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86-49A1-B46C-C749FDDCBD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52946416"/>
        <c:axId val="652947072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PROUREvsMercado!$K$12</c15:sqref>
                        </c15:formulaRef>
                      </c:ext>
                    </c:extLst>
                    <c:strCache>
                      <c:ptCount val="1"/>
                      <c:pt idx="0">
                        <c:v>Producción 2020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PROUREvsMercado!$O$10</c15:sqref>
                        </c15:formulaRef>
                      </c:ext>
                    </c:extLst>
                    <c:strCache>
                      <c:ptCount val="1"/>
                      <c:pt idx="0">
                        <c:v>Bombillos LED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PROUREvsMercado!$O$12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1"/>
                      <c:pt idx="0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4886-49A1-B46C-C749FDDCBD17}"/>
                  </c:ext>
                </c:extLst>
              </c15:ser>
            </c15:filteredBarSeries>
          </c:ext>
        </c:extLst>
      </c:barChart>
      <c:catAx>
        <c:axId val="652946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52947072"/>
        <c:crosses val="autoZero"/>
        <c:auto val="1"/>
        <c:lblAlgn val="ctr"/>
        <c:lblOffset val="100"/>
        <c:noMultiLvlLbl val="0"/>
      </c:catAx>
      <c:valAx>
        <c:axId val="652947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52946416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2.2222222222222223E-2"/>
                <c:y val="0.1204301347173843"/>
              </c:manualLayout>
            </c:layout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r>
                    <a:rPr lang="es-CO"/>
                    <a:t>Miles</a:t>
                  </a:r>
                  <a:r>
                    <a:rPr lang="es-CO" baseline="0"/>
                    <a:t> de unidades</a:t>
                  </a:r>
                  <a:endParaRPr lang="es-CO"/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PROUREvsMercado!$Q$11</c:f>
              <c:strCache>
                <c:ptCount val="1"/>
                <c:pt idx="0">
                  <c:v>Meta anual promedio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PROUREvsMercado!$U$10</c:f>
              <c:strCache>
                <c:ptCount val="1"/>
                <c:pt idx="0">
                  <c:v>Bombillos LED</c:v>
                </c:pt>
              </c:strCache>
            </c:strRef>
          </c:cat>
          <c:val>
            <c:numRef>
              <c:f>PROUREvsMercado!$U$11</c:f>
              <c:numCache>
                <c:formatCode>_-* #,##0_-;\-* #,##0_-;_-* "-"??_-;_-@_-</c:formatCode>
                <c:ptCount val="1"/>
                <c:pt idx="0">
                  <c:v>8754243.2884963099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D1-4431-B7CE-7663DA6EA5AC}"/>
            </c:ext>
          </c:extLst>
        </c:ser>
        <c:ser>
          <c:idx val="2"/>
          <c:order val="2"/>
          <c:tx>
            <c:strRef>
              <c:f>PROUREvsMercado!$Q$13</c:f>
              <c:strCache>
                <c:ptCount val="1"/>
                <c:pt idx="0">
                  <c:v>Máxima importación 2017-2020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PROUREvsMercado!$U$10</c:f>
              <c:strCache>
                <c:ptCount val="1"/>
                <c:pt idx="0">
                  <c:v>Bombillos LED</c:v>
                </c:pt>
              </c:strCache>
            </c:strRef>
          </c:cat>
          <c:val>
            <c:numRef>
              <c:f>PROUREvsMercado!$U$13</c:f>
              <c:numCache>
                <c:formatCode>_-* #,##0_-;\-* #,##0_-;_-* "-"??_-;_-@_-</c:formatCode>
                <c:ptCount val="1"/>
                <c:pt idx="0">
                  <c:v>28823976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D1-4431-B7CE-7663DA6EA5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52946416"/>
        <c:axId val="652947072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PROUREvsMercado!$Q$12</c15:sqref>
                        </c15:formulaRef>
                      </c:ext>
                    </c:extLst>
                    <c:strCache>
                      <c:ptCount val="1"/>
                      <c:pt idx="0">
                        <c:v>Máxima producción 2017-2020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PROUREvsMercado!$U$10</c15:sqref>
                        </c15:formulaRef>
                      </c:ext>
                    </c:extLst>
                    <c:strCache>
                      <c:ptCount val="1"/>
                      <c:pt idx="0">
                        <c:v>Bombillos LED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PROUREvsMercado!$U$12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1"/>
                      <c:pt idx="0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4FD1-4431-B7CE-7663DA6EA5AC}"/>
                  </c:ext>
                </c:extLst>
              </c15:ser>
            </c15:filteredBarSeries>
          </c:ext>
        </c:extLst>
      </c:barChart>
      <c:catAx>
        <c:axId val="652946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52947072"/>
        <c:crosses val="autoZero"/>
        <c:auto val="1"/>
        <c:lblAlgn val="ctr"/>
        <c:lblOffset val="100"/>
        <c:noMultiLvlLbl val="0"/>
      </c:catAx>
      <c:valAx>
        <c:axId val="652947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52946416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2.2222222222222223E-2"/>
                <c:y val="0.1204301347173843"/>
              </c:manualLayout>
            </c:layout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r>
                    <a:rPr lang="es-CO"/>
                    <a:t>Miles</a:t>
                  </a:r>
                  <a:r>
                    <a:rPr lang="es-CO" baseline="0"/>
                    <a:t> de unidades</a:t>
                  </a:r>
                  <a:endParaRPr lang="es-CO"/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'Tenencia electrodomésticos'!$B$4:$B$19</c:f>
              <c:strCache>
                <c:ptCount val="16"/>
                <c:pt idx="0">
                  <c:v>Aire acondicionado</c:v>
                </c:pt>
                <c:pt idx="1">
                  <c:v>Tableta</c:v>
                </c:pt>
                <c:pt idx="2">
                  <c:v>Computador de escritorio</c:v>
                </c:pt>
                <c:pt idx="3">
                  <c:v>Horno microondas</c:v>
                </c:pt>
                <c:pt idx="4">
                  <c:v>Horno eléctrico o de gas</c:v>
                </c:pt>
                <c:pt idx="5">
                  <c:v>Reproductor de video (dvd, blue-ray, otros)</c:v>
                </c:pt>
                <c:pt idx="6">
                  <c:v>Calentador de agua eléctrico o de gas o ducha eléctrica</c:v>
                </c:pt>
                <c:pt idx="7">
                  <c:v>Computador portátil</c:v>
                </c:pt>
                <c:pt idx="8">
                  <c:v>Ventilador o abanico</c:v>
                </c:pt>
                <c:pt idx="9">
                  <c:v>Equipo de sonido</c:v>
                </c:pt>
                <c:pt idx="10">
                  <c:v>Tv a color convencional</c:v>
                </c:pt>
                <c:pt idx="11">
                  <c:v>Tv  lcd, plasma o led</c:v>
                </c:pt>
                <c:pt idx="12">
                  <c:v>Plancha</c:v>
                </c:pt>
                <c:pt idx="13">
                  <c:v>Máquina lavadora de ropa</c:v>
                </c:pt>
                <c:pt idx="14">
                  <c:v>Nevera o refrigerador</c:v>
                </c:pt>
                <c:pt idx="15">
                  <c:v>Estufa eléctrica o de gas</c:v>
                </c:pt>
              </c:strCache>
            </c:strRef>
          </c:cat>
          <c:val>
            <c:numRef>
              <c:f>'Tenencia electrodomésticos'!$D$4:$D$19</c:f>
              <c:numCache>
                <c:formatCode>0.0%</c:formatCode>
                <c:ptCount val="16"/>
                <c:pt idx="0">
                  <c:v>4.7489918999999998E-2</c:v>
                </c:pt>
                <c:pt idx="1">
                  <c:v>0.10910140200000001</c:v>
                </c:pt>
                <c:pt idx="2">
                  <c:v>0.20596314299999999</c:v>
                </c:pt>
                <c:pt idx="3">
                  <c:v>0.218779958</c:v>
                </c:pt>
                <c:pt idx="4">
                  <c:v>0.24212215300000001</c:v>
                </c:pt>
                <c:pt idx="5">
                  <c:v>0.24662403199999999</c:v>
                </c:pt>
                <c:pt idx="6">
                  <c:v>0.248053262</c:v>
                </c:pt>
                <c:pt idx="7">
                  <c:v>0.28754307000000001</c:v>
                </c:pt>
                <c:pt idx="8">
                  <c:v>0.37698979100000002</c:v>
                </c:pt>
                <c:pt idx="9">
                  <c:v>0.48026211400000002</c:v>
                </c:pt>
                <c:pt idx="10">
                  <c:v>0.48785966999999997</c:v>
                </c:pt>
                <c:pt idx="11">
                  <c:v>0.53399182499999998</c:v>
                </c:pt>
                <c:pt idx="12">
                  <c:v>0.57664508400000003</c:v>
                </c:pt>
                <c:pt idx="13">
                  <c:v>0.62969343899999997</c:v>
                </c:pt>
                <c:pt idx="14">
                  <c:v>0.83185187500000002</c:v>
                </c:pt>
                <c:pt idx="15">
                  <c:v>0.88861002200000005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8C-4CBE-84BD-0A1BB372F9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89304568"/>
        <c:axId val="689301944"/>
      </c:barChart>
      <c:catAx>
        <c:axId val="6893045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89301944"/>
        <c:crosses val="autoZero"/>
        <c:auto val="1"/>
        <c:lblAlgn val="ctr"/>
        <c:lblOffset val="100"/>
        <c:noMultiLvlLbl val="0"/>
      </c:catAx>
      <c:valAx>
        <c:axId val="689301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893045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Viviendas!$G$7</c:f>
              <c:strCache>
                <c:ptCount val="1"/>
                <c:pt idx="0">
                  <c:v>VIS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Viviendas!$H$6:$I$6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Viviendas!$H$7:$I$7</c:f>
              <c:numCache>
                <c:formatCode>#,##0</c:formatCode>
                <c:ptCount val="2"/>
                <c:pt idx="0">
                  <c:v>62662</c:v>
                </c:pt>
                <c:pt idx="1">
                  <c:v>49919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EF-49FE-B1E9-96C5A4E4465C}"/>
            </c:ext>
          </c:extLst>
        </c:ser>
        <c:ser>
          <c:idx val="1"/>
          <c:order val="1"/>
          <c:tx>
            <c:strRef>
              <c:f>Viviendas!$G$8</c:f>
              <c:strCache>
                <c:ptCount val="1"/>
                <c:pt idx="0">
                  <c:v>No VIS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Viviendas!$H$6:$I$6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Viviendas!$H$8:$I$8</c:f>
              <c:numCache>
                <c:formatCode>#,##0</c:formatCode>
                <c:ptCount val="2"/>
                <c:pt idx="0">
                  <c:v>78833</c:v>
                </c:pt>
                <c:pt idx="1">
                  <c:v>62271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EF-49FE-B1E9-96C5A4E446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38271552"/>
        <c:axId val="538274504"/>
      </c:barChart>
      <c:catAx>
        <c:axId val="538271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538274504"/>
        <c:crosses val="autoZero"/>
        <c:auto val="1"/>
        <c:lblAlgn val="ctr"/>
        <c:lblOffset val="100"/>
        <c:noMultiLvlLbl val="0"/>
      </c:catAx>
      <c:valAx>
        <c:axId val="538274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538271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Cantidad total importada de electrodomésticos 2017-2020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'Import product finales 17-20 '!$B$3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'Import product finales 17-20 '!$A$4:$A$14</c:f>
              <c:strCache>
                <c:ptCount val="11"/>
                <c:pt idx="0">
                  <c:v>Ventiladores</c:v>
                </c:pt>
                <c:pt idx="1">
                  <c:v>Acondicionamiento de aire</c:v>
                </c:pt>
                <c:pt idx="2">
                  <c:v>Refrigeración</c:v>
                </c:pt>
                <c:pt idx="3">
                  <c:v>Licuadoras</c:v>
                </c:pt>
                <c:pt idx="4">
                  <c:v>Cocinas a gas </c:v>
                </c:pt>
                <c:pt idx="5">
                  <c:v>Lavadora</c:v>
                </c:pt>
                <c:pt idx="6">
                  <c:v>Planchas eléctricas</c:v>
                </c:pt>
                <c:pt idx="7">
                  <c:v>Hornos microondas</c:v>
                </c:pt>
                <c:pt idx="8">
                  <c:v>Hornos eléctricos</c:v>
                </c:pt>
                <c:pt idx="9">
                  <c:v>Televisores</c:v>
                </c:pt>
                <c:pt idx="10">
                  <c:v>Cocinas Eléctricas</c:v>
                </c:pt>
              </c:strCache>
            </c:strRef>
          </c:cat>
          <c:val>
            <c:numRef>
              <c:f>'Import product finales 17-20 '!$B$4:$B$14</c:f>
              <c:numCache>
                <c:formatCode>#,##0</c:formatCode>
                <c:ptCount val="11"/>
                <c:pt idx="0">
                  <c:v>1748541</c:v>
                </c:pt>
                <c:pt idx="1">
                  <c:v>287778</c:v>
                </c:pt>
                <c:pt idx="2">
                  <c:v>7415</c:v>
                </c:pt>
                <c:pt idx="3">
                  <c:v>1644029</c:v>
                </c:pt>
                <c:pt idx="4">
                  <c:v>68349</c:v>
                </c:pt>
                <c:pt idx="5">
                  <c:v>391846</c:v>
                </c:pt>
                <c:pt idx="6">
                  <c:v>1503616</c:v>
                </c:pt>
                <c:pt idx="7">
                  <c:v>389892</c:v>
                </c:pt>
                <c:pt idx="8">
                  <c:v>176368</c:v>
                </c:pt>
                <c:pt idx="9">
                  <c:v>1827202</c:v>
                </c:pt>
                <c:pt idx="10">
                  <c:v>36931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F4-49D9-87F5-70333DDBC1E0}"/>
            </c:ext>
          </c:extLst>
        </c:ser>
        <c:ser>
          <c:idx val="1"/>
          <c:order val="1"/>
          <c:tx>
            <c:strRef>
              <c:f>'Import product finales 17-20 '!$C$3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'Import product finales 17-20 '!$A$4:$A$14</c:f>
              <c:strCache>
                <c:ptCount val="11"/>
                <c:pt idx="0">
                  <c:v>Ventiladores</c:v>
                </c:pt>
                <c:pt idx="1">
                  <c:v>Acondicionamiento de aire</c:v>
                </c:pt>
                <c:pt idx="2">
                  <c:v>Refrigeración</c:v>
                </c:pt>
                <c:pt idx="3">
                  <c:v>Licuadoras</c:v>
                </c:pt>
                <c:pt idx="4">
                  <c:v>Cocinas a gas </c:v>
                </c:pt>
                <c:pt idx="5">
                  <c:v>Lavadora</c:v>
                </c:pt>
                <c:pt idx="6">
                  <c:v>Planchas eléctricas</c:v>
                </c:pt>
                <c:pt idx="7">
                  <c:v>Hornos microondas</c:v>
                </c:pt>
                <c:pt idx="8">
                  <c:v>Hornos eléctricos</c:v>
                </c:pt>
                <c:pt idx="9">
                  <c:v>Televisores</c:v>
                </c:pt>
                <c:pt idx="10">
                  <c:v>Cocinas Eléctricas</c:v>
                </c:pt>
              </c:strCache>
            </c:strRef>
          </c:cat>
          <c:val>
            <c:numRef>
              <c:f>'Import product finales 17-20 '!$C$4:$C$14</c:f>
              <c:numCache>
                <c:formatCode>#,##0</c:formatCode>
                <c:ptCount val="11"/>
                <c:pt idx="0">
                  <c:v>2534351</c:v>
                </c:pt>
                <c:pt idx="1">
                  <c:v>344653</c:v>
                </c:pt>
                <c:pt idx="2">
                  <c:v>26060</c:v>
                </c:pt>
                <c:pt idx="3">
                  <c:v>1429709</c:v>
                </c:pt>
                <c:pt idx="4">
                  <c:v>70282</c:v>
                </c:pt>
                <c:pt idx="5">
                  <c:v>372124</c:v>
                </c:pt>
                <c:pt idx="6">
                  <c:v>1467460</c:v>
                </c:pt>
                <c:pt idx="7">
                  <c:v>267247</c:v>
                </c:pt>
                <c:pt idx="8">
                  <c:v>172110</c:v>
                </c:pt>
                <c:pt idx="9">
                  <c:v>2077153</c:v>
                </c:pt>
                <c:pt idx="10">
                  <c:v>34726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F4-49D9-87F5-70333DDBC1E0}"/>
            </c:ext>
          </c:extLst>
        </c:ser>
        <c:ser>
          <c:idx val="2"/>
          <c:order val="2"/>
          <c:tx>
            <c:strRef>
              <c:f>'Import product finales 17-20 '!$D$3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'Import product finales 17-20 '!$A$4:$A$14</c:f>
              <c:strCache>
                <c:ptCount val="11"/>
                <c:pt idx="0">
                  <c:v>Ventiladores</c:v>
                </c:pt>
                <c:pt idx="1">
                  <c:v>Acondicionamiento de aire</c:v>
                </c:pt>
                <c:pt idx="2">
                  <c:v>Refrigeración</c:v>
                </c:pt>
                <c:pt idx="3">
                  <c:v>Licuadoras</c:v>
                </c:pt>
                <c:pt idx="4">
                  <c:v>Cocinas a gas </c:v>
                </c:pt>
                <c:pt idx="5">
                  <c:v>Lavadora</c:v>
                </c:pt>
                <c:pt idx="6">
                  <c:v>Planchas eléctricas</c:v>
                </c:pt>
                <c:pt idx="7">
                  <c:v>Hornos microondas</c:v>
                </c:pt>
                <c:pt idx="8">
                  <c:v>Hornos eléctricos</c:v>
                </c:pt>
                <c:pt idx="9">
                  <c:v>Televisores</c:v>
                </c:pt>
                <c:pt idx="10">
                  <c:v>Cocinas Eléctricas</c:v>
                </c:pt>
              </c:strCache>
            </c:strRef>
          </c:cat>
          <c:val>
            <c:numRef>
              <c:f>'Import product finales 17-20 '!$D$4:$D$14</c:f>
              <c:numCache>
                <c:formatCode>#,##0</c:formatCode>
                <c:ptCount val="11"/>
                <c:pt idx="0">
                  <c:v>3401180</c:v>
                </c:pt>
                <c:pt idx="1">
                  <c:v>457493</c:v>
                </c:pt>
                <c:pt idx="2">
                  <c:v>22053</c:v>
                </c:pt>
                <c:pt idx="3">
                  <c:v>1524382</c:v>
                </c:pt>
                <c:pt idx="4">
                  <c:v>96843</c:v>
                </c:pt>
                <c:pt idx="5">
                  <c:v>420126</c:v>
                </c:pt>
                <c:pt idx="6">
                  <c:v>1564737</c:v>
                </c:pt>
                <c:pt idx="7">
                  <c:v>348478</c:v>
                </c:pt>
                <c:pt idx="8">
                  <c:v>237786</c:v>
                </c:pt>
                <c:pt idx="9">
                  <c:v>2096661</c:v>
                </c:pt>
                <c:pt idx="10">
                  <c:v>67692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F4-49D9-87F5-70333DDBC1E0}"/>
            </c:ext>
          </c:extLst>
        </c:ser>
        <c:ser>
          <c:idx val="3"/>
          <c:order val="3"/>
          <c:tx>
            <c:strRef>
              <c:f>'Import product finales 17-20 '!$E$3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'Import product finales 17-20 '!$A$4:$A$14</c:f>
              <c:strCache>
                <c:ptCount val="11"/>
                <c:pt idx="0">
                  <c:v>Ventiladores</c:v>
                </c:pt>
                <c:pt idx="1">
                  <c:v>Acondicionamiento de aire</c:v>
                </c:pt>
                <c:pt idx="2">
                  <c:v>Refrigeración</c:v>
                </c:pt>
                <c:pt idx="3">
                  <c:v>Licuadoras</c:v>
                </c:pt>
                <c:pt idx="4">
                  <c:v>Cocinas a gas </c:v>
                </c:pt>
                <c:pt idx="5">
                  <c:v>Lavadora</c:v>
                </c:pt>
                <c:pt idx="6">
                  <c:v>Planchas eléctricas</c:v>
                </c:pt>
                <c:pt idx="7">
                  <c:v>Hornos microondas</c:v>
                </c:pt>
                <c:pt idx="8">
                  <c:v>Hornos eléctricos</c:v>
                </c:pt>
                <c:pt idx="9">
                  <c:v>Televisores</c:v>
                </c:pt>
                <c:pt idx="10">
                  <c:v>Cocinas Eléctricas</c:v>
                </c:pt>
              </c:strCache>
            </c:strRef>
          </c:cat>
          <c:val>
            <c:numRef>
              <c:f>'Import product finales 17-20 '!$E$4:$E$14</c:f>
              <c:numCache>
                <c:formatCode>#,##0</c:formatCode>
                <c:ptCount val="11"/>
                <c:pt idx="0">
                  <c:v>2489715</c:v>
                </c:pt>
                <c:pt idx="1">
                  <c:v>439829</c:v>
                </c:pt>
                <c:pt idx="2">
                  <c:v>5267</c:v>
                </c:pt>
                <c:pt idx="3">
                  <c:v>1642475</c:v>
                </c:pt>
                <c:pt idx="4">
                  <c:v>57783</c:v>
                </c:pt>
                <c:pt idx="5">
                  <c:v>323581</c:v>
                </c:pt>
                <c:pt idx="6">
                  <c:v>801491</c:v>
                </c:pt>
                <c:pt idx="7">
                  <c:v>250710</c:v>
                </c:pt>
                <c:pt idx="8">
                  <c:v>349882</c:v>
                </c:pt>
                <c:pt idx="9">
                  <c:v>2014165</c:v>
                </c:pt>
                <c:pt idx="10">
                  <c:v>25932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FF4-49D9-87F5-70333DDBC1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50287087"/>
        <c:axId val="750296239"/>
      </c:barChart>
      <c:catAx>
        <c:axId val="7502870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50296239"/>
        <c:crosses val="autoZero"/>
        <c:auto val="1"/>
        <c:lblAlgn val="ctr"/>
        <c:lblOffset val="100"/>
        <c:noMultiLvlLbl val="0"/>
      </c:catAx>
      <c:valAx>
        <c:axId val="750296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50287087"/>
        <c:crosses val="autoZero"/>
        <c:crossBetween val="between"/>
        <c:dispUnits>
          <c:builtInUnit val="thousands"/>
          <c:dispUnitsLbl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en-US"/>
                    <a:t>Miles de unidades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Cantidad Total Importada por país 2019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'Import product finales 17-20 '!$B$34</c:f>
              <c:strCache>
                <c:ptCount val="1"/>
                <c:pt idx="0">
                  <c:v>CHINA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'Import product finales 17-20 '!$A$35:$A$45</c:f>
              <c:strCache>
                <c:ptCount val="11"/>
                <c:pt idx="0">
                  <c:v>Ventilación</c:v>
                </c:pt>
                <c:pt idx="1">
                  <c:v>Acondicionamiento de aire</c:v>
                </c:pt>
                <c:pt idx="2">
                  <c:v>Refrigeración</c:v>
                </c:pt>
                <c:pt idx="3">
                  <c:v>Licuadoras</c:v>
                </c:pt>
                <c:pt idx="4">
                  <c:v>Cocinas a gas </c:v>
                </c:pt>
                <c:pt idx="5">
                  <c:v>Lavadora</c:v>
                </c:pt>
                <c:pt idx="6">
                  <c:v>Planchas eléctricas</c:v>
                </c:pt>
                <c:pt idx="7">
                  <c:v>Hornos microondas</c:v>
                </c:pt>
                <c:pt idx="8">
                  <c:v>Hornos eléctricos</c:v>
                </c:pt>
                <c:pt idx="9">
                  <c:v>Televisores</c:v>
                </c:pt>
                <c:pt idx="10">
                  <c:v>Cocinas Eléctricas</c:v>
                </c:pt>
              </c:strCache>
            </c:strRef>
          </c:cat>
          <c:val>
            <c:numRef>
              <c:f>'Import product finales 17-20 '!$B$35:$B$45</c:f>
              <c:numCache>
                <c:formatCode>#,##0</c:formatCode>
                <c:ptCount val="11"/>
                <c:pt idx="0">
                  <c:v>1630995</c:v>
                </c:pt>
                <c:pt idx="1">
                  <c:v>447926</c:v>
                </c:pt>
                <c:pt idx="2">
                  <c:v>19364</c:v>
                </c:pt>
                <c:pt idx="3">
                  <c:v>1007496</c:v>
                </c:pt>
                <c:pt idx="4">
                  <c:v>39976</c:v>
                </c:pt>
                <c:pt idx="5">
                  <c:v>404479</c:v>
                </c:pt>
                <c:pt idx="6">
                  <c:v>1543862</c:v>
                </c:pt>
                <c:pt idx="7">
                  <c:v>290617</c:v>
                </c:pt>
                <c:pt idx="8">
                  <c:v>218359</c:v>
                </c:pt>
                <c:pt idx="9">
                  <c:v>295588</c:v>
                </c:pt>
                <c:pt idx="10" formatCode="General">
                  <c:v>60487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45-454E-9293-FF582D3F607D}"/>
            </c:ext>
          </c:extLst>
        </c:ser>
        <c:ser>
          <c:idx val="1"/>
          <c:order val="1"/>
          <c:tx>
            <c:strRef>
              <c:f>'Import product finales 17-20 '!$C$34</c:f>
              <c:strCache>
                <c:ptCount val="1"/>
                <c:pt idx="0">
                  <c:v>MÉXICO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'Import product finales 17-20 '!$A$35:$A$45</c:f>
              <c:strCache>
                <c:ptCount val="11"/>
                <c:pt idx="0">
                  <c:v>Ventilación</c:v>
                </c:pt>
                <c:pt idx="1">
                  <c:v>Acondicionamiento de aire</c:v>
                </c:pt>
                <c:pt idx="2">
                  <c:v>Refrigeración</c:v>
                </c:pt>
                <c:pt idx="3">
                  <c:v>Licuadoras</c:v>
                </c:pt>
                <c:pt idx="4">
                  <c:v>Cocinas a gas </c:v>
                </c:pt>
                <c:pt idx="5">
                  <c:v>Lavadora</c:v>
                </c:pt>
                <c:pt idx="6">
                  <c:v>Planchas eléctricas</c:v>
                </c:pt>
                <c:pt idx="7">
                  <c:v>Hornos microondas</c:v>
                </c:pt>
                <c:pt idx="8">
                  <c:v>Hornos eléctricos</c:v>
                </c:pt>
                <c:pt idx="9">
                  <c:v>Televisores</c:v>
                </c:pt>
                <c:pt idx="10">
                  <c:v>Cocinas Eléctricas</c:v>
                </c:pt>
              </c:strCache>
            </c:strRef>
          </c:cat>
          <c:val>
            <c:numRef>
              <c:f>'Import product finales 17-20 '!$C$35:$C$45</c:f>
              <c:numCache>
                <c:formatCode>#,##0</c:formatCode>
                <c:ptCount val="11"/>
                <c:pt idx="0">
                  <c:v>50577</c:v>
                </c:pt>
                <c:pt idx="1">
                  <c:v>20</c:v>
                </c:pt>
                <c:pt idx="2">
                  <c:v>2530</c:v>
                </c:pt>
                <c:pt idx="3">
                  <c:v>506048</c:v>
                </c:pt>
                <c:pt idx="4">
                  <c:v>1522</c:v>
                </c:pt>
                <c:pt idx="7">
                  <c:v>4</c:v>
                </c:pt>
                <c:pt idx="8">
                  <c:v>12983</c:v>
                </c:pt>
                <c:pt idx="9">
                  <c:v>1800424</c:v>
                </c:pt>
                <c:pt idx="10" formatCode="General">
                  <c:v>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45-454E-9293-FF582D3F607D}"/>
            </c:ext>
          </c:extLst>
        </c:ser>
        <c:ser>
          <c:idx val="2"/>
          <c:order val="2"/>
          <c:tx>
            <c:strRef>
              <c:f>'Import product finales 17-20 '!$D$34</c:f>
              <c:strCache>
                <c:ptCount val="1"/>
                <c:pt idx="0">
                  <c:v>TAIWÁN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'Import product finales 17-20 '!$A$35:$A$45</c:f>
              <c:strCache>
                <c:ptCount val="11"/>
                <c:pt idx="0">
                  <c:v>Ventilación</c:v>
                </c:pt>
                <c:pt idx="1">
                  <c:v>Acondicionamiento de aire</c:v>
                </c:pt>
                <c:pt idx="2">
                  <c:v>Refrigeración</c:v>
                </c:pt>
                <c:pt idx="3">
                  <c:v>Licuadoras</c:v>
                </c:pt>
                <c:pt idx="4">
                  <c:v>Cocinas a gas </c:v>
                </c:pt>
                <c:pt idx="5">
                  <c:v>Lavadora</c:v>
                </c:pt>
                <c:pt idx="6">
                  <c:v>Planchas eléctricas</c:v>
                </c:pt>
                <c:pt idx="7">
                  <c:v>Hornos microondas</c:v>
                </c:pt>
                <c:pt idx="8">
                  <c:v>Hornos eléctricos</c:v>
                </c:pt>
                <c:pt idx="9">
                  <c:v>Televisores</c:v>
                </c:pt>
                <c:pt idx="10">
                  <c:v>Cocinas Eléctricas</c:v>
                </c:pt>
              </c:strCache>
            </c:strRef>
          </c:cat>
          <c:val>
            <c:numRef>
              <c:f>'Import product finales 17-20 '!$D$35:$D$45</c:f>
              <c:numCache>
                <c:formatCode>General</c:formatCode>
                <c:ptCount val="11"/>
                <c:pt idx="0" formatCode="#,##0">
                  <c:v>1634823</c:v>
                </c:pt>
                <c:pt idx="3" formatCode="#,##0">
                  <c:v>1</c:v>
                </c:pt>
                <c:pt idx="6" formatCode="#,##0">
                  <c:v>2004</c:v>
                </c:pt>
                <c:pt idx="8" formatCode="#,##0">
                  <c:v>720</c:v>
                </c:pt>
                <c:pt idx="9" formatCode="#,##0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45-454E-9293-FF582D3F607D}"/>
            </c:ext>
          </c:extLst>
        </c:ser>
        <c:ser>
          <c:idx val="3"/>
          <c:order val="3"/>
          <c:tx>
            <c:strRef>
              <c:f>'Import product finales 17-20 '!$E$34</c:f>
              <c:strCache>
                <c:ptCount val="1"/>
                <c:pt idx="0">
                  <c:v>Otros Países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'Import product finales 17-20 '!$A$35:$A$45</c:f>
              <c:strCache>
                <c:ptCount val="11"/>
                <c:pt idx="0">
                  <c:v>Ventilación</c:v>
                </c:pt>
                <c:pt idx="1">
                  <c:v>Acondicionamiento de aire</c:v>
                </c:pt>
                <c:pt idx="2">
                  <c:v>Refrigeración</c:v>
                </c:pt>
                <c:pt idx="3">
                  <c:v>Licuadoras</c:v>
                </c:pt>
                <c:pt idx="4">
                  <c:v>Cocinas a gas </c:v>
                </c:pt>
                <c:pt idx="5">
                  <c:v>Lavadora</c:v>
                </c:pt>
                <c:pt idx="6">
                  <c:v>Planchas eléctricas</c:v>
                </c:pt>
                <c:pt idx="7">
                  <c:v>Hornos microondas</c:v>
                </c:pt>
                <c:pt idx="8">
                  <c:v>Hornos eléctricos</c:v>
                </c:pt>
                <c:pt idx="9">
                  <c:v>Televisores</c:v>
                </c:pt>
                <c:pt idx="10">
                  <c:v>Cocinas Eléctricas</c:v>
                </c:pt>
              </c:strCache>
            </c:strRef>
          </c:cat>
          <c:val>
            <c:numRef>
              <c:f>'Import product finales 17-20 '!$E$35:$E$45</c:f>
              <c:numCache>
                <c:formatCode>#,##0</c:formatCode>
                <c:ptCount val="11"/>
                <c:pt idx="0">
                  <c:v>84785</c:v>
                </c:pt>
                <c:pt idx="1">
                  <c:v>9547</c:v>
                </c:pt>
                <c:pt idx="2">
                  <c:v>159</c:v>
                </c:pt>
                <c:pt idx="3">
                  <c:v>10837</c:v>
                </c:pt>
                <c:pt idx="4">
                  <c:v>55345</c:v>
                </c:pt>
                <c:pt idx="5">
                  <c:v>15647</c:v>
                </c:pt>
                <c:pt idx="6">
                  <c:v>18871</c:v>
                </c:pt>
                <c:pt idx="7">
                  <c:v>57857</c:v>
                </c:pt>
                <c:pt idx="8">
                  <c:v>5724</c:v>
                </c:pt>
                <c:pt idx="9">
                  <c:v>637</c:v>
                </c:pt>
                <c:pt idx="10">
                  <c:v>7020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145-454E-9293-FF582D3F60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86814191"/>
        <c:axId val="786808367"/>
      </c:barChart>
      <c:catAx>
        <c:axId val="7868141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86808367"/>
        <c:crosses val="autoZero"/>
        <c:auto val="1"/>
        <c:lblAlgn val="ctr"/>
        <c:lblOffset val="100"/>
        <c:noMultiLvlLbl val="0"/>
      </c:catAx>
      <c:valAx>
        <c:axId val="7868083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86814191"/>
        <c:crosses val="autoZero"/>
        <c:crossBetween val="between"/>
        <c:dispUnits>
          <c:builtInUnit val="thousands"/>
          <c:dispUnitsLbl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en-US"/>
                    <a:t>Miles</a:t>
                  </a:r>
                  <a:r>
                    <a:rPr lang="en-US" baseline="0"/>
                    <a:t> de Unidades</a:t>
                  </a:r>
                  <a:endParaRPr lang="en-US"/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Cantidad importada de partes de electrodomésticos 2017-2020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'Insumos Import 17-20'!$B$3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'Insumos Import 17-20'!$A$4:$A$10</c:f>
              <c:strCache>
                <c:ptCount val="7"/>
                <c:pt idx="0">
                  <c:v>Compresores para refrigeración doméstica</c:v>
                </c:pt>
                <c:pt idx="1">
                  <c:v>Grifería Gas</c:v>
                </c:pt>
                <c:pt idx="2">
                  <c:v>Motores Licuadoras</c:v>
                </c:pt>
                <c:pt idx="3">
                  <c:v>Motores Ventiladores </c:v>
                </c:pt>
                <c:pt idx="4">
                  <c:v>Motores Lavadoras</c:v>
                </c:pt>
                <c:pt idx="5">
                  <c:v>Páneles de cristal para TV</c:v>
                </c:pt>
                <c:pt idx="6">
                  <c:v>Resistencias calentadoras para cocinas eléctricas</c:v>
                </c:pt>
              </c:strCache>
            </c:strRef>
          </c:cat>
          <c:val>
            <c:numRef>
              <c:f>'Insumos Import 17-20'!$B$4:$B$10</c:f>
              <c:numCache>
                <c:formatCode>#,##0</c:formatCode>
                <c:ptCount val="7"/>
                <c:pt idx="0">
                  <c:v>906428</c:v>
                </c:pt>
                <c:pt idx="1">
                  <c:v>2758565</c:v>
                </c:pt>
                <c:pt idx="2">
                  <c:v>3211331</c:v>
                </c:pt>
                <c:pt idx="3">
                  <c:v>1060020</c:v>
                </c:pt>
                <c:pt idx="4">
                  <c:v>160140</c:v>
                </c:pt>
                <c:pt idx="5">
                  <c:v>340204</c:v>
                </c:pt>
                <c:pt idx="6">
                  <c:v>180646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F6-41EC-9B04-B6CBD2A8921B}"/>
            </c:ext>
          </c:extLst>
        </c:ser>
        <c:ser>
          <c:idx val="1"/>
          <c:order val="1"/>
          <c:tx>
            <c:strRef>
              <c:f>'Insumos Import 17-20'!$C$3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'Insumos Import 17-20'!$A$4:$A$10</c:f>
              <c:strCache>
                <c:ptCount val="7"/>
                <c:pt idx="0">
                  <c:v>Compresores para refrigeración doméstica</c:v>
                </c:pt>
                <c:pt idx="1">
                  <c:v>Grifería Gas</c:v>
                </c:pt>
                <c:pt idx="2">
                  <c:v>Motores Licuadoras</c:v>
                </c:pt>
                <c:pt idx="3">
                  <c:v>Motores Ventiladores </c:v>
                </c:pt>
                <c:pt idx="4">
                  <c:v>Motores Lavadoras</c:v>
                </c:pt>
                <c:pt idx="5">
                  <c:v>Páneles de cristal para TV</c:v>
                </c:pt>
                <c:pt idx="6">
                  <c:v>Resistencias calentadoras para cocinas eléctricas</c:v>
                </c:pt>
              </c:strCache>
            </c:strRef>
          </c:cat>
          <c:val>
            <c:numRef>
              <c:f>'Insumos Import 17-20'!$C$4:$C$10</c:f>
              <c:numCache>
                <c:formatCode>#,##0</c:formatCode>
                <c:ptCount val="7"/>
                <c:pt idx="0">
                  <c:v>866064</c:v>
                </c:pt>
                <c:pt idx="1">
                  <c:v>3788577</c:v>
                </c:pt>
                <c:pt idx="2">
                  <c:v>2577395</c:v>
                </c:pt>
                <c:pt idx="3">
                  <c:v>1141141</c:v>
                </c:pt>
                <c:pt idx="4">
                  <c:v>135260</c:v>
                </c:pt>
                <c:pt idx="5">
                  <c:v>505341</c:v>
                </c:pt>
                <c:pt idx="6">
                  <c:v>251958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F6-41EC-9B04-B6CBD2A8921B}"/>
            </c:ext>
          </c:extLst>
        </c:ser>
        <c:ser>
          <c:idx val="2"/>
          <c:order val="2"/>
          <c:tx>
            <c:strRef>
              <c:f>'Insumos Import 17-20'!$D$3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'Insumos Import 17-20'!$A$4:$A$10</c:f>
              <c:strCache>
                <c:ptCount val="7"/>
                <c:pt idx="0">
                  <c:v>Compresores para refrigeración doméstica</c:v>
                </c:pt>
                <c:pt idx="1">
                  <c:v>Grifería Gas</c:v>
                </c:pt>
                <c:pt idx="2">
                  <c:v>Motores Licuadoras</c:v>
                </c:pt>
                <c:pt idx="3">
                  <c:v>Motores Ventiladores </c:v>
                </c:pt>
                <c:pt idx="4">
                  <c:v>Motores Lavadoras</c:v>
                </c:pt>
                <c:pt idx="5">
                  <c:v>Páneles de cristal para TV</c:v>
                </c:pt>
                <c:pt idx="6">
                  <c:v>Resistencias calentadoras para cocinas eléctricas</c:v>
                </c:pt>
              </c:strCache>
            </c:strRef>
          </c:cat>
          <c:val>
            <c:numRef>
              <c:f>'Insumos Import 17-20'!$D$4:$D$10</c:f>
              <c:numCache>
                <c:formatCode>#,##0</c:formatCode>
                <c:ptCount val="7"/>
                <c:pt idx="0">
                  <c:v>930869</c:v>
                </c:pt>
                <c:pt idx="1">
                  <c:v>3331314</c:v>
                </c:pt>
                <c:pt idx="2">
                  <c:v>1304695</c:v>
                </c:pt>
                <c:pt idx="3">
                  <c:v>964008</c:v>
                </c:pt>
                <c:pt idx="4">
                  <c:v>161310</c:v>
                </c:pt>
                <c:pt idx="5">
                  <c:v>643309</c:v>
                </c:pt>
                <c:pt idx="6">
                  <c:v>283740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F6-41EC-9B04-B6CBD2A8921B}"/>
            </c:ext>
          </c:extLst>
        </c:ser>
        <c:ser>
          <c:idx val="3"/>
          <c:order val="3"/>
          <c:tx>
            <c:strRef>
              <c:f>'Insumos Import 17-20'!$E$3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'Insumos Import 17-20'!$A$4:$A$10</c:f>
              <c:strCache>
                <c:ptCount val="7"/>
                <c:pt idx="0">
                  <c:v>Compresores para refrigeración doméstica</c:v>
                </c:pt>
                <c:pt idx="1">
                  <c:v>Grifería Gas</c:v>
                </c:pt>
                <c:pt idx="2">
                  <c:v>Motores Licuadoras</c:v>
                </c:pt>
                <c:pt idx="3">
                  <c:v>Motores Ventiladores </c:v>
                </c:pt>
                <c:pt idx="4">
                  <c:v>Motores Lavadoras</c:v>
                </c:pt>
                <c:pt idx="5">
                  <c:v>Páneles de cristal para TV</c:v>
                </c:pt>
                <c:pt idx="6">
                  <c:v>Resistencias calentadoras para cocinas eléctricas</c:v>
                </c:pt>
              </c:strCache>
            </c:strRef>
          </c:cat>
          <c:val>
            <c:numRef>
              <c:f>'Insumos Import 17-20'!$E$4:$E$10</c:f>
              <c:numCache>
                <c:formatCode>#,##0</c:formatCode>
                <c:ptCount val="7"/>
                <c:pt idx="0">
                  <c:v>1125358</c:v>
                </c:pt>
                <c:pt idx="1">
                  <c:v>3850330</c:v>
                </c:pt>
                <c:pt idx="2">
                  <c:v>1572888</c:v>
                </c:pt>
                <c:pt idx="3">
                  <c:v>1287717</c:v>
                </c:pt>
                <c:pt idx="4">
                  <c:v>224654</c:v>
                </c:pt>
                <c:pt idx="5">
                  <c:v>676044</c:v>
                </c:pt>
                <c:pt idx="6">
                  <c:v>283581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F6-41EC-9B04-B6CBD2A89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84383007"/>
        <c:axId val="784381343"/>
      </c:barChart>
      <c:catAx>
        <c:axId val="784383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84381343"/>
        <c:crosses val="autoZero"/>
        <c:auto val="1"/>
        <c:lblAlgn val="ctr"/>
        <c:lblOffset val="100"/>
        <c:noMultiLvlLbl val="0"/>
      </c:catAx>
      <c:valAx>
        <c:axId val="7843813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84383007"/>
        <c:crosses val="autoZero"/>
        <c:crossBetween val="between"/>
        <c:dispUnits>
          <c:builtInUnit val="thousands"/>
          <c:dispUnitsLbl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en-US"/>
                    <a:t>Miles de unidades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466726</xdr:colOff>
      <xdr:row>15</xdr:row>
      <xdr:rowOff>57150</xdr:rowOff>
    </xdr:from>
    <xdr:to>
      <xdr:col>14</xdr:col>
      <xdr:colOff>609601</xdr:colOff>
      <xdr:row>28</xdr:row>
      <xdr:rowOff>176212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F8E61F23-653E-47F6-96EA-F30E90EAAD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247650</xdr:colOff>
      <xdr:row>14</xdr:row>
      <xdr:rowOff>180975</xdr:rowOff>
    </xdr:from>
    <xdr:to>
      <xdr:col>21</xdr:col>
      <xdr:colOff>85725</xdr:colOff>
      <xdr:row>28</xdr:row>
      <xdr:rowOff>109537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68ACE87-74AC-4BB5-847D-550B638492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238126</xdr:colOff>
      <xdr:row>29</xdr:row>
      <xdr:rowOff>104775</xdr:rowOff>
    </xdr:from>
    <xdr:to>
      <xdr:col>13</xdr:col>
      <xdr:colOff>647700</xdr:colOff>
      <xdr:row>41</xdr:row>
      <xdr:rowOff>33337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9D0216BB-6E70-45A4-BBF8-4A60007567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0</xdr:colOff>
      <xdr:row>29</xdr:row>
      <xdr:rowOff>66675</xdr:rowOff>
    </xdr:from>
    <xdr:to>
      <xdr:col>18</xdr:col>
      <xdr:colOff>419100</xdr:colOff>
      <xdr:row>40</xdr:row>
      <xdr:rowOff>185737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3BA857C4-BF2E-4C14-BE63-A57F504862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219075</xdr:colOff>
      <xdr:row>1</xdr:row>
      <xdr:rowOff>66674</xdr:rowOff>
    </xdr:from>
    <xdr:to>
      <xdr:col>13</xdr:col>
      <xdr:colOff>514350</xdr:colOff>
      <xdr:row>18</xdr:row>
      <xdr:rowOff>161924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562982E-BCF2-4E6B-87A1-1D7F80E861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238125</xdr:colOff>
      <xdr:row>3</xdr:row>
      <xdr:rowOff>28575</xdr:rowOff>
    </xdr:from>
    <xdr:to>
      <xdr:col>13</xdr:col>
      <xdr:colOff>723900</xdr:colOff>
      <xdr:row>15</xdr:row>
      <xdr:rowOff>128587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E58C6B7-A1C0-49D8-9FB0-D0BE0BEADF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12</xdr:col>
      <xdr:colOff>0</xdr:colOff>
      <xdr:row>15</xdr:row>
      <xdr:rowOff>66675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31</xdr:row>
      <xdr:rowOff>180974</xdr:rowOff>
    </xdr:from>
    <xdr:to>
      <xdr:col>13</xdr:col>
      <xdr:colOff>9525</xdr:colOff>
      <xdr:row>47</xdr:row>
      <xdr:rowOff>9524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361949</xdr:colOff>
      <xdr:row>1</xdr:row>
      <xdr:rowOff>0</xdr:rowOff>
    </xdr:from>
    <xdr:to>
      <xdr:col>12</xdr:col>
      <xdr:colOff>171449</xdr:colOff>
      <xdr:row>18</xdr:row>
      <xdr:rowOff>142875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27</xdr:row>
      <xdr:rowOff>0</xdr:rowOff>
    </xdr:from>
    <xdr:to>
      <xdr:col>3</xdr:col>
      <xdr:colOff>104775</xdr:colOff>
      <xdr:row>41</xdr:row>
      <xdr:rowOff>76200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761999</xdr:colOff>
      <xdr:row>23</xdr:row>
      <xdr:rowOff>0</xdr:rowOff>
    </xdr:from>
    <xdr:to>
      <xdr:col>19</xdr:col>
      <xdr:colOff>238125</xdr:colOff>
      <xdr:row>41</xdr:row>
      <xdr:rowOff>76200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workbookViewId="0">
      <selection activeCell="D9" sqref="D9"/>
    </sheetView>
  </sheetViews>
  <sheetFormatPr baseColWidth="10" defaultColWidth="11.44140625" defaultRowHeight="14.4"/>
  <cols>
    <col min="1" max="1" width="21.109375" style="3" customWidth="1"/>
    <col min="2" max="2" width="13.33203125" style="3" bestFit="1" customWidth="1"/>
    <col min="3" max="3" width="10.5546875" style="3" bestFit="1" customWidth="1"/>
    <col min="4" max="4" width="11.5546875" style="3" bestFit="1" customWidth="1"/>
    <col min="5" max="9" width="10.5546875" style="3" bestFit="1" customWidth="1"/>
    <col min="10" max="10" width="11.5546875" style="3" bestFit="1" customWidth="1"/>
    <col min="11" max="12" width="10.5546875" style="3" bestFit="1" customWidth="1"/>
    <col min="13" max="13" width="11.5546875" style="3" bestFit="1" customWidth="1"/>
    <col min="14" max="16384" width="11.44140625" style="3"/>
  </cols>
  <sheetData>
    <row r="1" spans="1:12">
      <c r="A1" s="2" t="s">
        <v>28</v>
      </c>
    </row>
    <row r="2" spans="1:12" ht="28.8">
      <c r="A2" s="8" t="s">
        <v>0</v>
      </c>
      <c r="B2" s="8" t="s">
        <v>1</v>
      </c>
    </row>
    <row r="3" spans="1:12">
      <c r="A3" s="4" t="s">
        <v>2</v>
      </c>
      <c r="B3" s="17">
        <v>903980.00000000012</v>
      </c>
      <c r="C3" s="31">
        <f>6*750000</f>
        <v>4500000</v>
      </c>
      <c r="D3" s="26">
        <f>B3/C3</f>
        <v>0.20088444444444448</v>
      </c>
    </row>
    <row r="4" spans="1:12">
      <c r="A4" s="4" t="s">
        <v>3</v>
      </c>
      <c r="B4" s="17">
        <v>903980.00000000012</v>
      </c>
      <c r="D4" s="26">
        <f>750000/C3</f>
        <v>0.16666666666666666</v>
      </c>
    </row>
    <row r="5" spans="1:12">
      <c r="A5" s="4" t="s">
        <v>4</v>
      </c>
      <c r="B5" s="17">
        <v>322850</v>
      </c>
      <c r="D5" s="26">
        <f>150000/750000</f>
        <v>0.2</v>
      </c>
    </row>
    <row r="6" spans="1:12">
      <c r="A6" s="4" t="s">
        <v>5</v>
      </c>
      <c r="B6" s="17">
        <v>645700</v>
      </c>
    </row>
    <row r="7" spans="1:12">
      <c r="A7" s="4" t="s">
        <v>6</v>
      </c>
      <c r="B7" s="17">
        <v>581130</v>
      </c>
    </row>
    <row r="8" spans="1:12">
      <c r="A8" s="4" t="s">
        <v>7</v>
      </c>
      <c r="B8" s="17">
        <v>839410.00000000012</v>
      </c>
    </row>
    <row r="9" spans="1:12">
      <c r="A9" s="4" t="s">
        <v>8</v>
      </c>
      <c r="B9" s="17">
        <v>1614250</v>
      </c>
    </row>
    <row r="10" spans="1:12">
      <c r="A10" s="4" t="s">
        <v>9</v>
      </c>
      <c r="B10" s="17">
        <v>1743390</v>
      </c>
    </row>
    <row r="11" spans="1:12">
      <c r="A11" s="4" t="s">
        <v>10</v>
      </c>
      <c r="B11" s="17">
        <v>1614250</v>
      </c>
    </row>
    <row r="12" spans="1:12">
      <c r="A12" s="4" t="s">
        <v>11</v>
      </c>
      <c r="B12" s="17">
        <v>3745060</v>
      </c>
    </row>
    <row r="13" spans="1:12">
      <c r="A13" s="12" t="s">
        <v>12</v>
      </c>
      <c r="B13" s="18">
        <f>+SUM(B3:B12)</f>
        <v>12914000</v>
      </c>
      <c r="C13" s="13">
        <f>AVERAGE(B3:B12)</f>
        <v>1291400</v>
      </c>
    </row>
    <row r="14" spans="1:12">
      <c r="A14" s="5"/>
      <c r="B14" s="6"/>
    </row>
    <row r="15" spans="1:12">
      <c r="A15" s="7" t="s">
        <v>32</v>
      </c>
    </row>
    <row r="16" spans="1:12" ht="28.8">
      <c r="A16" s="8" t="s">
        <v>25</v>
      </c>
      <c r="B16" s="9" t="s">
        <v>12</v>
      </c>
      <c r="C16" s="9" t="s">
        <v>13</v>
      </c>
      <c r="D16" s="9" t="s">
        <v>14</v>
      </c>
      <c r="E16" s="9" t="s">
        <v>15</v>
      </c>
      <c r="F16" s="9" t="s">
        <v>16</v>
      </c>
      <c r="G16" s="9" t="s">
        <v>17</v>
      </c>
      <c r="H16" s="9" t="s">
        <v>18</v>
      </c>
      <c r="I16" s="9" t="s">
        <v>19</v>
      </c>
      <c r="J16" s="9" t="s">
        <v>20</v>
      </c>
      <c r="K16" s="9" t="s">
        <v>21</v>
      </c>
      <c r="L16" s="9" t="s">
        <v>22</v>
      </c>
    </row>
    <row r="17" spans="1:12">
      <c r="A17" s="1" t="s">
        <v>23</v>
      </c>
      <c r="B17" s="17">
        <f>+SUM(C17:L17)</f>
        <v>2456992.5602171887</v>
      </c>
      <c r="C17" s="17">
        <v>5384</v>
      </c>
      <c r="D17" s="17">
        <v>691144.96644420736</v>
      </c>
      <c r="E17" s="17">
        <v>0</v>
      </c>
      <c r="F17" s="17">
        <v>59986.166898931377</v>
      </c>
      <c r="G17" s="17">
        <v>0</v>
      </c>
      <c r="H17" s="17">
        <v>0</v>
      </c>
      <c r="I17" s="17">
        <v>0</v>
      </c>
      <c r="J17" s="17">
        <v>1700477.4268740502</v>
      </c>
      <c r="K17" s="17">
        <v>0</v>
      </c>
      <c r="L17" s="17">
        <v>0</v>
      </c>
    </row>
    <row r="18" spans="1:12">
      <c r="A18" s="4" t="s">
        <v>24</v>
      </c>
      <c r="B18" s="17">
        <f>+SUM(C18:L18)</f>
        <v>13845136.46864</v>
      </c>
      <c r="C18" s="17">
        <v>286169.00000000419</v>
      </c>
      <c r="D18" s="17">
        <v>3461972.8608399956</v>
      </c>
      <c r="E18" s="17">
        <v>226263</v>
      </c>
      <c r="F18" s="17">
        <v>499200.67848800123</v>
      </c>
      <c r="G18" s="17">
        <v>228809.99999999814</v>
      </c>
      <c r="H18" s="17">
        <v>241474.00000000093</v>
      </c>
      <c r="I18" s="17">
        <v>249979.99999999907</v>
      </c>
      <c r="J18" s="17">
        <v>8155595.929312001</v>
      </c>
      <c r="K18" s="17">
        <v>251946</v>
      </c>
      <c r="L18" s="17">
        <v>243725</v>
      </c>
    </row>
    <row r="19" spans="1:12">
      <c r="A19" s="4" t="s">
        <v>26</v>
      </c>
      <c r="B19" s="17">
        <f>+SUM(B17:B18)*$B$20</f>
        <v>87542432.88496311</v>
      </c>
      <c r="C19" s="17">
        <f t="shared" ref="C19:L19" si="0">+SUM(C17:C18)*$B$20</f>
        <v>1565639.6100000225</v>
      </c>
      <c r="D19" s="17">
        <f t="shared" si="0"/>
        <v>22302242.73251617</v>
      </c>
      <c r="E19" s="17">
        <f t="shared" si="0"/>
        <v>1215032.31</v>
      </c>
      <c r="F19" s="17">
        <f t="shared" si="0"/>
        <v>3002833.3597278283</v>
      </c>
      <c r="G19" s="17">
        <f t="shared" si="0"/>
        <v>1228709.6999999899</v>
      </c>
      <c r="H19" s="17">
        <f t="shared" si="0"/>
        <v>1296715.380000005</v>
      </c>
      <c r="I19" s="17">
        <f t="shared" si="0"/>
        <v>1342392.599999995</v>
      </c>
      <c r="J19" s="17">
        <f t="shared" si="0"/>
        <v>52927113.922719091</v>
      </c>
      <c r="K19" s="17">
        <f t="shared" si="0"/>
        <v>1352950.02</v>
      </c>
      <c r="L19" s="17">
        <f t="shared" si="0"/>
        <v>1308803.25</v>
      </c>
    </row>
    <row r="20" spans="1:12">
      <c r="A20" s="4" t="s">
        <v>27</v>
      </c>
      <c r="B20" s="4">
        <v>5.37</v>
      </c>
    </row>
    <row r="21" spans="1:12">
      <c r="B21" s="13">
        <f>B19/B20</f>
        <v>16302129.02885719</v>
      </c>
    </row>
    <row r="22" spans="1:12">
      <c r="A22" s="2" t="s">
        <v>33</v>
      </c>
    </row>
    <row r="23" spans="1:12" ht="28.8">
      <c r="A23" s="8" t="s">
        <v>29</v>
      </c>
      <c r="B23" s="9" t="s">
        <v>12</v>
      </c>
      <c r="C23" s="9" t="s">
        <v>13</v>
      </c>
      <c r="D23" s="9" t="s">
        <v>14</v>
      </c>
      <c r="E23" s="9" t="s">
        <v>15</v>
      </c>
      <c r="F23" s="9" t="s">
        <v>16</v>
      </c>
      <c r="G23" s="9" t="s">
        <v>17</v>
      </c>
      <c r="H23" s="9" t="s">
        <v>18</v>
      </c>
      <c r="I23" s="9" t="s">
        <v>19</v>
      </c>
      <c r="J23" s="9" t="s">
        <v>20</v>
      </c>
      <c r="K23" s="9" t="s">
        <v>21</v>
      </c>
      <c r="L23" s="9" t="s">
        <v>22</v>
      </c>
    </row>
    <row r="24" spans="1:12">
      <c r="A24" s="10" t="s">
        <v>35</v>
      </c>
      <c r="B24" s="17">
        <f>+SUM(C24:L24)</f>
        <v>172499.99999999997</v>
      </c>
      <c r="C24" s="19">
        <v>15000</v>
      </c>
      <c r="D24" s="19">
        <v>15000</v>
      </c>
      <c r="E24" s="19">
        <v>18152.191931563633</v>
      </c>
      <c r="F24" s="19">
        <v>17865.671997124358</v>
      </c>
      <c r="G24" s="19">
        <v>17835.505292532704</v>
      </c>
      <c r="H24" s="19">
        <v>17912.958872115705</v>
      </c>
      <c r="I24" s="19">
        <v>17928.168913473724</v>
      </c>
      <c r="J24" s="19">
        <v>17871.241882795817</v>
      </c>
      <c r="K24" s="19">
        <v>17650.549132518005</v>
      </c>
      <c r="L24" s="19">
        <v>17283.711977876024</v>
      </c>
    </row>
    <row r="25" spans="1:12">
      <c r="A25" s="10" t="s">
        <v>31</v>
      </c>
      <c r="B25" s="17">
        <f>+SUM(C25:L25)</f>
        <v>450000</v>
      </c>
      <c r="C25" s="19">
        <v>50000</v>
      </c>
      <c r="D25" s="19">
        <v>50000.000000000233</v>
      </c>
      <c r="E25" s="19">
        <v>44366.868258387782</v>
      </c>
      <c r="F25" s="19">
        <v>43016.64780802629</v>
      </c>
      <c r="G25" s="19">
        <v>43357.165227285586</v>
      </c>
      <c r="H25" s="19">
        <v>44253.290349235525</v>
      </c>
      <c r="I25" s="19">
        <v>44670.61783840158</v>
      </c>
      <c r="J25" s="19">
        <v>44625.176006926689</v>
      </c>
      <c r="K25" s="19">
        <v>43682.105523513397</v>
      </c>
      <c r="L25" s="19">
        <v>42028.128988222918</v>
      </c>
    </row>
    <row r="26" spans="1:12">
      <c r="A26" s="11" t="s">
        <v>30</v>
      </c>
      <c r="B26" s="19">
        <f>+B24+B25</f>
        <v>622500</v>
      </c>
      <c r="C26" s="19">
        <v>65000</v>
      </c>
      <c r="D26" s="19">
        <v>65000.000000000233</v>
      </c>
      <c r="E26" s="19">
        <v>62519.060189951415</v>
      </c>
      <c r="F26" s="19">
        <v>60882.319805150648</v>
      </c>
      <c r="G26" s="19">
        <v>61192.67051981829</v>
      </c>
      <c r="H26" s="19">
        <v>62166.249221351231</v>
      </c>
      <c r="I26" s="19">
        <v>62598.786751875305</v>
      </c>
      <c r="J26" s="19">
        <v>62496.417889722507</v>
      </c>
      <c r="K26" s="19">
        <v>61332.654656031402</v>
      </c>
      <c r="L26" s="19">
        <v>59311.840966098942</v>
      </c>
    </row>
    <row r="28" spans="1:12">
      <c r="A28" s="2" t="s">
        <v>34</v>
      </c>
    </row>
    <row r="29" spans="1:12" ht="28.8">
      <c r="A29" s="8" t="s">
        <v>29</v>
      </c>
      <c r="B29" s="9" t="s">
        <v>12</v>
      </c>
      <c r="C29" s="9" t="s">
        <v>13</v>
      </c>
      <c r="D29" s="9" t="s">
        <v>14</v>
      </c>
      <c r="E29" s="9" t="s">
        <v>15</v>
      </c>
      <c r="F29" s="9" t="s">
        <v>16</v>
      </c>
      <c r="G29" s="9" t="s">
        <v>17</v>
      </c>
      <c r="H29" s="9" t="s">
        <v>18</v>
      </c>
      <c r="I29" s="9" t="s">
        <v>19</v>
      </c>
      <c r="J29" s="9" t="s">
        <v>20</v>
      </c>
      <c r="K29" s="9" t="s">
        <v>21</v>
      </c>
      <c r="L29" s="9" t="s">
        <v>22</v>
      </c>
    </row>
    <row r="30" spans="1:12">
      <c r="A30" s="10" t="s">
        <v>36</v>
      </c>
      <c r="B30" s="17">
        <f>+SUM(C30:L30)</f>
        <v>1390088.1123289345</v>
      </c>
      <c r="C30" s="19">
        <v>907423.26982212183</v>
      </c>
      <c r="D30" s="19">
        <v>53708.718818608439</v>
      </c>
      <c r="E30" s="19">
        <v>51408.965407818556</v>
      </c>
      <c r="F30" s="19">
        <v>50918.507408524165</v>
      </c>
      <c r="G30" s="19">
        <v>51833.335362433689</v>
      </c>
      <c r="H30" s="19">
        <v>52919.077053415123</v>
      </c>
      <c r="I30" s="19">
        <v>53638.293845686596</v>
      </c>
      <c r="J30" s="19">
        <v>54680.78320123814</v>
      </c>
      <c r="K30" s="19">
        <v>56032.421078161336</v>
      </c>
      <c r="L30" s="19">
        <v>57524.740330926608</v>
      </c>
    </row>
    <row r="31" spans="1:12">
      <c r="A31" s="10" t="s">
        <v>37</v>
      </c>
      <c r="B31" s="17">
        <f t="shared" ref="B31:B32" si="1">+SUM(C31:L31)</f>
        <v>11475908.218910567</v>
      </c>
      <c r="C31" s="19">
        <v>1055155.0030946061</v>
      </c>
      <c r="D31" s="19">
        <v>1051925.3807194331</v>
      </c>
      <c r="E31" s="19">
        <v>1058099.6935559073</v>
      </c>
      <c r="F31" s="19">
        <v>1080987.0797208375</v>
      </c>
      <c r="G31" s="19">
        <v>1116918.4364007902</v>
      </c>
      <c r="H31" s="19">
        <v>1157002.5087948844</v>
      </c>
      <c r="I31" s="19">
        <v>1193479.2700588382</v>
      </c>
      <c r="J31" s="19">
        <v>1227034.8111877111</v>
      </c>
      <c r="K31" s="19">
        <v>1255252.5870391198</v>
      </c>
      <c r="L31" s="19">
        <v>1280053.4483384402</v>
      </c>
    </row>
    <row r="32" spans="1:12">
      <c r="A32" s="10" t="s">
        <v>31</v>
      </c>
      <c r="B32" s="17">
        <f t="shared" si="1"/>
        <v>112329.45398000069</v>
      </c>
      <c r="C32" s="19">
        <v>8971.5809619850479</v>
      </c>
      <c r="D32" s="19">
        <v>9723.4436047906056</v>
      </c>
      <c r="E32" s="19">
        <v>10313.65622718446</v>
      </c>
      <c r="F32" s="19">
        <v>10741.428609249182</v>
      </c>
      <c r="G32" s="19">
        <v>11092.056210867595</v>
      </c>
      <c r="H32" s="19">
        <v>11449.379609255586</v>
      </c>
      <c r="I32" s="19">
        <v>11851.013272489887</v>
      </c>
      <c r="J32" s="19">
        <v>12281.904389162082</v>
      </c>
      <c r="K32" s="19">
        <v>12731.281383773312</v>
      </c>
      <c r="L32" s="19">
        <v>13173.709711242933</v>
      </c>
    </row>
    <row r="33" spans="1:12">
      <c r="A33" s="14"/>
      <c r="B33" s="6"/>
      <c r="C33" s="15"/>
      <c r="D33" s="15"/>
      <c r="E33" s="15"/>
      <c r="F33" s="15"/>
      <c r="G33" s="15"/>
      <c r="H33" s="15"/>
      <c r="I33" s="15"/>
      <c r="J33" s="15"/>
      <c r="K33" s="15"/>
      <c r="L33" s="15"/>
    </row>
    <row r="34" spans="1:12">
      <c r="A34" s="14"/>
      <c r="B34" s="6"/>
      <c r="C34" s="15"/>
      <c r="D34" s="15"/>
      <c r="E34" s="15"/>
      <c r="F34" s="15"/>
      <c r="G34" s="15"/>
      <c r="H34" s="15"/>
      <c r="I34" s="15"/>
      <c r="J34" s="15"/>
      <c r="K34" s="15"/>
      <c r="L34" s="15"/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51"/>
  <sheetViews>
    <sheetView zoomScaleNormal="100" workbookViewId="0">
      <selection activeCell="F51" sqref="F51"/>
    </sheetView>
  </sheetViews>
  <sheetFormatPr baseColWidth="10" defaultRowHeight="14.4"/>
  <cols>
    <col min="1" max="1" width="4.5546875" customWidth="1"/>
    <col min="2" max="2" width="27.5546875" bestFit="1" customWidth="1"/>
    <col min="3" max="6" width="11.5546875" customWidth="1"/>
    <col min="7" max="7" width="13.6640625" bestFit="1" customWidth="1"/>
    <col min="8" max="8" width="13.44140625" bestFit="1" customWidth="1"/>
    <col min="9" max="10" width="11.5546875" customWidth="1"/>
    <col min="11" max="11" width="18.33203125" bestFit="1" customWidth="1"/>
    <col min="12" max="14" width="11.5546875" customWidth="1"/>
    <col min="15" max="15" width="13.6640625" customWidth="1"/>
    <col min="16" max="16" width="4.5546875" customWidth="1"/>
    <col min="17" max="17" width="28.6640625" bestFit="1" customWidth="1"/>
    <col min="18" max="21" width="11.5546875" customWidth="1"/>
  </cols>
  <sheetData>
    <row r="1" spans="2:21">
      <c r="B1" s="143" t="s">
        <v>58</v>
      </c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52"/>
    </row>
    <row r="2" spans="2:21">
      <c r="B2" s="45" t="s">
        <v>39</v>
      </c>
      <c r="C2" s="46" t="s">
        <v>38</v>
      </c>
      <c r="D2" s="46" t="s">
        <v>40</v>
      </c>
      <c r="E2" s="45" t="s">
        <v>41</v>
      </c>
      <c r="F2" s="47" t="s">
        <v>13</v>
      </c>
      <c r="G2" s="46" t="s">
        <v>14</v>
      </c>
      <c r="H2" s="46" t="s">
        <v>15</v>
      </c>
      <c r="I2" s="46" t="s">
        <v>16</v>
      </c>
      <c r="J2" s="46" t="s">
        <v>17</v>
      </c>
      <c r="K2" s="46" t="s">
        <v>18</v>
      </c>
      <c r="L2" s="46" t="s">
        <v>19</v>
      </c>
      <c r="M2" s="46" t="s">
        <v>20</v>
      </c>
      <c r="N2" s="46" t="s">
        <v>21</v>
      </c>
      <c r="O2" s="45" t="s">
        <v>22</v>
      </c>
      <c r="P2" s="51"/>
    </row>
    <row r="3" spans="2:21">
      <c r="B3" s="44" t="s">
        <v>42</v>
      </c>
      <c r="C3" s="42">
        <f>AVERAGE(F3:O3)</f>
        <v>17249.999999999996</v>
      </c>
      <c r="D3" s="42">
        <f>MIN(F3:O3)</f>
        <v>15000</v>
      </c>
      <c r="E3" s="43">
        <f>MAX(F3:O3)</f>
        <v>18152.191931563633</v>
      </c>
      <c r="F3" s="48">
        <f>'Metas PROURE'!C24</f>
        <v>15000</v>
      </c>
      <c r="G3" s="13">
        <f>'Metas PROURE'!D24</f>
        <v>15000</v>
      </c>
      <c r="H3" s="13">
        <f>'Metas PROURE'!E24</f>
        <v>18152.191931563633</v>
      </c>
      <c r="I3" s="13">
        <f>'Metas PROURE'!F24</f>
        <v>17865.671997124358</v>
      </c>
      <c r="J3" s="13">
        <f>'Metas PROURE'!G24</f>
        <v>17835.505292532704</v>
      </c>
      <c r="K3" s="13">
        <f>'Metas PROURE'!H24</f>
        <v>17912.958872115705</v>
      </c>
      <c r="L3" s="13">
        <f>'Metas PROURE'!I24</f>
        <v>17928.168913473724</v>
      </c>
      <c r="M3" s="13">
        <f>'Metas PROURE'!J24</f>
        <v>17871.241882795817</v>
      </c>
      <c r="N3" s="13">
        <f>'Metas PROURE'!K24</f>
        <v>17650.549132518005</v>
      </c>
      <c r="O3" s="43">
        <f>'Metas PROURE'!L24</f>
        <v>17283.711977876024</v>
      </c>
      <c r="P3" s="42"/>
    </row>
    <row r="4" spans="2:21">
      <c r="B4" s="44" t="s">
        <v>43</v>
      </c>
      <c r="C4" s="42">
        <f>AVERAGE(F4:O4)</f>
        <v>139008.81123289344</v>
      </c>
      <c r="D4" s="42">
        <f>MIN(F4:O4)</f>
        <v>50918.507408524165</v>
      </c>
      <c r="E4" s="43">
        <f>MAX(F4:O4)</f>
        <v>907423.26982212183</v>
      </c>
      <c r="F4" s="49">
        <f>'Metas PROURE'!C30</f>
        <v>907423.26982212183</v>
      </c>
      <c r="G4" s="13">
        <f>'Metas PROURE'!D30</f>
        <v>53708.718818608439</v>
      </c>
      <c r="H4" s="13">
        <f>'Metas PROURE'!E30</f>
        <v>51408.965407818556</v>
      </c>
      <c r="I4" s="13">
        <f>'Metas PROURE'!F30</f>
        <v>50918.507408524165</v>
      </c>
      <c r="J4" s="13">
        <f>'Metas PROURE'!G30</f>
        <v>51833.335362433689</v>
      </c>
      <c r="K4" s="13">
        <f>'Metas PROURE'!H30</f>
        <v>52919.077053415123</v>
      </c>
      <c r="L4" s="13">
        <f>'Metas PROURE'!I30</f>
        <v>53638.293845686596</v>
      </c>
      <c r="M4" s="13">
        <f>'Metas PROURE'!J30</f>
        <v>54680.78320123814</v>
      </c>
      <c r="N4" s="13">
        <f>'Metas PROURE'!K30</f>
        <v>56032.421078161336</v>
      </c>
      <c r="O4" s="43">
        <f>'Metas PROURE'!L30</f>
        <v>57524.740330926608</v>
      </c>
      <c r="P4" s="42"/>
    </row>
    <row r="5" spans="2:21">
      <c r="B5" s="44" t="s">
        <v>44</v>
      </c>
      <c r="C5" s="42">
        <f>AVERAGE(F5:O5)</f>
        <v>1203823.7672890567</v>
      </c>
      <c r="D5" s="42">
        <f>MIN(F5:O5)</f>
        <v>1111648.8243242239</v>
      </c>
      <c r="E5" s="43">
        <f>MAX(F5:O5)</f>
        <v>1335255.287037906</v>
      </c>
      <c r="F5" s="49">
        <f>'Metas PROURE'!C25+'Metas PROURE'!C31+'Metas PROURE'!C32</f>
        <v>1114126.5840565911</v>
      </c>
      <c r="G5" s="13">
        <f>'Metas PROURE'!D25+'Metas PROURE'!D31+'Metas PROURE'!D32</f>
        <v>1111648.8243242239</v>
      </c>
      <c r="H5" s="13">
        <f>'Metas PROURE'!E25+'Metas PROURE'!E31+'Metas PROURE'!E32</f>
        <v>1112780.2180414796</v>
      </c>
      <c r="I5" s="13">
        <f>'Metas PROURE'!F25+'Metas PROURE'!F31+'Metas PROURE'!F32</f>
        <v>1134745.156138113</v>
      </c>
      <c r="J5" s="13">
        <f>'Metas PROURE'!G25+'Metas PROURE'!G31+'Metas PROURE'!G32</f>
        <v>1171367.6578389434</v>
      </c>
      <c r="K5" s="13">
        <f>'Metas PROURE'!H25+'Metas PROURE'!H31+'Metas PROURE'!H32</f>
        <v>1212705.1787533755</v>
      </c>
      <c r="L5" s="13">
        <f>'Metas PROURE'!I25+'Metas PROURE'!I31+'Metas PROURE'!I32</f>
        <v>1250000.9011697297</v>
      </c>
      <c r="M5" s="13">
        <f>'Metas PROURE'!J25+'Metas PROURE'!J31+'Metas PROURE'!J32</f>
        <v>1283941.8915837999</v>
      </c>
      <c r="N5" s="13">
        <f>'Metas PROURE'!K25+'Metas PROURE'!K31+'Metas PROURE'!K32</f>
        <v>1311665.9739464065</v>
      </c>
      <c r="O5" s="43">
        <f>'Metas PROURE'!L25+'Metas PROURE'!L31+'Metas PROURE'!L32</f>
        <v>1335255.287037906</v>
      </c>
      <c r="P5" s="42"/>
    </row>
    <row r="6" spans="2:21">
      <c r="B6" s="44" t="s">
        <v>45</v>
      </c>
      <c r="C6" s="42">
        <f>AVERAGE(F6:O6)</f>
        <v>1291400</v>
      </c>
      <c r="D6" s="42">
        <f>MIN(F6:O6)</f>
        <v>322850</v>
      </c>
      <c r="E6" s="43">
        <f>MAX(F6:O6)</f>
        <v>3745060</v>
      </c>
      <c r="F6" s="49">
        <f>'Metas PROURE'!B3</f>
        <v>903980.00000000012</v>
      </c>
      <c r="G6" s="13">
        <f>'Metas PROURE'!B4</f>
        <v>903980.00000000012</v>
      </c>
      <c r="H6" s="13">
        <f>'Metas PROURE'!B5</f>
        <v>322850</v>
      </c>
      <c r="I6" s="13">
        <f>'Metas PROURE'!B6</f>
        <v>645700</v>
      </c>
      <c r="J6" s="13">
        <f>'Metas PROURE'!B7</f>
        <v>581130</v>
      </c>
      <c r="K6" s="13">
        <f>'Metas PROURE'!B8</f>
        <v>839410.00000000012</v>
      </c>
      <c r="L6" s="13">
        <f>'Metas PROURE'!B9</f>
        <v>1614250</v>
      </c>
      <c r="M6" s="13">
        <f>'Metas PROURE'!B10</f>
        <v>1743390</v>
      </c>
      <c r="N6" s="13">
        <f>'Metas PROURE'!B11</f>
        <v>1614250</v>
      </c>
      <c r="O6" s="43">
        <f>'Metas PROURE'!B12</f>
        <v>3745060</v>
      </c>
      <c r="P6" s="42"/>
    </row>
    <row r="7" spans="2:21">
      <c r="B7" s="44" t="s">
        <v>92</v>
      </c>
      <c r="C7" s="42">
        <f>AVERAGE(F7:O7)</f>
        <v>8754243.2884963099</v>
      </c>
      <c r="D7" s="42">
        <f>MIN(F7:O7)</f>
        <v>1215032.31</v>
      </c>
      <c r="E7" s="43">
        <f>MAX(F7:O7)</f>
        <v>52927113.922719091</v>
      </c>
      <c r="F7" s="49">
        <v>1565639.6100000225</v>
      </c>
      <c r="G7" s="13">
        <v>22302242.73251617</v>
      </c>
      <c r="H7" s="13">
        <v>1215032.31</v>
      </c>
      <c r="I7" s="13">
        <v>3002833.3597278283</v>
      </c>
      <c r="J7" s="13">
        <v>1228709.6999999899</v>
      </c>
      <c r="K7" s="13">
        <v>1296715.380000005</v>
      </c>
      <c r="L7" s="13">
        <v>1342392.599999995</v>
      </c>
      <c r="M7" s="13">
        <v>52927113.922719091</v>
      </c>
      <c r="N7" s="13">
        <v>1352950.02</v>
      </c>
      <c r="O7" s="43">
        <v>1308803.25</v>
      </c>
      <c r="P7" s="42"/>
    </row>
    <row r="8" spans="2:21">
      <c r="E8" s="50"/>
      <c r="F8" s="50"/>
    </row>
    <row r="9" spans="2:21">
      <c r="F9" s="50"/>
    </row>
    <row r="10" spans="2:21">
      <c r="L10" s="21" t="s">
        <v>0</v>
      </c>
      <c r="M10" s="21" t="s">
        <v>55</v>
      </c>
      <c r="N10" s="21" t="s">
        <v>56</v>
      </c>
      <c r="O10" s="21" t="s">
        <v>92</v>
      </c>
      <c r="R10" s="21" t="s">
        <v>0</v>
      </c>
      <c r="S10" s="21" t="s">
        <v>55</v>
      </c>
      <c r="T10" s="21" t="s">
        <v>56</v>
      </c>
      <c r="U10" s="21" t="s">
        <v>92</v>
      </c>
    </row>
    <row r="11" spans="2:21">
      <c r="B11" s="144" t="s">
        <v>47</v>
      </c>
      <c r="C11" s="144"/>
      <c r="D11" s="144"/>
      <c r="E11" s="144"/>
      <c r="F11" s="144"/>
      <c r="G11" s="144"/>
      <c r="H11" s="144"/>
      <c r="I11" s="144"/>
      <c r="K11" s="21" t="s">
        <v>52</v>
      </c>
      <c r="L11" s="20">
        <f>F6</f>
        <v>903980.00000000012</v>
      </c>
      <c r="M11" s="20">
        <f>F5</f>
        <v>1114126.5840565911</v>
      </c>
      <c r="N11" s="20">
        <f>F3+F4</f>
        <v>922423.26982212183</v>
      </c>
      <c r="O11" s="20">
        <f>F7</f>
        <v>1565639.6100000225</v>
      </c>
      <c r="Q11" s="21" t="s">
        <v>59</v>
      </c>
      <c r="R11" s="20">
        <f>C6</f>
        <v>1291400</v>
      </c>
      <c r="S11" s="20">
        <f>C5</f>
        <v>1203823.7672890567</v>
      </c>
      <c r="T11" s="20">
        <f>C3+C4</f>
        <v>156258.81123289344</v>
      </c>
      <c r="U11" s="20">
        <f>C7</f>
        <v>8754243.2884963099</v>
      </c>
    </row>
    <row r="12" spans="2:21">
      <c r="B12" s="16" t="s">
        <v>48</v>
      </c>
      <c r="C12" s="53">
        <v>2017</v>
      </c>
      <c r="D12" s="51">
        <v>2018</v>
      </c>
      <c r="E12" s="51">
        <v>2019</v>
      </c>
      <c r="F12" s="56">
        <v>2020</v>
      </c>
      <c r="G12" s="16" t="s">
        <v>38</v>
      </c>
      <c r="H12" s="16" t="s">
        <v>40</v>
      </c>
      <c r="I12" s="16" t="s">
        <v>41</v>
      </c>
      <c r="K12" s="21" t="s">
        <v>53</v>
      </c>
      <c r="L12" s="20">
        <f>F23</f>
        <v>1125358</v>
      </c>
      <c r="M12" s="20">
        <f>F15</f>
        <v>1082957.5</v>
      </c>
      <c r="N12" s="20">
        <f>F31</f>
        <v>290810.69499999995</v>
      </c>
      <c r="O12" s="20">
        <f>F39</f>
        <v>0</v>
      </c>
      <c r="Q12" s="21" t="s">
        <v>60</v>
      </c>
      <c r="R12" s="20">
        <f>I23</f>
        <v>1125358</v>
      </c>
      <c r="S12" s="20">
        <f>I15</f>
        <v>1113273</v>
      </c>
      <c r="T12" s="20">
        <f>I31</f>
        <v>290810.69499999995</v>
      </c>
      <c r="U12" s="20">
        <f>I39</f>
        <v>0</v>
      </c>
    </row>
    <row r="13" spans="2:21">
      <c r="B13" t="s">
        <v>49</v>
      </c>
      <c r="C13" s="49">
        <v>172464</v>
      </c>
      <c r="D13" s="42">
        <v>158785</v>
      </c>
      <c r="E13" s="42">
        <v>167428</v>
      </c>
      <c r="F13" s="43">
        <v>95026</v>
      </c>
      <c r="G13" s="20">
        <f>AVERAGE(C13:F13)</f>
        <v>148425.75</v>
      </c>
      <c r="H13" s="20">
        <f>MIN(C13:F13)</f>
        <v>95026</v>
      </c>
      <c r="I13" s="20">
        <f>MAX(C13:F13)</f>
        <v>172464</v>
      </c>
      <c r="K13" s="21" t="s">
        <v>54</v>
      </c>
      <c r="L13" s="20">
        <f>F21</f>
        <v>220463</v>
      </c>
      <c r="M13" s="20">
        <f>F13</f>
        <v>95026</v>
      </c>
      <c r="N13" s="20">
        <f>F29</f>
        <v>25932</v>
      </c>
      <c r="O13" s="20">
        <f>F37</f>
        <v>28823976</v>
      </c>
      <c r="Q13" s="21" t="s">
        <v>61</v>
      </c>
      <c r="R13" s="20">
        <f>I21</f>
        <v>242385</v>
      </c>
      <c r="S13" s="20">
        <f>I13</f>
        <v>172464</v>
      </c>
      <c r="T13" s="20">
        <f>I29</f>
        <v>67692</v>
      </c>
      <c r="U13" s="20">
        <f>I37</f>
        <v>28823976</v>
      </c>
    </row>
    <row r="14" spans="2:21">
      <c r="B14" t="s">
        <v>46</v>
      </c>
      <c r="C14" s="54">
        <v>219484</v>
      </c>
      <c r="D14" s="55">
        <v>71658</v>
      </c>
      <c r="E14" s="55">
        <v>35733</v>
      </c>
      <c r="F14" s="57">
        <v>59641</v>
      </c>
      <c r="G14" s="20">
        <f>AVERAGE(C14:F14)</f>
        <v>96629</v>
      </c>
      <c r="H14" s="20">
        <f>MIN(C14:F14)</f>
        <v>35733</v>
      </c>
      <c r="I14" s="20">
        <f>MAX(C14:F14)</f>
        <v>219484</v>
      </c>
      <c r="K14" s="21" t="s">
        <v>100</v>
      </c>
      <c r="L14" s="20">
        <f>F24</f>
        <v>887538</v>
      </c>
      <c r="M14" s="20">
        <f>F16</f>
        <v>1118342.5</v>
      </c>
      <c r="N14" s="20">
        <f>F32</f>
        <v>244901.69499999995</v>
      </c>
      <c r="O14" s="20">
        <f>F40</f>
        <v>28823976</v>
      </c>
      <c r="Q14" s="21" t="s">
        <v>101</v>
      </c>
      <c r="R14" s="20">
        <f>I24</f>
        <v>887538</v>
      </c>
      <c r="S14" s="20">
        <f>I16</f>
        <v>1200400</v>
      </c>
      <c r="T14" s="20">
        <f>I32</f>
        <v>305638</v>
      </c>
      <c r="U14" s="20">
        <f>I40</f>
        <v>28823976</v>
      </c>
    </row>
    <row r="15" spans="2:21">
      <c r="B15" t="s">
        <v>91</v>
      </c>
      <c r="C15" s="54">
        <v>779848.75</v>
      </c>
      <c r="D15" s="55">
        <v>1113273</v>
      </c>
      <c r="E15" s="55">
        <v>959186</v>
      </c>
      <c r="F15" s="57">
        <v>1082957.5</v>
      </c>
      <c r="G15" s="20">
        <f>AVERAGE(C15:F15)</f>
        <v>983816.3125</v>
      </c>
      <c r="H15" s="20">
        <f>MIN(C15:F15)</f>
        <v>779848.75</v>
      </c>
      <c r="I15" s="20">
        <f>MAX(C15:F15)</f>
        <v>1113273</v>
      </c>
    </row>
    <row r="16" spans="2:21">
      <c r="B16" t="s">
        <v>50</v>
      </c>
      <c r="C16" s="49">
        <f>C13+C15-C14</f>
        <v>732828.75</v>
      </c>
      <c r="D16" s="42">
        <f t="shared" ref="D16:F16" si="0">D13+D15-D14</f>
        <v>1200400</v>
      </c>
      <c r="E16" s="42">
        <f t="shared" si="0"/>
        <v>1090881</v>
      </c>
      <c r="F16" s="43">
        <f t="shared" si="0"/>
        <v>1118342.5</v>
      </c>
      <c r="G16" s="20">
        <f>AVERAGE(C16:F16)</f>
        <v>1035613.0625</v>
      </c>
      <c r="H16" s="20">
        <f>MIN(C16:F16)</f>
        <v>732828.75</v>
      </c>
      <c r="I16" s="20">
        <f>MAX(C16:F16)</f>
        <v>1200400</v>
      </c>
    </row>
    <row r="17" spans="2:9">
      <c r="G17" s="60">
        <f>(D49+D50)*1000/G16</f>
        <v>13.032729621274576</v>
      </c>
    </row>
    <row r="18" spans="2:9">
      <c r="G18" s="61"/>
    </row>
    <row r="19" spans="2:9">
      <c r="B19" s="144" t="s">
        <v>51</v>
      </c>
      <c r="C19" s="144"/>
      <c r="D19" s="144"/>
      <c r="E19" s="144"/>
      <c r="F19" s="144"/>
      <c r="G19" s="144"/>
      <c r="H19" s="144"/>
      <c r="I19" s="144"/>
    </row>
    <row r="20" spans="2:9">
      <c r="B20" s="16" t="s">
        <v>48</v>
      </c>
      <c r="C20" s="53">
        <v>2017</v>
      </c>
      <c r="D20" s="51">
        <v>2018</v>
      </c>
      <c r="E20" s="51">
        <v>2019</v>
      </c>
      <c r="F20" s="56">
        <v>2020</v>
      </c>
      <c r="G20" s="16" t="s">
        <v>38</v>
      </c>
      <c r="H20" s="16" t="s">
        <v>40</v>
      </c>
      <c r="I20" s="16" t="s">
        <v>41</v>
      </c>
    </row>
    <row r="21" spans="2:9">
      <c r="B21" t="s">
        <v>49</v>
      </c>
      <c r="C21" s="49">
        <v>201182</v>
      </c>
      <c r="D21" s="42">
        <v>234935</v>
      </c>
      <c r="E21" s="42">
        <v>242385</v>
      </c>
      <c r="F21" s="43">
        <v>220463</v>
      </c>
      <c r="G21" s="20">
        <f>AVERAGE(C21:F21)</f>
        <v>224741.25</v>
      </c>
      <c r="H21" s="20">
        <f>MIN(C21:F21)</f>
        <v>201182</v>
      </c>
      <c r="I21" s="20">
        <f>MAX(C21:F21)</f>
        <v>242385</v>
      </c>
    </row>
    <row r="22" spans="2:9">
      <c r="B22" t="s">
        <v>46</v>
      </c>
      <c r="C22" s="54">
        <v>493670</v>
      </c>
      <c r="D22" s="55">
        <v>343404</v>
      </c>
      <c r="E22" s="55">
        <v>414990</v>
      </c>
      <c r="F22" s="57">
        <v>458283</v>
      </c>
      <c r="G22" s="20">
        <f>AVERAGE(C22:F22)</f>
        <v>427586.75</v>
      </c>
      <c r="H22" s="20">
        <f>MIN(C22:F22)</f>
        <v>343404</v>
      </c>
      <c r="I22" s="20">
        <f>MAX(C22:F22)</f>
        <v>493670</v>
      </c>
    </row>
    <row r="23" spans="2:9">
      <c r="B23" t="s">
        <v>91</v>
      </c>
      <c r="C23" s="54">
        <v>906428</v>
      </c>
      <c r="D23" s="55">
        <v>866064</v>
      </c>
      <c r="E23" s="55">
        <v>930869</v>
      </c>
      <c r="F23" s="57">
        <v>1125358</v>
      </c>
      <c r="G23" s="20">
        <f>AVERAGE(C23:F23)</f>
        <v>957179.75</v>
      </c>
      <c r="H23" s="20">
        <f>MIN(C23:F23)</f>
        <v>866064</v>
      </c>
      <c r="I23" s="20">
        <f>MAX(C23:F23)</f>
        <v>1125358</v>
      </c>
    </row>
    <row r="24" spans="2:9">
      <c r="B24" t="s">
        <v>50</v>
      </c>
      <c r="C24" s="49">
        <f>C21+C23-C22</f>
        <v>613940</v>
      </c>
      <c r="D24" s="42">
        <f t="shared" ref="D24" si="1">D21+D23-D22</f>
        <v>757595</v>
      </c>
      <c r="E24" s="42">
        <f>E21+E23-E22</f>
        <v>758264</v>
      </c>
      <c r="F24" s="43">
        <f t="shared" ref="F24" si="2">F21+F23-F22</f>
        <v>887538</v>
      </c>
      <c r="G24" s="20">
        <f>AVERAGE(C24:F24)</f>
        <v>754334.25</v>
      </c>
      <c r="H24" s="20">
        <f>MIN(C24:F24)</f>
        <v>613940</v>
      </c>
      <c r="I24" s="20">
        <f>MAX(C24:F24)</f>
        <v>887538</v>
      </c>
    </row>
    <row r="25" spans="2:9">
      <c r="E25" s="20"/>
      <c r="F25" s="20"/>
      <c r="G25" s="60">
        <f>D44*1000/G24</f>
        <v>17.64310469546491</v>
      </c>
    </row>
    <row r="26" spans="2:9">
      <c r="E26" s="20"/>
      <c r="F26" s="20"/>
      <c r="G26" s="61"/>
    </row>
    <row r="27" spans="2:9">
      <c r="B27" s="144" t="s">
        <v>57</v>
      </c>
      <c r="C27" s="144"/>
      <c r="D27" s="144"/>
      <c r="E27" s="144"/>
      <c r="F27" s="144"/>
      <c r="G27" s="144"/>
      <c r="H27" s="144"/>
      <c r="I27" s="144"/>
    </row>
    <row r="28" spans="2:9">
      <c r="B28" s="16" t="s">
        <v>48</v>
      </c>
      <c r="C28" s="53">
        <v>2017</v>
      </c>
      <c r="D28" s="51">
        <v>2018</v>
      </c>
      <c r="E28" s="51">
        <v>2019</v>
      </c>
      <c r="F28" s="56">
        <v>2020</v>
      </c>
      <c r="G28" s="16" t="s">
        <v>38</v>
      </c>
      <c r="H28" s="16" t="s">
        <v>40</v>
      </c>
      <c r="I28" s="16" t="s">
        <v>41</v>
      </c>
    </row>
    <row r="29" spans="2:9">
      <c r="B29" t="s">
        <v>49</v>
      </c>
      <c r="C29" s="49">
        <v>36931</v>
      </c>
      <c r="D29" s="42">
        <v>34726</v>
      </c>
      <c r="E29" s="42">
        <v>67692</v>
      </c>
      <c r="F29" s="43">
        <v>25932</v>
      </c>
      <c r="G29" s="20">
        <f>AVERAGE(C29:F29)</f>
        <v>41320.25</v>
      </c>
      <c r="H29" s="20">
        <f>MIN(C29:F29)</f>
        <v>25932</v>
      </c>
      <c r="I29" s="20">
        <f>MAX(C29:F29)</f>
        <v>67692</v>
      </c>
    </row>
    <row r="30" spans="2:9">
      <c r="B30" t="s">
        <v>46</v>
      </c>
      <c r="C30" s="54">
        <v>75408</v>
      </c>
      <c r="D30" s="55">
        <v>73357</v>
      </c>
      <c r="E30" s="55">
        <v>48567</v>
      </c>
      <c r="F30" s="57">
        <v>71841</v>
      </c>
      <c r="G30" s="20">
        <f>AVERAGE(C30:F30)</f>
        <v>67293.25</v>
      </c>
      <c r="H30" s="20">
        <f>MIN(C30:F30)</f>
        <v>48567</v>
      </c>
      <c r="I30" s="20">
        <f>MAX(C30:F30)</f>
        <v>75408</v>
      </c>
    </row>
    <row r="31" spans="2:9">
      <c r="B31" t="s">
        <v>91</v>
      </c>
      <c r="C31" s="54">
        <v>208566</v>
      </c>
      <c r="D31" s="55">
        <v>228553</v>
      </c>
      <c r="E31" s="55">
        <v>286513</v>
      </c>
      <c r="F31" s="57">
        <v>290810.69499999995</v>
      </c>
      <c r="G31" s="20">
        <f>AVERAGE(C31:F31)</f>
        <v>253610.67374999999</v>
      </c>
      <c r="H31" s="20">
        <f>MIN(C31:F31)</f>
        <v>208566</v>
      </c>
      <c r="I31" s="20">
        <f>MAX(C31:F31)</f>
        <v>290810.69499999995</v>
      </c>
    </row>
    <row r="32" spans="2:9">
      <c r="B32" t="s">
        <v>50</v>
      </c>
      <c r="C32" s="49">
        <f>C29+C31-C30</f>
        <v>170089</v>
      </c>
      <c r="D32" s="42">
        <f t="shared" ref="D32" si="3">D29+D31-D30</f>
        <v>189922</v>
      </c>
      <c r="E32" s="42">
        <f>E29+E31-E30</f>
        <v>305638</v>
      </c>
      <c r="F32" s="43">
        <f t="shared" ref="F32" si="4">F29+F31-F30</f>
        <v>244901.69499999995</v>
      </c>
      <c r="G32" s="20">
        <f>AVERAGE(C32:F32)</f>
        <v>227637.67374999999</v>
      </c>
      <c r="H32" s="20">
        <f>MIN(C32:F32)</f>
        <v>170089</v>
      </c>
      <c r="I32" s="20">
        <f>MAX(C32:F32)</f>
        <v>305638</v>
      </c>
    </row>
    <row r="33" spans="2:10">
      <c r="G33" s="60">
        <f>D48*1000/G32</f>
        <v>1.6376473265767293</v>
      </c>
      <c r="J33" s="61"/>
    </row>
    <row r="35" spans="2:10">
      <c r="B35" s="144" t="s">
        <v>93</v>
      </c>
      <c r="C35" s="144"/>
      <c r="D35" s="144"/>
      <c r="E35" s="144"/>
      <c r="F35" s="144"/>
      <c r="G35" s="144"/>
      <c r="H35" s="144"/>
      <c r="I35" s="144"/>
    </row>
    <row r="36" spans="2:10">
      <c r="B36" s="16" t="s">
        <v>48</v>
      </c>
      <c r="C36" s="53">
        <v>2017</v>
      </c>
      <c r="D36" s="51">
        <v>2018</v>
      </c>
      <c r="E36" s="51">
        <v>2019</v>
      </c>
      <c r="F36" s="56">
        <v>2020</v>
      </c>
      <c r="G36" s="16" t="s">
        <v>38</v>
      </c>
      <c r="H36" s="16" t="s">
        <v>40</v>
      </c>
      <c r="I36" s="16" t="s">
        <v>41</v>
      </c>
    </row>
    <row r="37" spans="2:10">
      <c r="B37" t="s">
        <v>49</v>
      </c>
      <c r="C37" s="49">
        <v>20820640</v>
      </c>
      <c r="D37" s="42">
        <v>25346296</v>
      </c>
      <c r="E37" s="42">
        <v>26942718</v>
      </c>
      <c r="F37" s="43">
        <v>28823976</v>
      </c>
      <c r="G37" s="20">
        <f>AVERAGE(C37:F37)</f>
        <v>25483407.5</v>
      </c>
      <c r="H37" s="20">
        <f>MIN(C37:F37)</f>
        <v>20820640</v>
      </c>
      <c r="I37" s="20">
        <f>MAX(C37:F37)</f>
        <v>28823976</v>
      </c>
    </row>
    <row r="38" spans="2:10">
      <c r="B38" t="s">
        <v>46</v>
      </c>
      <c r="C38" s="54">
        <v>0</v>
      </c>
      <c r="D38" s="55">
        <v>0</v>
      </c>
      <c r="E38" s="55">
        <v>0</v>
      </c>
      <c r="F38" s="57">
        <v>0</v>
      </c>
      <c r="G38" s="20">
        <f>AVERAGE(C38:F38)</f>
        <v>0</v>
      </c>
      <c r="H38" s="20">
        <f>MIN(C38:F38)</f>
        <v>0</v>
      </c>
      <c r="I38" s="20">
        <f>MAX(C38:F38)</f>
        <v>0</v>
      </c>
    </row>
    <row r="39" spans="2:10">
      <c r="B39" t="s">
        <v>91</v>
      </c>
      <c r="C39" s="54">
        <v>0</v>
      </c>
      <c r="D39" s="55">
        <v>0</v>
      </c>
      <c r="E39" s="55">
        <v>0</v>
      </c>
      <c r="F39" s="57">
        <v>0</v>
      </c>
      <c r="G39" s="20">
        <f>AVERAGE(C39:F39)</f>
        <v>0</v>
      </c>
      <c r="H39" s="20">
        <f>MIN(C39:F39)</f>
        <v>0</v>
      </c>
      <c r="I39" s="20">
        <f>MAX(C39:F39)</f>
        <v>0</v>
      </c>
    </row>
    <row r="40" spans="2:10">
      <c r="B40" t="s">
        <v>50</v>
      </c>
      <c r="C40" s="49">
        <f>C37+C39-C38</f>
        <v>20820640</v>
      </c>
      <c r="D40" s="42">
        <f t="shared" ref="D40" si="5">D37+D39-D38</f>
        <v>25346296</v>
      </c>
      <c r="E40" s="42">
        <f>E37+E39-E38</f>
        <v>26942718</v>
      </c>
      <c r="F40" s="43">
        <f t="shared" ref="F40" si="6">F37+F39-F38</f>
        <v>28823976</v>
      </c>
      <c r="G40" s="20">
        <f>AVERAGE(C40:F40)</f>
        <v>25483407.5</v>
      </c>
      <c r="H40" s="20">
        <f>MIN(C40:F40)</f>
        <v>20820640</v>
      </c>
      <c r="I40" s="20">
        <f>MAX(C40:F40)</f>
        <v>28823976</v>
      </c>
    </row>
    <row r="41" spans="2:10">
      <c r="G41" s="60">
        <f>D51*1000/G40</f>
        <v>0</v>
      </c>
    </row>
    <row r="43" spans="2:10">
      <c r="B43" s="2" t="s">
        <v>94</v>
      </c>
      <c r="C43" s="2"/>
      <c r="D43" s="59">
        <v>15999</v>
      </c>
    </row>
    <row r="44" spans="2:10">
      <c r="B44" t="s">
        <v>95</v>
      </c>
      <c r="C44" s="26">
        <v>0.83185187500000002</v>
      </c>
      <c r="D44" s="20">
        <f>$D$43*C44</f>
        <v>13308.798148125001</v>
      </c>
    </row>
    <row r="45" spans="2:10">
      <c r="B45" t="s">
        <v>96</v>
      </c>
      <c r="C45" s="26">
        <v>0.88861002200000005</v>
      </c>
      <c r="D45" s="20">
        <f>$D$43*C45</f>
        <v>14216.871741978001</v>
      </c>
      <c r="E45" s="20">
        <f>D49+D48+D50</f>
        <v>13869.655263667464</v>
      </c>
    </row>
    <row r="46" spans="2:10">
      <c r="B46" t="s">
        <v>104</v>
      </c>
      <c r="C46" s="26">
        <f>D46/D43</f>
        <v>0.98093630851928248</v>
      </c>
      <c r="D46" s="20">
        <v>15694</v>
      </c>
    </row>
    <row r="47" spans="2:10">
      <c r="B47" t="s">
        <v>105</v>
      </c>
      <c r="C47" s="26">
        <f>D47/D43</f>
        <v>0.64504031501968873</v>
      </c>
      <c r="D47" s="20">
        <v>10320</v>
      </c>
    </row>
    <row r="48" spans="2:10">
      <c r="B48" t="s">
        <v>97</v>
      </c>
      <c r="C48" s="26">
        <v>2.330084554314852E-2</v>
      </c>
      <c r="D48" s="20">
        <f>$D$43*C48</f>
        <v>372.79022784483317</v>
      </c>
    </row>
    <row r="49" spans="2:4">
      <c r="B49" t="s">
        <v>98</v>
      </c>
      <c r="C49" s="26">
        <v>0.62951010133608731</v>
      </c>
      <c r="D49" s="20">
        <f>$D$43*C49</f>
        <v>10071.532111276061</v>
      </c>
    </row>
    <row r="50" spans="2:4">
      <c r="B50" t="s">
        <v>99</v>
      </c>
      <c r="C50" s="26">
        <v>0.21409668882721228</v>
      </c>
      <c r="D50" s="20">
        <f>$D$43*C50</f>
        <v>3425.3329245465693</v>
      </c>
    </row>
    <row r="51" spans="2:4">
      <c r="C51" s="26"/>
      <c r="D51" s="20"/>
    </row>
  </sheetData>
  <mergeCells count="5">
    <mergeCell ref="B1:O1"/>
    <mergeCell ref="B11:I11"/>
    <mergeCell ref="B27:I27"/>
    <mergeCell ref="B19:I19"/>
    <mergeCell ref="B35:I35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34"/>
  <sheetViews>
    <sheetView workbookViewId="0">
      <selection activeCell="F22" sqref="F22"/>
    </sheetView>
  </sheetViews>
  <sheetFormatPr baseColWidth="10" defaultRowHeight="14.4"/>
  <cols>
    <col min="1" max="1" width="3.88671875" customWidth="1"/>
    <col min="2" max="2" width="50" bestFit="1" customWidth="1"/>
    <col min="3" max="3" width="9" bestFit="1" customWidth="1"/>
    <col min="4" max="4" width="8.5546875" customWidth="1"/>
    <col min="5" max="5" width="8" bestFit="1" customWidth="1"/>
  </cols>
  <sheetData>
    <row r="1" spans="2:4" ht="15.6">
      <c r="B1" s="34" t="s">
        <v>102</v>
      </c>
    </row>
    <row r="3" spans="2:4" ht="24">
      <c r="B3" s="22" t="s">
        <v>62</v>
      </c>
      <c r="C3" s="22" t="s">
        <v>81</v>
      </c>
      <c r="D3" s="28" t="s">
        <v>79</v>
      </c>
    </row>
    <row r="4" spans="2:4">
      <c r="B4" s="23" t="s">
        <v>74</v>
      </c>
      <c r="C4" s="29">
        <v>736</v>
      </c>
      <c r="D4" s="32">
        <v>4.7489918999999998E-2</v>
      </c>
    </row>
    <row r="5" spans="2:4">
      <c r="B5" s="23" t="s">
        <v>78</v>
      </c>
      <c r="C5" s="29">
        <v>1690</v>
      </c>
      <c r="D5" s="32">
        <v>0.10910140200000001</v>
      </c>
    </row>
    <row r="6" spans="2:4">
      <c r="B6" s="23" t="s">
        <v>76</v>
      </c>
      <c r="C6" s="29">
        <v>3191</v>
      </c>
      <c r="D6" s="32">
        <v>0.20596314299999999</v>
      </c>
    </row>
    <row r="7" spans="2:4">
      <c r="B7" s="23" t="s">
        <v>67</v>
      </c>
      <c r="C7" s="29">
        <v>3390</v>
      </c>
      <c r="D7" s="32">
        <v>0.218779958</v>
      </c>
    </row>
    <row r="8" spans="2:4">
      <c r="B8" s="23" t="s">
        <v>66</v>
      </c>
      <c r="C8" s="29">
        <v>3751</v>
      </c>
      <c r="D8" s="32">
        <v>0.24212215300000001</v>
      </c>
    </row>
    <row r="9" spans="2:4">
      <c r="B9" s="23" t="s">
        <v>72</v>
      </c>
      <c r="C9" s="29">
        <v>3821</v>
      </c>
      <c r="D9" s="32">
        <v>0.24662403199999999</v>
      </c>
    </row>
    <row r="10" spans="2:4">
      <c r="B10" s="23" t="s">
        <v>68</v>
      </c>
      <c r="C10" s="29">
        <v>3843</v>
      </c>
      <c r="D10" s="32">
        <v>0.248053262</v>
      </c>
    </row>
    <row r="11" spans="2:4">
      <c r="B11" s="23" t="s">
        <v>77</v>
      </c>
      <c r="C11" s="29">
        <v>4455</v>
      </c>
      <c r="D11" s="32">
        <v>0.28754307000000001</v>
      </c>
    </row>
    <row r="12" spans="2:4">
      <c r="B12" s="23" t="s">
        <v>75</v>
      </c>
      <c r="C12" s="29">
        <v>5841</v>
      </c>
      <c r="D12" s="32">
        <v>0.37698979100000002</v>
      </c>
    </row>
    <row r="13" spans="2:4">
      <c r="B13" s="23" t="s">
        <v>73</v>
      </c>
      <c r="C13" s="29">
        <v>7441</v>
      </c>
      <c r="D13" s="32">
        <v>0.48026211400000002</v>
      </c>
    </row>
    <row r="14" spans="2:4">
      <c r="B14" s="23" t="s">
        <v>70</v>
      </c>
      <c r="C14" s="29">
        <v>7559</v>
      </c>
      <c r="D14" s="32">
        <v>0.48785966999999997</v>
      </c>
    </row>
    <row r="15" spans="2:4">
      <c r="B15" s="24" t="s">
        <v>71</v>
      </c>
      <c r="C15" s="29">
        <v>8273</v>
      </c>
      <c r="D15" s="32">
        <v>0.53399182499999998</v>
      </c>
    </row>
    <row r="16" spans="2:4">
      <c r="B16" s="23" t="s">
        <v>69</v>
      </c>
      <c r="C16" s="29">
        <v>8934</v>
      </c>
      <c r="D16" s="32">
        <v>0.57664508400000003</v>
      </c>
    </row>
    <row r="17" spans="2:9">
      <c r="B17" s="23" t="s">
        <v>63</v>
      </c>
      <c r="C17" s="29">
        <v>9756</v>
      </c>
      <c r="D17" s="32">
        <v>0.62969343899999997</v>
      </c>
    </row>
    <row r="18" spans="2:9">
      <c r="B18" s="23" t="s">
        <v>64</v>
      </c>
      <c r="C18" s="29">
        <v>12888</v>
      </c>
      <c r="D18" s="32">
        <v>0.83185187500000002</v>
      </c>
    </row>
    <row r="19" spans="2:9">
      <c r="B19" s="25" t="s">
        <v>65</v>
      </c>
      <c r="C19" s="30">
        <v>13768</v>
      </c>
      <c r="D19" s="33">
        <v>0.88861002200000005</v>
      </c>
    </row>
    <row r="20" spans="2:9">
      <c r="B20" s="35" t="s">
        <v>82</v>
      </c>
      <c r="C20" s="31">
        <v>15493</v>
      </c>
      <c r="F20" t="s">
        <v>80</v>
      </c>
    </row>
    <row r="21" spans="2:9">
      <c r="C21" s="36"/>
    </row>
    <row r="22" spans="2:9" ht="15.6">
      <c r="B22" s="34" t="s">
        <v>85</v>
      </c>
      <c r="E22" s="36">
        <f>(E24-D24)/D24</f>
        <v>3.2659910927515655E-2</v>
      </c>
      <c r="F22" s="41">
        <f>E24-D24</f>
        <v>506</v>
      </c>
    </row>
    <row r="23" spans="2:9">
      <c r="C23" s="22">
        <v>2015</v>
      </c>
      <c r="D23" s="22">
        <v>2018</v>
      </c>
      <c r="E23" s="37">
        <v>2019</v>
      </c>
    </row>
    <row r="24" spans="2:9">
      <c r="B24" s="27" t="s">
        <v>82</v>
      </c>
      <c r="C24" s="38">
        <v>14101</v>
      </c>
      <c r="D24" s="38">
        <v>15493</v>
      </c>
      <c r="E24" s="38">
        <v>15999</v>
      </c>
    </row>
    <row r="25" spans="2:9">
      <c r="B25" s="39" t="s">
        <v>83</v>
      </c>
      <c r="C25" s="38">
        <v>13954</v>
      </c>
      <c r="D25" s="38">
        <v>15135</v>
      </c>
      <c r="E25" s="38">
        <v>15694</v>
      </c>
      <c r="F25" s="36">
        <f>C25/C24</f>
        <v>0.98957520743209704</v>
      </c>
      <c r="G25" s="36">
        <f>D25/D24</f>
        <v>0.97689279029239007</v>
      </c>
      <c r="H25" s="36">
        <f>E25/E24</f>
        <v>0.98093630851928248</v>
      </c>
    </row>
    <row r="26" spans="2:9">
      <c r="B26" s="39" t="s">
        <v>84</v>
      </c>
      <c r="C26" s="38">
        <v>8811</v>
      </c>
      <c r="D26" s="38">
        <v>9984</v>
      </c>
      <c r="E26" s="38">
        <v>10320</v>
      </c>
      <c r="F26" s="36">
        <f>C26/C24</f>
        <v>0.62484930146798101</v>
      </c>
      <c r="G26" s="36">
        <f t="shared" ref="G26:H26" si="0">D26/D24</f>
        <v>0.64442006067256186</v>
      </c>
      <c r="H26" s="36">
        <f t="shared" si="0"/>
        <v>0.64504031501968873</v>
      </c>
    </row>
    <row r="27" spans="2:9">
      <c r="B27" s="39" t="s">
        <v>90</v>
      </c>
      <c r="C27" s="38">
        <v>13718</v>
      </c>
      <c r="D27" s="38">
        <v>15202</v>
      </c>
      <c r="E27" s="38">
        <f>E24*H27</f>
        <v>15698.495965920092</v>
      </c>
      <c r="F27" s="36">
        <f>C27/C24</f>
        <v>0.97283880575845683</v>
      </c>
      <c r="G27" s="36">
        <f>D27/D24</f>
        <v>0.98121732395275285</v>
      </c>
      <c r="H27" s="36">
        <f>G27</f>
        <v>0.98121732395275285</v>
      </c>
      <c r="I27" s="36">
        <f>E27/E24</f>
        <v>0.98121732395275285</v>
      </c>
    </row>
    <row r="28" spans="2:9">
      <c r="B28" s="39" t="s">
        <v>86</v>
      </c>
      <c r="C28" s="38">
        <v>473</v>
      </c>
      <c r="D28" s="38">
        <v>361</v>
      </c>
      <c r="E28" s="40">
        <f>H28*$E$24</f>
        <v>372.79022784483317</v>
      </c>
      <c r="F28" s="26">
        <f>C28/C$24</f>
        <v>3.3543720303524573E-2</v>
      </c>
      <c r="G28" s="26">
        <f>D28/D$24</f>
        <v>2.330084554314852E-2</v>
      </c>
      <c r="H28" s="26">
        <f>G28</f>
        <v>2.330084554314852E-2</v>
      </c>
    </row>
    <row r="29" spans="2:9">
      <c r="B29" s="39" t="s">
        <v>87</v>
      </c>
      <c r="C29" s="38">
        <v>8526</v>
      </c>
      <c r="D29" s="38">
        <v>9753</v>
      </c>
      <c r="E29" s="40">
        <f t="shared" ref="E29:E31" si="1">H29*$E$24</f>
        <v>10071.532111276061</v>
      </c>
      <c r="F29" s="26">
        <f>C29/C$24</f>
        <v>0.60463796893837318</v>
      </c>
      <c r="G29" s="26">
        <f>D29/D$24</f>
        <v>0.62951010133608731</v>
      </c>
      <c r="H29" s="26">
        <f>G29</f>
        <v>0.62951010133608731</v>
      </c>
    </row>
    <row r="30" spans="2:9">
      <c r="B30" s="39" t="s">
        <v>88</v>
      </c>
      <c r="C30" s="38">
        <v>3370</v>
      </c>
      <c r="D30" s="38">
        <v>3317</v>
      </c>
      <c r="E30" s="38">
        <f t="shared" si="1"/>
        <v>3425.3329245465693</v>
      </c>
      <c r="F30" s="26">
        <f t="shared" ref="F30:F31" si="2">C30/C$24</f>
        <v>0.23899014254308204</v>
      </c>
      <c r="G30" s="26">
        <f>D30/D$24</f>
        <v>0.21409668882721228</v>
      </c>
      <c r="H30" s="26">
        <f t="shared" ref="H30:H31" si="3">G30</f>
        <v>0.21409668882721228</v>
      </c>
    </row>
    <row r="31" spans="2:9">
      <c r="B31" s="39" t="s">
        <v>89</v>
      </c>
      <c r="C31" s="38">
        <v>1326</v>
      </c>
      <c r="D31" s="38">
        <v>1664</v>
      </c>
      <c r="E31" s="38">
        <f t="shared" si="1"/>
        <v>1718.3460917833861</v>
      </c>
      <c r="F31" s="26">
        <f t="shared" si="2"/>
        <v>9.4035883979859583E-2</v>
      </c>
      <c r="G31" s="26">
        <f>D31/D$24</f>
        <v>0.10740334344542697</v>
      </c>
      <c r="H31" s="26">
        <f t="shared" si="3"/>
        <v>0.10740334344542697</v>
      </c>
    </row>
    <row r="32" spans="2:9">
      <c r="D32" s="62" t="s">
        <v>103</v>
      </c>
    </row>
    <row r="34" spans="4:5">
      <c r="D34" s="58"/>
      <c r="E34" s="26"/>
    </row>
  </sheetData>
  <sortState xmlns:xlrd2="http://schemas.microsoft.com/office/spreadsheetml/2017/richdata2" ref="B4:D19">
    <sortCondition ref="D4:D19"/>
  </sortState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N47"/>
  <sheetViews>
    <sheetView workbookViewId="0">
      <selection activeCell="M17" sqref="M17"/>
    </sheetView>
  </sheetViews>
  <sheetFormatPr baseColWidth="10" defaultRowHeight="14.4"/>
  <cols>
    <col min="1" max="1" width="3.109375" customWidth="1"/>
    <col min="2" max="2" width="8.6640625" customWidth="1"/>
    <col min="3" max="3" width="14.33203125" customWidth="1"/>
  </cols>
  <sheetData>
    <row r="2" spans="2:11" ht="15.6">
      <c r="B2" s="63" t="s">
        <v>110</v>
      </c>
    </row>
    <row r="3" spans="2:11">
      <c r="B3" s="2" t="s">
        <v>109</v>
      </c>
      <c r="C3" s="2" t="s">
        <v>106</v>
      </c>
    </row>
    <row r="4" spans="2:11">
      <c r="B4" t="s">
        <v>108</v>
      </c>
      <c r="C4">
        <v>130</v>
      </c>
    </row>
    <row r="5" spans="2:11">
      <c r="B5" t="s">
        <v>107</v>
      </c>
      <c r="C5">
        <v>173</v>
      </c>
    </row>
    <row r="8" spans="2:11" ht="15" thickBot="1">
      <c r="B8" s="2" t="s">
        <v>128</v>
      </c>
    </row>
    <row r="9" spans="2:11" ht="55.8" thickBot="1">
      <c r="C9" s="64" t="s">
        <v>111</v>
      </c>
      <c r="D9" s="74" t="s">
        <v>39</v>
      </c>
      <c r="E9" s="65" t="s">
        <v>112</v>
      </c>
      <c r="F9" s="65" t="s">
        <v>113</v>
      </c>
      <c r="G9" s="65" t="s">
        <v>114</v>
      </c>
      <c r="H9" s="65" t="s">
        <v>115</v>
      </c>
      <c r="I9" s="65" t="s">
        <v>116</v>
      </c>
      <c r="J9" s="66" t="s">
        <v>117</v>
      </c>
    </row>
    <row r="10" spans="2:11" ht="15" thickBot="1">
      <c r="C10" s="76" t="s">
        <v>118</v>
      </c>
      <c r="D10" s="77" t="s">
        <v>93</v>
      </c>
      <c r="E10" s="73">
        <v>1</v>
      </c>
      <c r="F10" s="68">
        <v>5.8</v>
      </c>
      <c r="G10" s="68">
        <v>2.2000000000000002</v>
      </c>
      <c r="H10" s="68">
        <v>37</v>
      </c>
      <c r="I10" s="68">
        <v>13.9</v>
      </c>
      <c r="J10" s="68">
        <v>5.9</v>
      </c>
      <c r="K10" s="26">
        <f>I10/$I$19</f>
        <v>8.9677419354838708E-2</v>
      </c>
    </row>
    <row r="11" spans="2:11" ht="15" thickBot="1">
      <c r="C11" s="76" t="s">
        <v>119</v>
      </c>
      <c r="D11" s="90" t="s">
        <v>120</v>
      </c>
      <c r="E11" s="91">
        <v>0.94</v>
      </c>
      <c r="F11" s="92">
        <v>2.1</v>
      </c>
      <c r="G11" s="92">
        <v>9.8000000000000007</v>
      </c>
      <c r="H11" s="92">
        <v>70</v>
      </c>
      <c r="I11" s="92">
        <v>42.9</v>
      </c>
      <c r="J11" s="92">
        <v>32.700000000000003</v>
      </c>
      <c r="K11" s="26">
        <f t="shared" ref="K11:K18" si="0">I11/$I$19</f>
        <v>0.27677419354838712</v>
      </c>
    </row>
    <row r="12" spans="2:11" ht="15" thickBot="1">
      <c r="C12" s="76" t="s">
        <v>121</v>
      </c>
      <c r="D12" s="77" t="s">
        <v>122</v>
      </c>
      <c r="E12" s="73">
        <v>0.92</v>
      </c>
      <c r="F12" s="68">
        <v>1.4</v>
      </c>
      <c r="G12" s="68">
        <v>3.1</v>
      </c>
      <c r="H12" s="68">
        <v>66</v>
      </c>
      <c r="I12" s="68">
        <v>8.6999999999999993</v>
      </c>
      <c r="J12" s="68">
        <v>4.4000000000000004</v>
      </c>
      <c r="K12" s="26">
        <f t="shared" si="0"/>
        <v>5.612903225806451E-2</v>
      </c>
    </row>
    <row r="13" spans="2:11" ht="15" thickBot="1">
      <c r="C13" s="76" t="s">
        <v>123</v>
      </c>
      <c r="D13" s="77" t="s">
        <v>124</v>
      </c>
      <c r="E13" s="73">
        <v>0.88</v>
      </c>
      <c r="F13" s="68">
        <v>2.5</v>
      </c>
      <c r="G13" s="68">
        <v>2</v>
      </c>
      <c r="H13" s="68">
        <v>6</v>
      </c>
      <c r="I13" s="68">
        <v>0.9</v>
      </c>
      <c r="J13" s="68">
        <v>0.8</v>
      </c>
      <c r="K13" s="26">
        <f t="shared" si="0"/>
        <v>5.8064516129032262E-3</v>
      </c>
    </row>
    <row r="14" spans="2:11" ht="15" thickBot="1">
      <c r="C14" s="76" t="s">
        <v>119</v>
      </c>
      <c r="D14" s="77" t="s">
        <v>125</v>
      </c>
      <c r="E14" s="73">
        <v>0.87</v>
      </c>
      <c r="F14" s="68">
        <v>1</v>
      </c>
      <c r="G14" s="68">
        <v>0.1</v>
      </c>
      <c r="H14" s="68">
        <v>250</v>
      </c>
      <c r="I14" s="68">
        <v>1.1000000000000001</v>
      </c>
      <c r="J14" s="68">
        <v>1</v>
      </c>
      <c r="K14" s="26">
        <f t="shared" si="0"/>
        <v>7.0967741935483875E-3</v>
      </c>
    </row>
    <row r="15" spans="2:11" ht="15" thickBot="1">
      <c r="C15" s="76" t="s">
        <v>119</v>
      </c>
      <c r="D15" s="90" t="s">
        <v>45</v>
      </c>
      <c r="E15" s="91">
        <v>0.86</v>
      </c>
      <c r="F15" s="92">
        <v>1</v>
      </c>
      <c r="G15" s="92">
        <v>11</v>
      </c>
      <c r="H15" s="92">
        <v>211</v>
      </c>
      <c r="I15" s="92">
        <v>69.7</v>
      </c>
      <c r="J15" s="92">
        <v>32.5</v>
      </c>
      <c r="K15" s="26">
        <f t="shared" si="0"/>
        <v>0.44967741935483874</v>
      </c>
    </row>
    <row r="16" spans="2:11" ht="15" thickBot="1">
      <c r="C16" s="76" t="s">
        <v>119</v>
      </c>
      <c r="D16" s="77" t="s">
        <v>126</v>
      </c>
      <c r="E16" s="73">
        <v>0.68</v>
      </c>
      <c r="F16" s="68">
        <v>1</v>
      </c>
      <c r="G16" s="68">
        <v>0.4</v>
      </c>
      <c r="H16" s="68">
        <v>700</v>
      </c>
      <c r="I16" s="68">
        <v>9.3000000000000007</v>
      </c>
      <c r="J16" s="68">
        <v>6.2</v>
      </c>
      <c r="K16" s="26">
        <f t="shared" si="0"/>
        <v>6.0000000000000005E-2</v>
      </c>
    </row>
    <row r="17" spans="2:12" ht="15" thickBot="1">
      <c r="C17" s="76" t="s">
        <v>127</v>
      </c>
      <c r="D17" s="77" t="s">
        <v>69</v>
      </c>
      <c r="E17" s="73">
        <v>0.59</v>
      </c>
      <c r="F17" s="68">
        <v>1</v>
      </c>
      <c r="G17" s="68">
        <v>0.2</v>
      </c>
      <c r="H17" s="68">
        <v>1118</v>
      </c>
      <c r="I17" s="68">
        <v>6.9</v>
      </c>
      <c r="J17" s="68">
        <v>6.5</v>
      </c>
      <c r="K17" s="26">
        <f t="shared" si="0"/>
        <v>4.4516129032258066E-2</v>
      </c>
    </row>
    <row r="18" spans="2:12" ht="24.6" thickBot="1">
      <c r="C18" s="76" t="s">
        <v>121</v>
      </c>
      <c r="D18" s="77" t="s">
        <v>73</v>
      </c>
      <c r="E18" s="73">
        <v>0.48</v>
      </c>
      <c r="F18" s="68">
        <v>1</v>
      </c>
      <c r="G18" s="68">
        <v>4.3</v>
      </c>
      <c r="H18" s="68">
        <v>13</v>
      </c>
      <c r="I18" s="68">
        <v>1.6</v>
      </c>
      <c r="J18" s="68">
        <v>1.5</v>
      </c>
      <c r="K18" s="26">
        <f t="shared" si="0"/>
        <v>1.032258064516129E-2</v>
      </c>
    </row>
    <row r="19" spans="2:12" ht="15" thickBot="1">
      <c r="C19" s="76"/>
      <c r="D19" s="77" t="s">
        <v>12</v>
      </c>
      <c r="E19" s="75"/>
      <c r="F19" s="71"/>
      <c r="G19" s="71"/>
      <c r="H19" s="71"/>
      <c r="I19" s="72">
        <v>155</v>
      </c>
      <c r="J19" s="72">
        <v>91</v>
      </c>
      <c r="K19" s="26">
        <f>J19/I19</f>
        <v>0.58709677419354833</v>
      </c>
      <c r="L19" s="26">
        <f>J19/C5</f>
        <v>0.52601156069364163</v>
      </c>
    </row>
    <row r="21" spans="2:12">
      <c r="B21" s="2" t="s">
        <v>129</v>
      </c>
    </row>
    <row r="22" spans="2:12" ht="15" thickBot="1"/>
    <row r="23" spans="2:12" ht="48.6" thickBot="1">
      <c r="C23" s="78" t="s">
        <v>111</v>
      </c>
      <c r="D23" s="82" t="s">
        <v>39</v>
      </c>
      <c r="E23" s="82" t="s">
        <v>112</v>
      </c>
      <c r="F23" s="79" t="s">
        <v>113</v>
      </c>
      <c r="G23" s="82" t="s">
        <v>114</v>
      </c>
      <c r="H23" s="79" t="s">
        <v>115</v>
      </c>
      <c r="I23" s="79" t="s">
        <v>116</v>
      </c>
      <c r="J23" s="80" t="s">
        <v>117</v>
      </c>
    </row>
    <row r="24" spans="2:12" ht="15" thickBot="1">
      <c r="C24" s="85" t="s">
        <v>118</v>
      </c>
      <c r="D24" s="86" t="s">
        <v>93</v>
      </c>
      <c r="E24" s="81">
        <v>1</v>
      </c>
      <c r="F24" s="68">
        <v>6.2</v>
      </c>
      <c r="G24" s="68">
        <v>1.9</v>
      </c>
      <c r="H24" s="83">
        <v>37</v>
      </c>
      <c r="I24" s="68">
        <v>12.9</v>
      </c>
      <c r="J24" s="68">
        <v>5.5</v>
      </c>
      <c r="K24" s="26">
        <f>I24/$I$33</f>
        <v>9.591078066914499E-2</v>
      </c>
    </row>
    <row r="25" spans="2:12" ht="15" thickBot="1">
      <c r="C25" s="85" t="s">
        <v>121</v>
      </c>
      <c r="D25" s="86" t="s">
        <v>122</v>
      </c>
      <c r="E25" s="81">
        <v>0.95</v>
      </c>
      <c r="F25" s="68">
        <v>1.6</v>
      </c>
      <c r="G25" s="68">
        <v>3.8</v>
      </c>
      <c r="H25" s="83">
        <v>66</v>
      </c>
      <c r="I25" s="68">
        <v>12.4</v>
      </c>
      <c r="J25" s="68">
        <v>6.2</v>
      </c>
      <c r="K25" s="26">
        <f t="shared" ref="K25:K32" si="1">I25/$I$33</f>
        <v>9.2193308550185871E-2</v>
      </c>
    </row>
    <row r="26" spans="2:12" ht="15" thickBot="1">
      <c r="C26" s="85" t="s">
        <v>119</v>
      </c>
      <c r="D26" s="93" t="s">
        <v>45</v>
      </c>
      <c r="E26" s="94">
        <v>0.93</v>
      </c>
      <c r="F26" s="92">
        <v>1</v>
      </c>
      <c r="G26" s="92">
        <v>11</v>
      </c>
      <c r="H26" s="95">
        <v>211</v>
      </c>
      <c r="I26" s="92">
        <v>69.7</v>
      </c>
      <c r="J26" s="92">
        <v>32.5</v>
      </c>
      <c r="K26" s="26">
        <f t="shared" si="1"/>
        <v>0.51821561338289968</v>
      </c>
    </row>
    <row r="27" spans="2:12" ht="15.75" customHeight="1" thickBot="1">
      <c r="C27" s="85" t="s">
        <v>123</v>
      </c>
      <c r="D27" s="86" t="s">
        <v>124</v>
      </c>
      <c r="E27" s="81">
        <v>0.92</v>
      </c>
      <c r="F27" s="68">
        <v>2.7</v>
      </c>
      <c r="G27" s="68">
        <v>2</v>
      </c>
      <c r="H27" s="83">
        <v>6</v>
      </c>
      <c r="I27" s="68">
        <v>1</v>
      </c>
      <c r="J27" s="68">
        <v>0.9</v>
      </c>
      <c r="K27" s="26">
        <f t="shared" si="1"/>
        <v>7.4349442379182153E-3</v>
      </c>
    </row>
    <row r="28" spans="2:12" ht="15" thickBot="1">
      <c r="C28" s="85" t="s">
        <v>119</v>
      </c>
      <c r="D28" s="86" t="s">
        <v>125</v>
      </c>
      <c r="E28" s="81">
        <v>0.9</v>
      </c>
      <c r="F28" s="68">
        <v>1</v>
      </c>
      <c r="G28" s="68">
        <v>0.1</v>
      </c>
      <c r="H28" s="83">
        <v>250</v>
      </c>
      <c r="I28" s="68">
        <v>0.9</v>
      </c>
      <c r="J28" s="68">
        <v>0.9</v>
      </c>
      <c r="K28" s="26">
        <f t="shared" si="1"/>
        <v>6.6914498141263943E-3</v>
      </c>
    </row>
    <row r="29" spans="2:12" ht="15" thickBot="1">
      <c r="C29" s="85" t="s">
        <v>119</v>
      </c>
      <c r="D29" s="86" t="s">
        <v>126</v>
      </c>
      <c r="E29" s="81">
        <v>0.79</v>
      </c>
      <c r="F29" s="68">
        <v>1</v>
      </c>
      <c r="G29" s="68">
        <v>0.5</v>
      </c>
      <c r="H29" s="83">
        <v>700</v>
      </c>
      <c r="I29" s="68">
        <v>9.6999999999999993</v>
      </c>
      <c r="J29" s="68">
        <v>6.5</v>
      </c>
      <c r="K29" s="26">
        <f t="shared" si="1"/>
        <v>7.2118959107806691E-2</v>
      </c>
    </row>
    <row r="30" spans="2:12" ht="15.75" customHeight="1" thickBot="1">
      <c r="C30" s="85" t="s">
        <v>127</v>
      </c>
      <c r="D30" s="86" t="s">
        <v>69</v>
      </c>
      <c r="E30" s="81">
        <v>0.72</v>
      </c>
      <c r="F30" s="68">
        <v>1</v>
      </c>
      <c r="G30" s="68">
        <v>0.2</v>
      </c>
      <c r="H30" s="83">
        <v>1118</v>
      </c>
      <c r="I30" s="68">
        <v>6.1</v>
      </c>
      <c r="J30" s="68">
        <v>5.8</v>
      </c>
      <c r="K30" s="26">
        <f t="shared" si="1"/>
        <v>4.535315985130111E-2</v>
      </c>
    </row>
    <row r="31" spans="2:12" ht="15.75" customHeight="1" thickBot="1">
      <c r="C31" s="85" t="s">
        <v>121</v>
      </c>
      <c r="D31" s="86" t="s">
        <v>73</v>
      </c>
      <c r="E31" s="81">
        <v>0.51</v>
      </c>
      <c r="F31" s="68">
        <v>1</v>
      </c>
      <c r="G31" s="68">
        <v>6.5</v>
      </c>
      <c r="H31" s="83">
        <v>13</v>
      </c>
      <c r="I31" s="68">
        <v>2.5</v>
      </c>
      <c r="J31" s="68">
        <v>2.2999999999999998</v>
      </c>
      <c r="K31" s="26">
        <f t="shared" si="1"/>
        <v>1.858736059479554E-2</v>
      </c>
    </row>
    <row r="32" spans="2:12" ht="15" thickBot="1">
      <c r="C32" s="85" t="s">
        <v>119</v>
      </c>
      <c r="D32" s="93" t="s">
        <v>120</v>
      </c>
      <c r="E32" s="94">
        <v>0.45</v>
      </c>
      <c r="F32" s="92">
        <v>1.4</v>
      </c>
      <c r="G32" s="92">
        <v>6.6</v>
      </c>
      <c r="H32" s="95">
        <v>70</v>
      </c>
      <c r="I32" s="92">
        <v>19.2</v>
      </c>
      <c r="J32" s="92">
        <v>14.6</v>
      </c>
      <c r="K32" s="26">
        <f t="shared" si="1"/>
        <v>0.14275092936802974</v>
      </c>
    </row>
    <row r="33" spans="2:14" ht="15" thickBot="1">
      <c r="C33" s="85"/>
      <c r="D33" s="86" t="s">
        <v>12</v>
      </c>
      <c r="E33" s="67"/>
      <c r="F33" s="67"/>
      <c r="G33" s="67"/>
      <c r="H33" s="84"/>
      <c r="I33" s="72">
        <v>134.5</v>
      </c>
      <c r="J33" s="72">
        <v>75.2</v>
      </c>
      <c r="K33" s="26">
        <f>J33/I33</f>
        <v>0.55910780669144988</v>
      </c>
      <c r="L33" s="26">
        <f>J33/C5</f>
        <v>0.4346820809248555</v>
      </c>
      <c r="M33" s="26">
        <f>J33/C4</f>
        <v>0.57846153846153847</v>
      </c>
      <c r="N33" s="69">
        <f>AVERAGE(L33:M33)</f>
        <v>0.50657180969319704</v>
      </c>
    </row>
    <row r="35" spans="2:14">
      <c r="B35" s="2" t="s">
        <v>130</v>
      </c>
    </row>
    <row r="36" spans="2:14" ht="15" thickBot="1"/>
    <row r="37" spans="2:14" ht="48.6" thickBot="1">
      <c r="C37" s="78" t="s">
        <v>111</v>
      </c>
      <c r="D37" s="79" t="s">
        <v>39</v>
      </c>
      <c r="E37" s="79" t="s">
        <v>112</v>
      </c>
      <c r="F37" s="79" t="s">
        <v>113</v>
      </c>
      <c r="G37" s="79" t="s">
        <v>114</v>
      </c>
      <c r="H37" s="79" t="s">
        <v>115</v>
      </c>
      <c r="I37" s="79" t="s">
        <v>116</v>
      </c>
      <c r="J37" s="80" t="s">
        <v>131</v>
      </c>
    </row>
    <row r="38" spans="2:14" ht="15" thickBot="1">
      <c r="C38" s="76" t="s">
        <v>118</v>
      </c>
      <c r="D38" s="77" t="s">
        <v>93</v>
      </c>
      <c r="E38" s="87">
        <v>1</v>
      </c>
      <c r="F38" s="70">
        <v>6.3</v>
      </c>
      <c r="G38" s="70">
        <v>1.7</v>
      </c>
      <c r="H38" s="70">
        <v>37</v>
      </c>
      <c r="I38" s="70">
        <v>11.4</v>
      </c>
      <c r="J38" s="70">
        <v>4.9000000000000004</v>
      </c>
      <c r="K38" s="26">
        <f>I38/$I$47</f>
        <v>8.0622347949080617E-2</v>
      </c>
    </row>
    <row r="39" spans="2:14" ht="15" thickBot="1">
      <c r="C39" s="76" t="s">
        <v>121</v>
      </c>
      <c r="D39" s="77" t="s">
        <v>122</v>
      </c>
      <c r="E39" s="87">
        <v>0.95</v>
      </c>
      <c r="F39" s="70">
        <v>1.6</v>
      </c>
      <c r="G39" s="70">
        <v>3.8</v>
      </c>
      <c r="H39" s="70">
        <v>66</v>
      </c>
      <c r="I39" s="70">
        <v>12.1</v>
      </c>
      <c r="J39" s="70">
        <v>6.1</v>
      </c>
      <c r="K39" s="26">
        <f t="shared" ref="K39:K46" si="2">I39/$I$47</f>
        <v>8.5572842998585572E-2</v>
      </c>
    </row>
    <row r="40" spans="2:14" ht="15" thickBot="1">
      <c r="C40" s="76" t="s">
        <v>123</v>
      </c>
      <c r="D40" s="77" t="s">
        <v>124</v>
      </c>
      <c r="E40" s="87">
        <v>0.89</v>
      </c>
      <c r="F40" s="70">
        <v>2.6</v>
      </c>
      <c r="G40" s="70">
        <v>2</v>
      </c>
      <c r="H40" s="70">
        <v>6</v>
      </c>
      <c r="I40" s="70">
        <v>0.9</v>
      </c>
      <c r="J40" s="70">
        <v>0.9</v>
      </c>
      <c r="K40" s="26">
        <f t="shared" si="2"/>
        <v>6.3649222065063652E-3</v>
      </c>
    </row>
    <row r="41" spans="2:14" ht="15" thickBot="1">
      <c r="C41" s="76" t="s">
        <v>119</v>
      </c>
      <c r="D41" s="90" t="s">
        <v>45</v>
      </c>
      <c r="E41" s="96">
        <v>0.88</v>
      </c>
      <c r="F41" s="97">
        <v>1</v>
      </c>
      <c r="G41" s="97">
        <v>11</v>
      </c>
      <c r="H41" s="97">
        <v>211</v>
      </c>
      <c r="I41" s="97">
        <v>69.7</v>
      </c>
      <c r="J41" s="97">
        <v>32.5</v>
      </c>
      <c r="K41" s="26">
        <f t="shared" si="2"/>
        <v>0.49292786421499291</v>
      </c>
    </row>
    <row r="42" spans="2:14" ht="15" thickBot="1">
      <c r="C42" s="76" t="s">
        <v>119</v>
      </c>
      <c r="D42" s="77" t="s">
        <v>125</v>
      </c>
      <c r="E42" s="87">
        <v>0.86</v>
      </c>
      <c r="F42" s="70">
        <v>1</v>
      </c>
      <c r="G42" s="70">
        <v>0.1</v>
      </c>
      <c r="H42" s="70">
        <v>250</v>
      </c>
      <c r="I42" s="70">
        <v>0.8</v>
      </c>
      <c r="J42" s="70">
        <v>0.7</v>
      </c>
      <c r="K42" s="26">
        <f t="shared" si="2"/>
        <v>5.6577086280056579E-3</v>
      </c>
    </row>
    <row r="43" spans="2:14" ht="15" thickBot="1">
      <c r="C43" s="76" t="s">
        <v>119</v>
      </c>
      <c r="D43" s="77" t="s">
        <v>126</v>
      </c>
      <c r="E43" s="87">
        <v>0.76</v>
      </c>
      <c r="F43" s="70">
        <v>1</v>
      </c>
      <c r="G43" s="70">
        <v>0.4</v>
      </c>
      <c r="H43" s="70">
        <v>700</v>
      </c>
      <c r="I43" s="70">
        <v>7.5</v>
      </c>
      <c r="J43" s="70">
        <v>5</v>
      </c>
      <c r="K43" s="26">
        <f t="shared" si="2"/>
        <v>5.3041018387553041E-2</v>
      </c>
    </row>
    <row r="44" spans="2:14" ht="15" thickBot="1">
      <c r="C44" s="76" t="s">
        <v>127</v>
      </c>
      <c r="D44" s="77" t="s">
        <v>69</v>
      </c>
      <c r="E44" s="87">
        <v>0.63</v>
      </c>
      <c r="F44" s="70">
        <v>1</v>
      </c>
      <c r="G44" s="70">
        <v>0.2</v>
      </c>
      <c r="H44" s="70">
        <v>1118</v>
      </c>
      <c r="I44" s="70">
        <v>6.2</v>
      </c>
      <c r="J44" s="70">
        <v>5.9</v>
      </c>
      <c r="K44" s="26">
        <f t="shared" si="2"/>
        <v>4.3847241867043849E-2</v>
      </c>
    </row>
    <row r="45" spans="2:14" ht="24.6" thickBot="1">
      <c r="C45" s="76" t="s">
        <v>121</v>
      </c>
      <c r="D45" s="77" t="s">
        <v>73</v>
      </c>
      <c r="E45" s="87">
        <v>0.51</v>
      </c>
      <c r="F45" s="70">
        <v>1</v>
      </c>
      <c r="G45" s="70">
        <v>5.3</v>
      </c>
      <c r="H45" s="70">
        <v>13</v>
      </c>
      <c r="I45" s="70">
        <v>2</v>
      </c>
      <c r="J45" s="70">
        <v>1.9</v>
      </c>
      <c r="K45" s="26">
        <f t="shared" si="2"/>
        <v>1.4144271570014143E-2</v>
      </c>
    </row>
    <row r="46" spans="2:14" ht="24.6" thickBot="1">
      <c r="C46" s="76" t="s">
        <v>127</v>
      </c>
      <c r="D46" s="90" t="s">
        <v>132</v>
      </c>
      <c r="E46" s="96">
        <v>0.46</v>
      </c>
      <c r="F46" s="97">
        <v>1</v>
      </c>
      <c r="G46" s="97">
        <v>0.3</v>
      </c>
      <c r="H46" s="97">
        <v>3640</v>
      </c>
      <c r="I46" s="97">
        <v>30.7</v>
      </c>
      <c r="J46" s="97">
        <v>28.9</v>
      </c>
      <c r="K46" s="26">
        <f t="shared" si="2"/>
        <v>0.21711456859971709</v>
      </c>
    </row>
    <row r="47" spans="2:14" ht="15" thickBot="1">
      <c r="C47" s="76"/>
      <c r="D47" s="77" t="s">
        <v>12</v>
      </c>
      <c r="E47" s="88"/>
      <c r="F47" s="88"/>
      <c r="G47" s="88"/>
      <c r="H47" s="88"/>
      <c r="I47" s="89">
        <v>141.4</v>
      </c>
      <c r="J47" s="89">
        <v>86.7</v>
      </c>
      <c r="K47" s="26">
        <f>J47/I47</f>
        <v>0.61315417256011318</v>
      </c>
      <c r="L47" s="26">
        <f>J47/C4</f>
        <v>0.66692307692307695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4"/>
  <sheetViews>
    <sheetView workbookViewId="0">
      <selection activeCell="G16" sqref="G16"/>
    </sheetView>
  </sheetViews>
  <sheetFormatPr baseColWidth="10" defaultRowHeight="14.4"/>
  <cols>
    <col min="5" max="5" width="14.44140625" bestFit="1" customWidth="1"/>
  </cols>
  <sheetData>
    <row r="1" spans="1:9" ht="20.399999999999999">
      <c r="A1" s="150" t="s">
        <v>134</v>
      </c>
      <c r="B1" s="151"/>
      <c r="C1" s="151"/>
      <c r="D1" s="151"/>
      <c r="E1" s="151"/>
      <c r="F1" s="151"/>
      <c r="G1" s="151"/>
      <c r="H1" s="151"/>
      <c r="I1" s="151"/>
    </row>
    <row r="2" spans="1:9" ht="28.5" customHeight="1">
      <c r="A2" s="149" t="s">
        <v>133</v>
      </c>
      <c r="B2" s="149"/>
      <c r="C2" s="149"/>
      <c r="D2" s="149"/>
      <c r="E2" s="149"/>
      <c r="F2" s="149"/>
      <c r="G2" s="149"/>
      <c r="H2" s="149"/>
      <c r="I2" s="149"/>
    </row>
    <row r="4" spans="1:9" ht="18">
      <c r="A4" s="114">
        <v>2019</v>
      </c>
      <c r="B4" s="120" t="s">
        <v>145</v>
      </c>
    </row>
    <row r="5" spans="1:9">
      <c r="A5" s="145" t="s">
        <v>135</v>
      </c>
      <c r="B5" s="145" t="s">
        <v>136</v>
      </c>
      <c r="C5" s="147" t="s">
        <v>137</v>
      </c>
      <c r="D5" s="148"/>
      <c r="E5" s="98" t="s">
        <v>138</v>
      </c>
    </row>
    <row r="6" spans="1:9" ht="26.4">
      <c r="A6" s="146"/>
      <c r="B6" s="146"/>
      <c r="C6" s="99" t="s">
        <v>139</v>
      </c>
      <c r="D6" s="100" t="s">
        <v>140</v>
      </c>
      <c r="E6" s="101" t="s">
        <v>139</v>
      </c>
      <c r="H6">
        <v>2019</v>
      </c>
      <c r="I6">
        <v>2020</v>
      </c>
    </row>
    <row r="7" spans="1:9">
      <c r="A7" s="102" t="s">
        <v>141</v>
      </c>
      <c r="B7" s="103">
        <v>62662</v>
      </c>
      <c r="C7" s="104">
        <v>70454</v>
      </c>
      <c r="D7" s="105">
        <v>7587</v>
      </c>
      <c r="E7" s="103">
        <v>16808</v>
      </c>
      <c r="G7" t="s">
        <v>141</v>
      </c>
      <c r="H7" s="115">
        <f>B7</f>
        <v>62662</v>
      </c>
      <c r="I7" s="115">
        <f>B18</f>
        <v>49919</v>
      </c>
    </row>
    <row r="8" spans="1:9" ht="15" customHeight="1">
      <c r="A8" s="106" t="s">
        <v>142</v>
      </c>
      <c r="B8" s="107">
        <v>52007</v>
      </c>
      <c r="C8" s="108">
        <v>57423</v>
      </c>
      <c r="D8" s="109">
        <v>6571</v>
      </c>
      <c r="E8" s="107">
        <v>12751</v>
      </c>
      <c r="G8" t="s">
        <v>144</v>
      </c>
      <c r="H8" s="115">
        <f>B10</f>
        <v>78833</v>
      </c>
      <c r="I8" s="115">
        <f>B21</f>
        <v>62271</v>
      </c>
    </row>
    <row r="9" spans="1:9" ht="15" customHeight="1">
      <c r="A9" s="106" t="s">
        <v>143</v>
      </c>
      <c r="B9" s="107">
        <v>10655</v>
      </c>
      <c r="C9" s="108">
        <v>13031</v>
      </c>
      <c r="D9" s="109">
        <v>1016</v>
      </c>
      <c r="E9" s="107">
        <v>4057</v>
      </c>
    </row>
    <row r="10" spans="1:9">
      <c r="A10" s="110" t="s">
        <v>144</v>
      </c>
      <c r="B10" s="111">
        <v>78833</v>
      </c>
      <c r="C10" s="112">
        <v>75728</v>
      </c>
      <c r="D10" s="113">
        <v>11043</v>
      </c>
      <c r="E10" s="111">
        <v>17347</v>
      </c>
    </row>
    <row r="11" spans="1:9">
      <c r="A11" s="106" t="s">
        <v>142</v>
      </c>
      <c r="B11" s="107">
        <v>68937</v>
      </c>
      <c r="C11" s="108">
        <v>66915</v>
      </c>
      <c r="D11" s="109">
        <v>9451</v>
      </c>
      <c r="E11" s="107">
        <v>13934</v>
      </c>
    </row>
    <row r="12" spans="1:9">
      <c r="A12" s="106" t="s">
        <v>143</v>
      </c>
      <c r="B12" s="107">
        <v>9896</v>
      </c>
      <c r="C12" s="108">
        <v>8813</v>
      </c>
      <c r="D12" s="109">
        <v>1592</v>
      </c>
      <c r="E12" s="107">
        <v>3413</v>
      </c>
    </row>
    <row r="13" spans="1:9">
      <c r="A13" s="116" t="s">
        <v>12</v>
      </c>
      <c r="B13" s="117">
        <f>B7+B10</f>
        <v>141495</v>
      </c>
      <c r="C13" s="118">
        <f t="shared" ref="C13:E13" si="0">C7+C10</f>
        <v>146182</v>
      </c>
      <c r="D13" s="119">
        <f t="shared" si="0"/>
        <v>18630</v>
      </c>
      <c r="E13" s="117">
        <f t="shared" si="0"/>
        <v>34155</v>
      </c>
    </row>
    <row r="15" spans="1:9" ht="18">
      <c r="A15" s="114">
        <v>2020</v>
      </c>
      <c r="B15" s="120" t="s">
        <v>145</v>
      </c>
    </row>
    <row r="16" spans="1:9">
      <c r="A16" s="145" t="s">
        <v>135</v>
      </c>
      <c r="B16" s="145" t="s">
        <v>136</v>
      </c>
      <c r="C16" s="147" t="s">
        <v>137</v>
      </c>
      <c r="D16" s="148"/>
      <c r="E16" s="98" t="s">
        <v>138</v>
      </c>
    </row>
    <row r="17" spans="1:5" ht="26.4">
      <c r="A17" s="146"/>
      <c r="B17" s="146"/>
      <c r="C17" s="99" t="s">
        <v>139</v>
      </c>
      <c r="D17" s="100" t="s">
        <v>140</v>
      </c>
      <c r="E17" s="101" t="s">
        <v>139</v>
      </c>
    </row>
    <row r="18" spans="1:5">
      <c r="A18" s="102" t="s">
        <v>141</v>
      </c>
      <c r="B18" s="103">
        <v>49919</v>
      </c>
      <c r="C18" s="104">
        <v>57838</v>
      </c>
      <c r="D18" s="105">
        <v>22232</v>
      </c>
      <c r="E18" s="103">
        <v>34319</v>
      </c>
    </row>
    <row r="19" spans="1:5">
      <c r="A19" s="106" t="s">
        <v>142</v>
      </c>
      <c r="B19" s="107">
        <v>39794</v>
      </c>
      <c r="C19" s="108">
        <v>49686</v>
      </c>
      <c r="D19" s="109">
        <v>20405</v>
      </c>
      <c r="E19" s="107">
        <v>30479</v>
      </c>
    </row>
    <row r="20" spans="1:5">
      <c r="A20" s="106" t="s">
        <v>143</v>
      </c>
      <c r="B20" s="107">
        <v>10125</v>
      </c>
      <c r="C20" s="108">
        <v>8152</v>
      </c>
      <c r="D20" s="109">
        <v>1827</v>
      </c>
      <c r="E20" s="107">
        <v>3840</v>
      </c>
    </row>
    <row r="21" spans="1:5">
      <c r="A21" s="110" t="s">
        <v>144</v>
      </c>
      <c r="B21" s="111">
        <v>62271</v>
      </c>
      <c r="C21" s="112">
        <v>58672</v>
      </c>
      <c r="D21" s="113">
        <v>51676</v>
      </c>
      <c r="E21" s="111">
        <v>65090</v>
      </c>
    </row>
    <row r="22" spans="1:5">
      <c r="A22" s="106" t="s">
        <v>142</v>
      </c>
      <c r="B22" s="107">
        <v>55351</v>
      </c>
      <c r="C22" s="108">
        <v>51897</v>
      </c>
      <c r="D22" s="109">
        <v>48873</v>
      </c>
      <c r="E22" s="107">
        <v>60128</v>
      </c>
    </row>
    <row r="23" spans="1:5">
      <c r="A23" s="106" t="s">
        <v>143</v>
      </c>
      <c r="B23" s="107">
        <v>6920</v>
      </c>
      <c r="C23" s="108">
        <v>6775</v>
      </c>
      <c r="D23" s="109">
        <v>2803</v>
      </c>
      <c r="E23" s="107">
        <v>4962</v>
      </c>
    </row>
    <row r="24" spans="1:5">
      <c r="A24" s="116" t="s">
        <v>12</v>
      </c>
      <c r="B24" s="117">
        <f>B18+B21</f>
        <v>112190</v>
      </c>
      <c r="C24" s="118">
        <f t="shared" ref="C24:E24" si="1">C18+C21</f>
        <v>116510</v>
      </c>
      <c r="D24" s="119">
        <f t="shared" si="1"/>
        <v>73908</v>
      </c>
      <c r="E24" s="117">
        <f t="shared" si="1"/>
        <v>99409</v>
      </c>
    </row>
  </sheetData>
  <mergeCells count="8">
    <mergeCell ref="A16:A17"/>
    <mergeCell ref="B16:B17"/>
    <mergeCell ref="C16:D16"/>
    <mergeCell ref="A2:I2"/>
    <mergeCell ref="A1:I1"/>
    <mergeCell ref="A5:A6"/>
    <mergeCell ref="B5:B6"/>
    <mergeCell ref="C5:D5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E45"/>
  <sheetViews>
    <sheetView topLeftCell="A19" workbookViewId="0">
      <selection activeCell="B4" sqref="B4"/>
    </sheetView>
  </sheetViews>
  <sheetFormatPr baseColWidth="10" defaultRowHeight="14.4"/>
  <cols>
    <col min="1" max="1" width="28.109375" bestFit="1" customWidth="1"/>
    <col min="2" max="2" width="11" bestFit="1" customWidth="1"/>
  </cols>
  <sheetData>
    <row r="2" spans="1:5">
      <c r="A2" s="153" t="s">
        <v>146</v>
      </c>
      <c r="B2" s="153"/>
      <c r="C2" s="153"/>
      <c r="D2" s="153"/>
      <c r="E2" s="153"/>
    </row>
    <row r="3" spans="1:5">
      <c r="A3" s="121"/>
      <c r="B3" s="121">
        <v>2017</v>
      </c>
      <c r="C3" s="121">
        <v>2018</v>
      </c>
      <c r="D3" s="121">
        <v>2019</v>
      </c>
      <c r="E3" s="121">
        <v>2020</v>
      </c>
    </row>
    <row r="4" spans="1:5" ht="15.6">
      <c r="A4" s="122" t="s">
        <v>147</v>
      </c>
      <c r="B4" s="123">
        <v>1748541</v>
      </c>
      <c r="C4" s="123">
        <v>2534351</v>
      </c>
      <c r="D4" s="123">
        <v>3401180</v>
      </c>
      <c r="E4" s="123">
        <v>2489715</v>
      </c>
    </row>
    <row r="5" spans="1:5">
      <c r="A5" s="124" t="s">
        <v>148</v>
      </c>
      <c r="B5" s="125">
        <v>287778</v>
      </c>
      <c r="C5" s="125">
        <v>344653</v>
      </c>
      <c r="D5" s="125">
        <v>457493</v>
      </c>
      <c r="E5" s="125">
        <v>439829</v>
      </c>
    </row>
    <row r="6" spans="1:5">
      <c r="A6" s="124" t="s">
        <v>149</v>
      </c>
      <c r="B6" s="125">
        <v>7415</v>
      </c>
      <c r="C6" s="125">
        <v>26060</v>
      </c>
      <c r="D6" s="125">
        <v>22053</v>
      </c>
      <c r="E6" s="125">
        <v>5267</v>
      </c>
    </row>
    <row r="7" spans="1:5">
      <c r="A7" s="124" t="s">
        <v>150</v>
      </c>
      <c r="B7" s="125">
        <v>1644029</v>
      </c>
      <c r="C7" s="125">
        <v>1429709</v>
      </c>
      <c r="D7" s="125">
        <v>1524382</v>
      </c>
      <c r="E7" s="125">
        <v>1642475</v>
      </c>
    </row>
    <row r="8" spans="1:5">
      <c r="A8" s="124" t="s">
        <v>151</v>
      </c>
      <c r="B8" s="125">
        <v>68349</v>
      </c>
      <c r="C8" s="125">
        <v>70282</v>
      </c>
      <c r="D8" s="125">
        <v>96843</v>
      </c>
      <c r="E8" s="125">
        <v>57783</v>
      </c>
    </row>
    <row r="9" spans="1:5">
      <c r="A9" s="124" t="s">
        <v>126</v>
      </c>
      <c r="B9" s="125">
        <v>391846</v>
      </c>
      <c r="C9" s="125">
        <v>372124</v>
      </c>
      <c r="D9" s="125">
        <v>420126</v>
      </c>
      <c r="E9" s="125">
        <v>323581</v>
      </c>
    </row>
    <row r="10" spans="1:5">
      <c r="A10" s="124" t="s">
        <v>152</v>
      </c>
      <c r="B10" s="125">
        <v>1503616</v>
      </c>
      <c r="C10" s="125">
        <v>1467460</v>
      </c>
      <c r="D10" s="125">
        <v>1564737</v>
      </c>
      <c r="E10" s="126">
        <v>801491</v>
      </c>
    </row>
    <row r="11" spans="1:5">
      <c r="A11" s="124" t="s">
        <v>153</v>
      </c>
      <c r="B11" s="125">
        <v>389892</v>
      </c>
      <c r="C11" s="125">
        <v>267247</v>
      </c>
      <c r="D11" s="125">
        <v>348478</v>
      </c>
      <c r="E11" s="125">
        <v>250710</v>
      </c>
    </row>
    <row r="12" spans="1:5">
      <c r="A12" s="124" t="s">
        <v>154</v>
      </c>
      <c r="B12" s="125">
        <v>176368</v>
      </c>
      <c r="C12" s="125">
        <v>172110</v>
      </c>
      <c r="D12" s="125">
        <v>237786</v>
      </c>
      <c r="E12" s="125">
        <v>349882</v>
      </c>
    </row>
    <row r="13" spans="1:5">
      <c r="A13" s="124" t="s">
        <v>155</v>
      </c>
      <c r="B13" s="125">
        <v>1827202</v>
      </c>
      <c r="C13" s="125">
        <v>2077153</v>
      </c>
      <c r="D13" s="125">
        <v>2096661</v>
      </c>
      <c r="E13" s="125">
        <v>2014165</v>
      </c>
    </row>
    <row r="14" spans="1:5">
      <c r="A14" s="127" t="s">
        <v>57</v>
      </c>
      <c r="B14" s="125">
        <v>36931</v>
      </c>
      <c r="C14" s="125">
        <v>34726</v>
      </c>
      <c r="D14" s="125">
        <v>67692</v>
      </c>
      <c r="E14" s="125">
        <v>25932</v>
      </c>
    </row>
    <row r="16" spans="1:5">
      <c r="A16" s="152" t="s">
        <v>156</v>
      </c>
      <c r="B16" s="152"/>
    </row>
    <row r="17" spans="1:2" ht="15.6">
      <c r="A17" s="129" t="s">
        <v>157</v>
      </c>
      <c r="B17" s="130">
        <v>8414510000</v>
      </c>
    </row>
    <row r="18" spans="1:2">
      <c r="A18" s="131" t="s">
        <v>148</v>
      </c>
      <c r="B18" s="130">
        <v>8315101000</v>
      </c>
    </row>
    <row r="19" spans="1:2">
      <c r="A19" s="152" t="s">
        <v>149</v>
      </c>
      <c r="B19" s="130">
        <v>8418102000</v>
      </c>
    </row>
    <row r="20" spans="1:2">
      <c r="A20" s="152"/>
      <c r="B20" s="130">
        <v>8418101000</v>
      </c>
    </row>
    <row r="21" spans="1:2">
      <c r="A21" s="133" t="s">
        <v>150</v>
      </c>
      <c r="B21" s="130">
        <v>8509401000</v>
      </c>
    </row>
    <row r="22" spans="1:2">
      <c r="A22" s="133" t="s">
        <v>151</v>
      </c>
      <c r="B22" s="130">
        <v>7321111100</v>
      </c>
    </row>
    <row r="23" spans="1:2">
      <c r="A23" s="154" t="s">
        <v>126</v>
      </c>
      <c r="B23" s="130">
        <v>8450110000</v>
      </c>
    </row>
    <row r="24" spans="1:2">
      <c r="A24" s="155"/>
      <c r="B24" s="130">
        <v>8450190000</v>
      </c>
    </row>
    <row r="25" spans="1:2">
      <c r="A25" s="156"/>
      <c r="B25" s="130">
        <v>8450120000</v>
      </c>
    </row>
    <row r="26" spans="1:2">
      <c r="A26" s="128" t="s">
        <v>152</v>
      </c>
      <c r="B26" s="130">
        <v>8516400000</v>
      </c>
    </row>
    <row r="27" spans="1:2">
      <c r="A27" s="128" t="s">
        <v>153</v>
      </c>
      <c r="B27" s="130">
        <v>8516500000</v>
      </c>
    </row>
    <row r="28" spans="1:2">
      <c r="A28" s="128" t="s">
        <v>154</v>
      </c>
      <c r="B28" s="130">
        <v>8516601000</v>
      </c>
    </row>
    <row r="29" spans="1:2">
      <c r="A29" s="152" t="s">
        <v>155</v>
      </c>
      <c r="B29" s="130">
        <v>8528720010</v>
      </c>
    </row>
    <row r="30" spans="1:2">
      <c r="A30" s="152"/>
      <c r="B30" s="130">
        <v>8528720040</v>
      </c>
    </row>
    <row r="31" spans="1:2">
      <c r="A31" s="128" t="s">
        <v>57</v>
      </c>
      <c r="B31" s="134">
        <v>8516602000</v>
      </c>
    </row>
    <row r="33" spans="1:5">
      <c r="A33" s="153" t="s">
        <v>158</v>
      </c>
      <c r="B33" s="153"/>
      <c r="C33" s="153"/>
      <c r="D33" s="153"/>
      <c r="E33" s="153"/>
    </row>
    <row r="34" spans="1:5">
      <c r="A34" s="121"/>
      <c r="B34" s="135" t="s">
        <v>159</v>
      </c>
      <c r="C34" s="135" t="s">
        <v>160</v>
      </c>
      <c r="D34" s="135" t="s">
        <v>161</v>
      </c>
      <c r="E34" s="135" t="s">
        <v>162</v>
      </c>
    </row>
    <row r="35" spans="1:5" ht="15.6">
      <c r="A35" s="136" t="s">
        <v>157</v>
      </c>
      <c r="B35" s="137">
        <v>1630995</v>
      </c>
      <c r="C35" s="137">
        <v>50577</v>
      </c>
      <c r="D35" s="137">
        <v>1634823</v>
      </c>
      <c r="E35" s="126">
        <v>84785</v>
      </c>
    </row>
    <row r="36" spans="1:5">
      <c r="A36" s="124" t="s">
        <v>148</v>
      </c>
      <c r="B36" s="137">
        <v>447926</v>
      </c>
      <c r="C36" s="137">
        <v>20</v>
      </c>
      <c r="D36" s="138"/>
      <c r="E36" s="126">
        <v>9547</v>
      </c>
    </row>
    <row r="37" spans="1:5">
      <c r="A37" s="124" t="s">
        <v>149</v>
      </c>
      <c r="B37" s="137">
        <v>19364</v>
      </c>
      <c r="C37" s="137">
        <v>2530</v>
      </c>
      <c r="D37" s="138"/>
      <c r="E37" s="126">
        <v>159</v>
      </c>
    </row>
    <row r="38" spans="1:5">
      <c r="A38" s="124" t="s">
        <v>150</v>
      </c>
      <c r="B38" s="137">
        <v>1007496</v>
      </c>
      <c r="C38" s="137">
        <v>506048</v>
      </c>
      <c r="D38" s="137">
        <v>1</v>
      </c>
      <c r="E38" s="126">
        <v>10837</v>
      </c>
    </row>
    <row r="39" spans="1:5">
      <c r="A39" s="124" t="s">
        <v>151</v>
      </c>
      <c r="B39" s="137">
        <v>39976</v>
      </c>
      <c r="C39" s="137">
        <v>1522</v>
      </c>
      <c r="D39" s="138"/>
      <c r="E39" s="126">
        <v>55345</v>
      </c>
    </row>
    <row r="40" spans="1:5">
      <c r="A40" s="124" t="s">
        <v>126</v>
      </c>
      <c r="B40" s="137">
        <v>404479</v>
      </c>
      <c r="C40" s="138"/>
      <c r="D40" s="138"/>
      <c r="E40" s="126">
        <v>15647</v>
      </c>
    </row>
    <row r="41" spans="1:5">
      <c r="A41" s="124" t="s">
        <v>152</v>
      </c>
      <c r="B41" s="137">
        <v>1543862</v>
      </c>
      <c r="C41" s="137"/>
      <c r="D41" s="137">
        <v>2004</v>
      </c>
      <c r="E41" s="126">
        <v>18871</v>
      </c>
    </row>
    <row r="42" spans="1:5">
      <c r="A42" s="124" t="s">
        <v>153</v>
      </c>
      <c r="B42" s="137">
        <v>290617</v>
      </c>
      <c r="C42" s="137">
        <v>4</v>
      </c>
      <c r="D42" s="137"/>
      <c r="E42" s="126">
        <v>57857</v>
      </c>
    </row>
    <row r="43" spans="1:5">
      <c r="A43" s="124" t="s">
        <v>154</v>
      </c>
      <c r="B43" s="137">
        <v>218359</v>
      </c>
      <c r="C43" s="137">
        <v>12983</v>
      </c>
      <c r="D43" s="137">
        <v>720</v>
      </c>
      <c r="E43" s="126">
        <v>5724</v>
      </c>
    </row>
    <row r="44" spans="1:5">
      <c r="A44" s="124" t="s">
        <v>155</v>
      </c>
      <c r="B44" s="137">
        <v>295588</v>
      </c>
      <c r="C44" s="137">
        <v>1800424</v>
      </c>
      <c r="D44" s="137">
        <v>12</v>
      </c>
      <c r="E44" s="126">
        <v>637</v>
      </c>
    </row>
    <row r="45" spans="1:5">
      <c r="A45" s="127" t="s">
        <v>57</v>
      </c>
      <c r="B45" s="139">
        <v>60487</v>
      </c>
      <c r="C45" s="139">
        <v>185</v>
      </c>
      <c r="D45" s="138"/>
      <c r="E45" s="126">
        <v>7020</v>
      </c>
    </row>
  </sheetData>
  <mergeCells count="6">
    <mergeCell ref="A29:A30"/>
    <mergeCell ref="A16:B16"/>
    <mergeCell ref="A33:E33"/>
    <mergeCell ref="A2:E2"/>
    <mergeCell ref="A19:A20"/>
    <mergeCell ref="A23:A25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J32"/>
  <sheetViews>
    <sheetView tabSelected="1" topLeftCell="A8" workbookViewId="0">
      <selection activeCell="E15" sqref="E15"/>
    </sheetView>
  </sheetViews>
  <sheetFormatPr baseColWidth="10" defaultRowHeight="14.4"/>
  <cols>
    <col min="1" max="1" width="44.44140625" bestFit="1" customWidth="1"/>
    <col min="2" max="2" width="31.6640625" bestFit="1" customWidth="1"/>
    <col min="6" max="6" width="22.6640625" bestFit="1" customWidth="1"/>
  </cols>
  <sheetData>
    <row r="2" spans="1:5">
      <c r="A2" s="153" t="s">
        <v>163</v>
      </c>
      <c r="B2" s="153"/>
      <c r="C2" s="153"/>
      <c r="D2" s="153"/>
      <c r="E2" s="153"/>
    </row>
    <row r="3" spans="1:5">
      <c r="A3" s="121"/>
      <c r="B3" s="121">
        <v>2017</v>
      </c>
      <c r="C3" s="121">
        <v>2018</v>
      </c>
      <c r="D3" s="121">
        <v>2019</v>
      </c>
      <c r="E3" s="121">
        <v>2020</v>
      </c>
    </row>
    <row r="4" spans="1:5">
      <c r="A4" s="121" t="s">
        <v>164</v>
      </c>
      <c r="B4" s="125">
        <v>906428</v>
      </c>
      <c r="C4" s="125">
        <v>866064</v>
      </c>
      <c r="D4" s="125">
        <v>930869</v>
      </c>
      <c r="E4" s="125">
        <v>1125358</v>
      </c>
    </row>
    <row r="5" spans="1:5">
      <c r="A5" s="121" t="s">
        <v>165</v>
      </c>
      <c r="B5" s="125">
        <v>2758565</v>
      </c>
      <c r="C5" s="125">
        <v>3788577</v>
      </c>
      <c r="D5" s="125">
        <v>3331314</v>
      </c>
      <c r="E5" s="125">
        <v>3850330</v>
      </c>
    </row>
    <row r="6" spans="1:5">
      <c r="A6" s="121" t="s">
        <v>166</v>
      </c>
      <c r="B6" s="125">
        <v>3211331</v>
      </c>
      <c r="C6" s="125">
        <v>2577395</v>
      </c>
      <c r="D6" s="125">
        <v>1304695</v>
      </c>
      <c r="E6" s="125">
        <v>1572888</v>
      </c>
    </row>
    <row r="7" spans="1:5">
      <c r="A7" s="121" t="s">
        <v>167</v>
      </c>
      <c r="B7" s="125">
        <v>1060020</v>
      </c>
      <c r="C7" s="125">
        <v>1141141</v>
      </c>
      <c r="D7" s="125">
        <v>964008</v>
      </c>
      <c r="E7" s="125">
        <v>1287717</v>
      </c>
    </row>
    <row r="8" spans="1:5">
      <c r="A8" s="121" t="s">
        <v>168</v>
      </c>
      <c r="B8" s="125">
        <v>160140</v>
      </c>
      <c r="C8" s="125">
        <v>135260</v>
      </c>
      <c r="D8" s="125">
        <v>161310</v>
      </c>
      <c r="E8" s="125">
        <v>224654</v>
      </c>
    </row>
    <row r="9" spans="1:5">
      <c r="A9" s="121" t="s">
        <v>169</v>
      </c>
      <c r="B9" s="125">
        <v>340204</v>
      </c>
      <c r="C9" s="125">
        <v>505341</v>
      </c>
      <c r="D9" s="125">
        <v>643309</v>
      </c>
      <c r="E9" s="125">
        <v>676044</v>
      </c>
    </row>
    <row r="10" spans="1:5">
      <c r="A10" s="121" t="s">
        <v>170</v>
      </c>
      <c r="B10" s="125">
        <v>180646</v>
      </c>
      <c r="C10" s="125">
        <v>251958</v>
      </c>
      <c r="D10" s="125">
        <v>283740</v>
      </c>
      <c r="E10" s="125">
        <v>283581</v>
      </c>
    </row>
    <row r="13" spans="1:5">
      <c r="A13" s="152" t="s">
        <v>176</v>
      </c>
      <c r="B13" s="152"/>
    </row>
    <row r="14" spans="1:5" ht="15.6">
      <c r="A14" s="129" t="s">
        <v>177</v>
      </c>
      <c r="B14" s="27">
        <v>8501401110</v>
      </c>
    </row>
    <row r="15" spans="1:5">
      <c r="A15" s="131" t="s">
        <v>178</v>
      </c>
      <c r="B15" s="27">
        <v>8501401900</v>
      </c>
    </row>
    <row r="16" spans="1:5">
      <c r="A16" s="133" t="s">
        <v>179</v>
      </c>
      <c r="B16" s="27">
        <v>8501201900</v>
      </c>
    </row>
    <row r="17" spans="1:10">
      <c r="A17" s="133" t="s">
        <v>180</v>
      </c>
      <c r="B17" s="27">
        <v>8481809900</v>
      </c>
    </row>
    <row r="18" spans="1:10">
      <c r="A18" s="132" t="s">
        <v>181</v>
      </c>
      <c r="B18" s="27">
        <v>8414309100</v>
      </c>
    </row>
    <row r="19" spans="1:10">
      <c r="A19" s="132" t="s">
        <v>182</v>
      </c>
      <c r="B19" s="27">
        <v>8529909010</v>
      </c>
    </row>
    <row r="20" spans="1:10">
      <c r="A20" s="152" t="s">
        <v>183</v>
      </c>
      <c r="B20" s="27">
        <v>8516800090</v>
      </c>
    </row>
    <row r="21" spans="1:10">
      <c r="A21" s="152"/>
      <c r="B21" s="27">
        <v>8516800010</v>
      </c>
    </row>
    <row r="24" spans="1:10">
      <c r="A24" s="153" t="s">
        <v>171</v>
      </c>
      <c r="B24" s="153"/>
      <c r="C24" s="153"/>
      <c r="D24" s="153"/>
      <c r="F24" s="153" t="s">
        <v>175</v>
      </c>
      <c r="G24" s="153"/>
      <c r="H24" s="153"/>
      <c r="I24" s="153"/>
      <c r="J24" s="153"/>
    </row>
    <row r="25" spans="1:10">
      <c r="A25" s="121">
        <v>2017</v>
      </c>
      <c r="B25" s="121">
        <v>2018</v>
      </c>
      <c r="C25" s="121">
        <v>2019</v>
      </c>
      <c r="D25" s="121">
        <v>2020</v>
      </c>
      <c r="F25" s="121"/>
      <c r="G25" s="121">
        <v>2017</v>
      </c>
      <c r="H25" s="121">
        <v>2018</v>
      </c>
      <c r="I25" s="121">
        <v>2019</v>
      </c>
      <c r="J25" s="121">
        <v>2020</v>
      </c>
    </row>
    <row r="26" spans="1:10">
      <c r="A26" s="125">
        <f>SUM(B4:B10)</f>
        <v>8617334</v>
      </c>
      <c r="B26" s="125">
        <f t="shared" ref="B26:D26" si="0">SUM(C4:C10)</f>
        <v>9265736</v>
      </c>
      <c r="C26" s="125">
        <f t="shared" si="0"/>
        <v>7619245</v>
      </c>
      <c r="D26" s="125">
        <f t="shared" si="0"/>
        <v>9020572</v>
      </c>
      <c r="F26" s="121" t="s">
        <v>51</v>
      </c>
      <c r="G26" s="125">
        <v>906428</v>
      </c>
      <c r="H26" s="125">
        <v>866064</v>
      </c>
      <c r="I26" s="125">
        <v>930869</v>
      </c>
      <c r="J26" s="125">
        <v>1125358</v>
      </c>
    </row>
    <row r="27" spans="1:10">
      <c r="F27" s="121" t="s">
        <v>172</v>
      </c>
      <c r="G27" s="140">
        <v>779848</v>
      </c>
      <c r="H27" s="140">
        <v>1113273</v>
      </c>
      <c r="I27" s="140">
        <v>959186</v>
      </c>
      <c r="J27" s="141">
        <v>1082957</v>
      </c>
    </row>
    <row r="28" spans="1:10">
      <c r="F28" s="121" t="s">
        <v>150</v>
      </c>
      <c r="G28" s="125">
        <v>3211331</v>
      </c>
      <c r="H28" s="125">
        <v>2577395</v>
      </c>
      <c r="I28" s="125">
        <v>1304695</v>
      </c>
      <c r="J28" s="125">
        <v>1572888</v>
      </c>
    </row>
    <row r="29" spans="1:10">
      <c r="F29" s="121" t="s">
        <v>147</v>
      </c>
      <c r="G29" s="125">
        <v>1060020</v>
      </c>
      <c r="H29" s="125">
        <v>1141141</v>
      </c>
      <c r="I29" s="125">
        <v>964008</v>
      </c>
      <c r="J29" s="125">
        <v>1287717</v>
      </c>
    </row>
    <row r="30" spans="1:10">
      <c r="F30" s="121" t="s">
        <v>173</v>
      </c>
      <c r="G30" s="125">
        <v>160140</v>
      </c>
      <c r="H30" s="125">
        <v>135260</v>
      </c>
      <c r="I30" s="125">
        <v>161310</v>
      </c>
      <c r="J30" s="125">
        <v>224654</v>
      </c>
    </row>
    <row r="31" spans="1:10">
      <c r="F31" s="121" t="s">
        <v>155</v>
      </c>
      <c r="G31" s="125">
        <v>340204</v>
      </c>
      <c r="H31" s="125">
        <v>505341</v>
      </c>
      <c r="I31" s="125">
        <v>643309</v>
      </c>
      <c r="J31" s="125">
        <v>676044</v>
      </c>
    </row>
    <row r="32" spans="1:10">
      <c r="F32" s="121" t="s">
        <v>174</v>
      </c>
      <c r="G32" s="142">
        <v>208566</v>
      </c>
      <c r="H32" s="142">
        <v>228553</v>
      </c>
      <c r="I32" s="142">
        <v>286513</v>
      </c>
      <c r="J32" s="142">
        <v>290810.69499999995</v>
      </c>
    </row>
  </sheetData>
  <mergeCells count="5">
    <mergeCell ref="A2:E2"/>
    <mergeCell ref="A24:D24"/>
    <mergeCell ref="F24:J24"/>
    <mergeCell ref="A20:A21"/>
    <mergeCell ref="A13:B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Metas PROURE</vt:lpstr>
      <vt:lpstr>PROUREvsMercado</vt:lpstr>
      <vt:lpstr>Tenencia electrodomésticos</vt:lpstr>
      <vt:lpstr>Subsistencia</vt:lpstr>
      <vt:lpstr>Viviendas</vt:lpstr>
      <vt:lpstr>Import product finales 17-20 </vt:lpstr>
      <vt:lpstr>Insumos Import 17-20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ERIKA</dc:creator>
  <cp:lastModifiedBy>Olga Victoria</cp:lastModifiedBy>
  <dcterms:created xsi:type="dcterms:W3CDTF">2021-06-18T15:57:14Z</dcterms:created>
  <dcterms:modified xsi:type="dcterms:W3CDTF">2021-07-19T17:31:37Z</dcterms:modified>
</cp:coreProperties>
</file>