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BALANCE GAS NATURAL_ 2019\Declaracion Versión 3\"/>
    </mc:Choice>
  </mc:AlternateContent>
  <bookViews>
    <workbookView xWindow="0" yWindow="0" windowWidth="25200" windowHeight="11985" tabRatio="849" activeTab="1"/>
  </bookViews>
  <sheets>
    <sheet name="Demanda Regional" sheetId="1" r:id="rId1"/>
    <sheet name="%  Planta" sheetId="3" r:id="rId2"/>
    <sheet name="Bogotá" sheetId="2" r:id="rId3"/>
    <sheet name="Barranquilla" sheetId="4" r:id="rId4"/>
    <sheet name="Valledupar" sheetId="6" r:id="rId5"/>
    <sheet name="Manizales" sheetId="7" r:id="rId6"/>
    <sheet name="CIB" sheetId="8" r:id="rId7"/>
    <sheet name="Bucaramanga" sheetId="38" r:id="rId8"/>
    <sheet name="Medellin" sheetId="9" r:id="rId9"/>
    <sheet name="Cali" sheetId="10" r:id="rId10"/>
    <sheet name="Ibague" sheetId="11" r:id="rId11"/>
    <sheet name="Nacional" sheetId="12" r:id="rId12"/>
    <sheet name="Bid. Ballena - barranca" sheetId="13" r:id="rId13"/>
    <sheet name="Bid. Cartagena-ballena" sheetId="14" r:id="rId14"/>
    <sheet name="Amp. Transporte Jamundi" sheetId="15" r:id="rId15"/>
    <sheet name="Amp. Mariquita Gualanday" sheetId="16" r:id="rId16"/>
    <sheet name="Interconexión Costa-Interior" sheetId="39" r:id="rId17"/>
  </sheets>
  <definedNames>
    <definedName name="_xlnm._FilterDatabase" localSheetId="0" hidden="1">'Demanda Regional'!$A$3:$M$184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3" l="1"/>
  <c r="I57" i="3"/>
  <c r="I56" i="3"/>
  <c r="I55" i="3"/>
  <c r="I54" i="3"/>
  <c r="I53" i="3"/>
  <c r="I52" i="3"/>
  <c r="I51" i="3"/>
  <c r="H8" i="12" l="1"/>
  <c r="H7" i="2"/>
  <c r="E7" i="14"/>
  <c r="E7" i="13"/>
  <c r="E7" i="39"/>
  <c r="E7" i="16"/>
  <c r="F7" i="15"/>
  <c r="Q38" i="1" l="1"/>
  <c r="R36" i="1" s="1"/>
  <c r="P36" i="1"/>
  <c r="Q36" i="1" s="1"/>
  <c r="S36" i="1" l="1"/>
  <c r="S37" i="1" s="1"/>
  <c r="R37" i="1"/>
  <c r="H37" i="2"/>
  <c r="C94" i="10" l="1"/>
  <c r="G86" i="10"/>
  <c r="F86" i="10"/>
  <c r="E86" i="10"/>
  <c r="D86" i="10"/>
  <c r="C86" i="10"/>
  <c r="G85" i="10"/>
  <c r="F85" i="10"/>
  <c r="E85" i="10"/>
  <c r="D85" i="10"/>
  <c r="C85" i="10"/>
  <c r="C71" i="10"/>
  <c r="G63" i="10"/>
  <c r="F63" i="10"/>
  <c r="E63" i="10"/>
  <c r="D63" i="10"/>
  <c r="C63" i="10"/>
  <c r="G62" i="10"/>
  <c r="F62" i="10"/>
  <c r="E62" i="10"/>
  <c r="D62" i="10"/>
  <c r="C62" i="10"/>
  <c r="C93" i="7"/>
  <c r="G85" i="7"/>
  <c r="F85" i="7"/>
  <c r="E85" i="7"/>
  <c r="D85" i="7"/>
  <c r="C85" i="7"/>
  <c r="G84" i="7"/>
  <c r="F84" i="7"/>
  <c r="E84" i="7"/>
  <c r="D84" i="7"/>
  <c r="C84" i="7"/>
  <c r="C70" i="7"/>
  <c r="G62" i="7"/>
  <c r="F62" i="7"/>
  <c r="E62" i="7"/>
  <c r="D62" i="7"/>
  <c r="C62" i="7"/>
  <c r="G61" i="7"/>
  <c r="F61" i="7"/>
  <c r="E61" i="7"/>
  <c r="D61" i="7"/>
  <c r="C61" i="7"/>
  <c r="C94" i="6"/>
  <c r="G86" i="6"/>
  <c r="F86" i="6"/>
  <c r="E86" i="6"/>
  <c r="D86" i="6"/>
  <c r="C86" i="6"/>
  <c r="G85" i="6"/>
  <c r="F85" i="6"/>
  <c r="E85" i="6"/>
  <c r="D85" i="6"/>
  <c r="C85" i="6"/>
  <c r="C71" i="6"/>
  <c r="G63" i="6"/>
  <c r="F63" i="6"/>
  <c r="E63" i="6"/>
  <c r="D63" i="6"/>
  <c r="C63" i="6"/>
  <c r="G62" i="6"/>
  <c r="F62" i="6"/>
  <c r="E62" i="6"/>
  <c r="D62" i="6"/>
  <c r="C62" i="6"/>
  <c r="C93" i="4"/>
  <c r="G85" i="4"/>
  <c r="F85" i="4"/>
  <c r="E85" i="4"/>
  <c r="D85" i="4"/>
  <c r="C85" i="4"/>
  <c r="G84" i="4"/>
  <c r="F84" i="4"/>
  <c r="E84" i="4"/>
  <c r="D84" i="4"/>
  <c r="C84" i="4"/>
  <c r="C70" i="4"/>
  <c r="G62" i="4"/>
  <c r="F62" i="4"/>
  <c r="E62" i="4"/>
  <c r="D62" i="4"/>
  <c r="C62" i="4"/>
  <c r="G61" i="4"/>
  <c r="F61" i="4"/>
  <c r="E61" i="4"/>
  <c r="D61" i="4"/>
  <c r="C61" i="4"/>
  <c r="D17" i="39" l="1"/>
  <c r="C17" i="39"/>
  <c r="D9" i="39"/>
  <c r="C9" i="39"/>
  <c r="C2" i="39"/>
  <c r="C92" i="8" l="1"/>
  <c r="G84" i="8"/>
  <c r="F84" i="8"/>
  <c r="E84" i="8"/>
  <c r="D84" i="8"/>
  <c r="C84" i="8"/>
  <c r="G83" i="8"/>
  <c r="F83" i="8"/>
  <c r="E83" i="8"/>
  <c r="D83" i="8"/>
  <c r="C83" i="8"/>
  <c r="C69" i="8"/>
  <c r="G61" i="8"/>
  <c r="F61" i="8"/>
  <c r="E61" i="8"/>
  <c r="D61" i="8"/>
  <c r="C61" i="8"/>
  <c r="G60" i="8"/>
  <c r="F60" i="8"/>
  <c r="E60" i="8"/>
  <c r="D60" i="8"/>
  <c r="C60" i="8"/>
  <c r="C95" i="12"/>
  <c r="G87" i="12"/>
  <c r="F87" i="12"/>
  <c r="E87" i="12"/>
  <c r="D87" i="12"/>
  <c r="C87" i="12"/>
  <c r="G86" i="12"/>
  <c r="F86" i="12"/>
  <c r="E86" i="12"/>
  <c r="D86" i="12"/>
  <c r="C86" i="12"/>
  <c r="C72" i="12"/>
  <c r="G64" i="12"/>
  <c r="F64" i="12"/>
  <c r="E64" i="12"/>
  <c r="D64" i="12"/>
  <c r="C64" i="12"/>
  <c r="G63" i="12"/>
  <c r="F63" i="12"/>
  <c r="E63" i="12"/>
  <c r="D63" i="12"/>
  <c r="C63" i="12"/>
  <c r="C94" i="11"/>
  <c r="G86" i="11"/>
  <c r="F86" i="11"/>
  <c r="E86" i="11"/>
  <c r="D86" i="11"/>
  <c r="C86" i="11"/>
  <c r="G85" i="11"/>
  <c r="F85" i="11"/>
  <c r="E85" i="11"/>
  <c r="D85" i="11"/>
  <c r="C85" i="11"/>
  <c r="C71" i="11"/>
  <c r="G63" i="11"/>
  <c r="F63" i="11"/>
  <c r="E63" i="11"/>
  <c r="D63" i="11"/>
  <c r="C63" i="11"/>
  <c r="G62" i="11"/>
  <c r="F62" i="11"/>
  <c r="E62" i="11"/>
  <c r="D62" i="11"/>
  <c r="C62" i="11"/>
  <c r="C100" i="2" l="1"/>
  <c r="G92" i="2"/>
  <c r="F92" i="2"/>
  <c r="E92" i="2"/>
  <c r="D92" i="2"/>
  <c r="C92" i="2"/>
  <c r="G91" i="2"/>
  <c r="F91" i="2"/>
  <c r="E91" i="2"/>
  <c r="D91" i="2"/>
  <c r="C91" i="2"/>
  <c r="C69" i="2"/>
  <c r="F2" i="3"/>
  <c r="C77" i="2"/>
  <c r="G69" i="2"/>
  <c r="F69" i="2"/>
  <c r="E69" i="2"/>
  <c r="D69" i="2"/>
  <c r="G68" i="2"/>
  <c r="F68" i="2"/>
  <c r="E68" i="2"/>
  <c r="D68" i="2"/>
  <c r="C68" i="2"/>
  <c r="H89" i="2" l="1"/>
  <c r="K90" i="2" s="1"/>
  <c r="M90" i="2" l="1"/>
  <c r="Q90" i="2"/>
  <c r="R90" i="2"/>
  <c r="H90" i="2"/>
  <c r="H91" i="2" s="1"/>
  <c r="X90" i="2"/>
  <c r="V90" i="2"/>
  <c r="O90" i="2"/>
  <c r="I90" i="2"/>
  <c r="J90" i="2"/>
  <c r="L90" i="2"/>
  <c r="U90" i="2"/>
  <c r="S90" i="2"/>
  <c r="N90" i="2"/>
  <c r="Z90" i="2"/>
  <c r="W90" i="2"/>
  <c r="T90" i="2"/>
  <c r="P90" i="2"/>
  <c r="AA90" i="2"/>
  <c r="Y90" i="2"/>
  <c r="D39" i="3"/>
  <c r="H35" i="11"/>
  <c r="Y36" i="11" s="1"/>
  <c r="Y37" i="11" s="1"/>
  <c r="H7" i="11"/>
  <c r="H60" i="11" s="1"/>
  <c r="H33" i="38"/>
  <c r="K34" i="38" s="1"/>
  <c r="H7" i="38"/>
  <c r="H8" i="38" s="1"/>
  <c r="G43" i="38"/>
  <c r="F43" i="38"/>
  <c r="E43" i="38"/>
  <c r="D43" i="38"/>
  <c r="C43" i="38"/>
  <c r="G35" i="38"/>
  <c r="F35" i="38"/>
  <c r="E35" i="38"/>
  <c r="D35" i="38"/>
  <c r="C35" i="38"/>
  <c r="G17" i="38"/>
  <c r="F17" i="38"/>
  <c r="E17" i="38"/>
  <c r="D17" i="38"/>
  <c r="C17" i="38"/>
  <c r="G9" i="38"/>
  <c r="F9" i="38"/>
  <c r="E9" i="38"/>
  <c r="D9" i="38"/>
  <c r="C9" i="38"/>
  <c r="C2" i="38"/>
  <c r="H35" i="12"/>
  <c r="G45" i="12"/>
  <c r="F45" i="12"/>
  <c r="E45" i="12"/>
  <c r="D45" i="12"/>
  <c r="C45" i="12"/>
  <c r="G37" i="12"/>
  <c r="F37" i="12"/>
  <c r="E37" i="12"/>
  <c r="D37" i="12"/>
  <c r="C37" i="12"/>
  <c r="G45" i="11"/>
  <c r="F45" i="11"/>
  <c r="E45" i="11"/>
  <c r="D45" i="11"/>
  <c r="C45" i="11"/>
  <c r="G37" i="11"/>
  <c r="F37" i="11"/>
  <c r="E37" i="11"/>
  <c r="D37" i="11"/>
  <c r="C37" i="11"/>
  <c r="H7" i="10"/>
  <c r="H60" i="10" s="1"/>
  <c r="J38" i="2"/>
  <c r="J40" i="2" s="1"/>
  <c r="N38" i="2"/>
  <c r="N40" i="2" s="1"/>
  <c r="R38" i="2"/>
  <c r="R40" i="2" s="1"/>
  <c r="V38" i="2"/>
  <c r="V40" i="2" s="1"/>
  <c r="Z38" i="2"/>
  <c r="Z40" i="2" s="1"/>
  <c r="H34" i="10"/>
  <c r="G44" i="10"/>
  <c r="F44" i="10"/>
  <c r="E44" i="10"/>
  <c r="D44" i="10"/>
  <c r="C44" i="10"/>
  <c r="G36" i="10"/>
  <c r="F36" i="10"/>
  <c r="E36" i="10"/>
  <c r="D36" i="10"/>
  <c r="C36" i="10"/>
  <c r="H33" i="9"/>
  <c r="J34" i="9" s="1"/>
  <c r="J35" i="9" s="1"/>
  <c r="G43" i="9"/>
  <c r="F43" i="9"/>
  <c r="E43" i="9"/>
  <c r="D43" i="9"/>
  <c r="C43" i="9"/>
  <c r="G35" i="9"/>
  <c r="F35" i="9"/>
  <c r="E35" i="9"/>
  <c r="D35" i="9"/>
  <c r="C35" i="9"/>
  <c r="H7" i="9"/>
  <c r="H33" i="8"/>
  <c r="H7" i="8"/>
  <c r="H58" i="8" s="1"/>
  <c r="H7" i="7"/>
  <c r="H59" i="7" s="1"/>
  <c r="G43" i="8"/>
  <c r="F43" i="8"/>
  <c r="E43" i="8"/>
  <c r="D43" i="8"/>
  <c r="C43" i="8"/>
  <c r="G35" i="8"/>
  <c r="F35" i="8"/>
  <c r="E35" i="8"/>
  <c r="D35" i="8"/>
  <c r="C35" i="8"/>
  <c r="H34" i="7"/>
  <c r="G44" i="7"/>
  <c r="F44" i="7"/>
  <c r="E44" i="7"/>
  <c r="D44" i="7"/>
  <c r="C44" i="7"/>
  <c r="G36" i="7"/>
  <c r="F36" i="7"/>
  <c r="E36" i="7"/>
  <c r="D36" i="7"/>
  <c r="C36" i="7"/>
  <c r="H34" i="6"/>
  <c r="H7" i="6"/>
  <c r="H60" i="6" s="1"/>
  <c r="G44" i="6"/>
  <c r="F44" i="6"/>
  <c r="E44" i="6"/>
  <c r="D44" i="6"/>
  <c r="C44" i="6"/>
  <c r="G36" i="6"/>
  <c r="F36" i="6"/>
  <c r="E36" i="6"/>
  <c r="D36" i="6"/>
  <c r="C36" i="6"/>
  <c r="H33" i="4"/>
  <c r="H7" i="4"/>
  <c r="G43" i="4"/>
  <c r="F43" i="4"/>
  <c r="E43" i="4"/>
  <c r="D43" i="4"/>
  <c r="C43" i="4"/>
  <c r="G35" i="4"/>
  <c r="F35" i="4"/>
  <c r="E35" i="4"/>
  <c r="D35" i="4"/>
  <c r="C35" i="4"/>
  <c r="H66" i="2"/>
  <c r="K38" i="2"/>
  <c r="K40" i="2" s="1"/>
  <c r="C48" i="2"/>
  <c r="G40" i="2"/>
  <c r="F40" i="2"/>
  <c r="E40" i="2"/>
  <c r="D40" i="2"/>
  <c r="C40" i="2"/>
  <c r="G39" i="2"/>
  <c r="F39" i="2"/>
  <c r="E39" i="2"/>
  <c r="D39" i="2"/>
  <c r="C39" i="2"/>
  <c r="J35" i="7" l="1"/>
  <c r="J36" i="7" s="1"/>
  <c r="H82" i="7"/>
  <c r="J35" i="10"/>
  <c r="J36" i="10" s="1"/>
  <c r="H83" i="10"/>
  <c r="I35" i="6"/>
  <c r="I36" i="6" s="1"/>
  <c r="H83" i="6"/>
  <c r="Z60" i="7"/>
  <c r="M60" i="7"/>
  <c r="R60" i="7"/>
  <c r="Y60" i="7"/>
  <c r="N60" i="7"/>
  <c r="J60" i="7"/>
  <c r="Q60" i="7"/>
  <c r="U60" i="7"/>
  <c r="T60" i="7"/>
  <c r="H60" i="7"/>
  <c r="I60" i="7"/>
  <c r="X60" i="7"/>
  <c r="V60" i="7"/>
  <c r="L60" i="7"/>
  <c r="P60" i="7"/>
  <c r="AA60" i="7"/>
  <c r="W60" i="7"/>
  <c r="K60" i="7"/>
  <c r="S60" i="7"/>
  <c r="O60" i="7"/>
  <c r="K61" i="10"/>
  <c r="S61" i="10"/>
  <c r="AA61" i="10"/>
  <c r="M61" i="10"/>
  <c r="U61" i="10"/>
  <c r="N61" i="10"/>
  <c r="V61" i="10"/>
  <c r="O61" i="10"/>
  <c r="W61" i="10"/>
  <c r="T61" i="10"/>
  <c r="P61" i="10"/>
  <c r="X61" i="10"/>
  <c r="I61" i="10"/>
  <c r="Q61" i="10"/>
  <c r="Y61" i="10"/>
  <c r="L61" i="10"/>
  <c r="H61" i="10"/>
  <c r="J61" i="10"/>
  <c r="R61" i="10"/>
  <c r="Z61" i="10"/>
  <c r="L61" i="6"/>
  <c r="T61" i="6"/>
  <c r="N61" i="6"/>
  <c r="V61" i="6"/>
  <c r="O61" i="6"/>
  <c r="W61" i="6"/>
  <c r="H61" i="6"/>
  <c r="P61" i="6"/>
  <c r="X61" i="6"/>
  <c r="M61" i="6"/>
  <c r="I61" i="6"/>
  <c r="Q61" i="6"/>
  <c r="Y61" i="6"/>
  <c r="U61" i="6"/>
  <c r="J61" i="6"/>
  <c r="R61" i="6"/>
  <c r="Z61" i="6"/>
  <c r="K61" i="6"/>
  <c r="S61" i="6"/>
  <c r="AA61" i="6"/>
  <c r="I8" i="4"/>
  <c r="H59" i="4"/>
  <c r="K34" i="4"/>
  <c r="K35" i="4" s="1"/>
  <c r="H82" i="4"/>
  <c r="J34" i="8"/>
  <c r="J35" i="8" s="1"/>
  <c r="H81" i="8"/>
  <c r="I36" i="11"/>
  <c r="I37" i="11" s="1"/>
  <c r="X34" i="38"/>
  <c r="X35" i="38" s="1"/>
  <c r="N59" i="8"/>
  <c r="V59" i="8"/>
  <c r="P59" i="8"/>
  <c r="X59" i="8"/>
  <c r="I59" i="8"/>
  <c r="Q59" i="8"/>
  <c r="J59" i="8"/>
  <c r="R59" i="8"/>
  <c r="Z59" i="8"/>
  <c r="L59" i="8"/>
  <c r="T59" i="8"/>
  <c r="M59" i="8"/>
  <c r="U59" i="8"/>
  <c r="W59" i="8"/>
  <c r="Y59" i="8"/>
  <c r="K59" i="8"/>
  <c r="S59" i="8"/>
  <c r="AA59" i="8"/>
  <c r="H59" i="8"/>
  <c r="O59" i="8"/>
  <c r="T34" i="38"/>
  <c r="T35" i="38" s="1"/>
  <c r="L36" i="12"/>
  <c r="L37" i="12" s="1"/>
  <c r="H84" i="12"/>
  <c r="L36" i="11"/>
  <c r="L37" i="11" s="1"/>
  <c r="H83" i="11"/>
  <c r="Z8" i="38"/>
  <c r="Z9" i="38" s="1"/>
  <c r="H34" i="38"/>
  <c r="H35" i="38" s="1"/>
  <c r="L61" i="11"/>
  <c r="P61" i="11"/>
  <c r="T61" i="11"/>
  <c r="X61" i="11"/>
  <c r="H61" i="11"/>
  <c r="N61" i="11"/>
  <c r="V61" i="11"/>
  <c r="I61" i="11"/>
  <c r="M61" i="11"/>
  <c r="Q61" i="11"/>
  <c r="U61" i="11"/>
  <c r="Y61" i="11"/>
  <c r="J61" i="11"/>
  <c r="R61" i="11"/>
  <c r="Z61" i="11"/>
  <c r="S61" i="11"/>
  <c r="W61" i="11"/>
  <c r="AA61" i="11"/>
  <c r="O61" i="11"/>
  <c r="K61" i="11"/>
  <c r="L34" i="38"/>
  <c r="R34" i="4"/>
  <c r="R35" i="4" s="1"/>
  <c r="U34" i="8"/>
  <c r="U35" i="8" s="1"/>
  <c r="Y34" i="9"/>
  <c r="Y35" i="9" s="1"/>
  <c r="I34" i="9"/>
  <c r="I35" i="9" s="1"/>
  <c r="M35" i="10"/>
  <c r="M36" i="10" s="1"/>
  <c r="Q36" i="11"/>
  <c r="Q37" i="11" s="1"/>
  <c r="N34" i="4"/>
  <c r="N35" i="4" s="1"/>
  <c r="Q34" i="8"/>
  <c r="Q35" i="8" s="1"/>
  <c r="U34" i="9"/>
  <c r="U35" i="9" s="1"/>
  <c r="Y35" i="10"/>
  <c r="Y36" i="10" s="1"/>
  <c r="I35" i="10"/>
  <c r="I36" i="10" s="1"/>
  <c r="M36" i="11"/>
  <c r="M37" i="11" s="1"/>
  <c r="Z34" i="4"/>
  <c r="Z35" i="4" s="1"/>
  <c r="J34" i="4"/>
  <c r="J35" i="4" s="1"/>
  <c r="M34" i="8"/>
  <c r="M35" i="8" s="1"/>
  <c r="Q34" i="9"/>
  <c r="Q35" i="9" s="1"/>
  <c r="U35" i="10"/>
  <c r="U36" i="10" s="1"/>
  <c r="V34" i="4"/>
  <c r="V35" i="4" s="1"/>
  <c r="Y34" i="8"/>
  <c r="Y35" i="8" s="1"/>
  <c r="I34" i="8"/>
  <c r="I35" i="8" s="1"/>
  <c r="M34" i="9"/>
  <c r="M35" i="9" s="1"/>
  <c r="Q35" i="10"/>
  <c r="Q36" i="10" s="1"/>
  <c r="P34" i="38"/>
  <c r="P35" i="38" s="1"/>
  <c r="U36" i="11"/>
  <c r="U37" i="11" s="1"/>
  <c r="T35" i="6"/>
  <c r="T36" i="6" s="1"/>
  <c r="P35" i="6"/>
  <c r="P36" i="6" s="1"/>
  <c r="Y35" i="7"/>
  <c r="Y36" i="7" s="1"/>
  <c r="M35" i="7"/>
  <c r="M36" i="7" s="1"/>
  <c r="Y34" i="4"/>
  <c r="Y35" i="4" s="1"/>
  <c r="U34" i="4"/>
  <c r="U35" i="4" s="1"/>
  <c r="Q34" i="4"/>
  <c r="Q35" i="4" s="1"/>
  <c r="M34" i="4"/>
  <c r="M35" i="4" s="1"/>
  <c r="I34" i="4"/>
  <c r="I35" i="4" s="1"/>
  <c r="AA35" i="6"/>
  <c r="AA36" i="6" s="1"/>
  <c r="W35" i="6"/>
  <c r="W36" i="6" s="1"/>
  <c r="S35" i="6"/>
  <c r="S36" i="6" s="1"/>
  <c r="O35" i="6"/>
  <c r="O36" i="6" s="1"/>
  <c r="K35" i="6"/>
  <c r="K36" i="6" s="1"/>
  <c r="X35" i="7"/>
  <c r="X36" i="7" s="1"/>
  <c r="T35" i="7"/>
  <c r="T36" i="7" s="1"/>
  <c r="P35" i="7"/>
  <c r="P36" i="7" s="1"/>
  <c r="L35" i="7"/>
  <c r="L36" i="7" s="1"/>
  <c r="H34" i="8"/>
  <c r="H35" i="8" s="1"/>
  <c r="X34" i="8"/>
  <c r="X35" i="8" s="1"/>
  <c r="T34" i="8"/>
  <c r="T35" i="8" s="1"/>
  <c r="P34" i="8"/>
  <c r="P35" i="8" s="1"/>
  <c r="L34" i="8"/>
  <c r="L35" i="8" s="1"/>
  <c r="H34" i="9"/>
  <c r="H35" i="9" s="1"/>
  <c r="X34" i="9"/>
  <c r="X35" i="9" s="1"/>
  <c r="T34" i="9"/>
  <c r="T35" i="9" s="1"/>
  <c r="P34" i="9"/>
  <c r="P35" i="9" s="1"/>
  <c r="L34" i="9"/>
  <c r="L35" i="9" s="1"/>
  <c r="H35" i="10"/>
  <c r="H36" i="10" s="1"/>
  <c r="X35" i="10"/>
  <c r="X36" i="10" s="1"/>
  <c r="T35" i="10"/>
  <c r="T36" i="10" s="1"/>
  <c r="P35" i="10"/>
  <c r="P36" i="10" s="1"/>
  <c r="L35" i="10"/>
  <c r="L36" i="10" s="1"/>
  <c r="W36" i="12"/>
  <c r="W37" i="12" s="1"/>
  <c r="O36" i="12"/>
  <c r="O37" i="12" s="1"/>
  <c r="H35" i="7"/>
  <c r="Z34" i="38"/>
  <c r="Z35" i="38" s="1"/>
  <c r="V34" i="38"/>
  <c r="V35" i="38" s="1"/>
  <c r="R34" i="38"/>
  <c r="R35" i="38" s="1"/>
  <c r="N34" i="38"/>
  <c r="N35" i="38" s="1"/>
  <c r="J34" i="38"/>
  <c r="J35" i="38" s="1"/>
  <c r="AA36" i="11"/>
  <c r="AA37" i="11" s="1"/>
  <c r="W36" i="11"/>
  <c r="W37" i="11" s="1"/>
  <c r="S36" i="11"/>
  <c r="S37" i="11" s="1"/>
  <c r="O36" i="11"/>
  <c r="O37" i="11" s="1"/>
  <c r="K36" i="11"/>
  <c r="K37" i="11" s="1"/>
  <c r="H35" i="6"/>
  <c r="H36" i="6" s="1"/>
  <c r="Q35" i="7"/>
  <c r="Q36" i="7" s="1"/>
  <c r="X34" i="4"/>
  <c r="X35" i="4" s="1"/>
  <c r="T34" i="4"/>
  <c r="T35" i="4" s="1"/>
  <c r="P34" i="4"/>
  <c r="P35" i="4" s="1"/>
  <c r="L34" i="4"/>
  <c r="L35" i="4" s="1"/>
  <c r="AA34" i="4"/>
  <c r="AA35" i="4" s="1"/>
  <c r="Z35" i="6"/>
  <c r="Z36" i="6" s="1"/>
  <c r="V35" i="6"/>
  <c r="V36" i="6" s="1"/>
  <c r="R35" i="6"/>
  <c r="R36" i="6" s="1"/>
  <c r="N35" i="6"/>
  <c r="N36" i="6" s="1"/>
  <c r="J35" i="6"/>
  <c r="J36" i="6" s="1"/>
  <c r="AA35" i="7"/>
  <c r="AA36" i="7" s="1"/>
  <c r="W35" i="7"/>
  <c r="W36" i="7" s="1"/>
  <c r="S35" i="7"/>
  <c r="S36" i="7" s="1"/>
  <c r="O35" i="7"/>
  <c r="O36" i="7" s="1"/>
  <c r="K35" i="7"/>
  <c r="K36" i="7" s="1"/>
  <c r="AA34" i="8"/>
  <c r="AA35" i="8" s="1"/>
  <c r="W34" i="8"/>
  <c r="W35" i="8" s="1"/>
  <c r="S34" i="8"/>
  <c r="S35" i="8" s="1"/>
  <c r="O34" i="8"/>
  <c r="O35" i="8" s="1"/>
  <c r="K34" i="8"/>
  <c r="K35" i="8" s="1"/>
  <c r="AA34" i="9"/>
  <c r="AA35" i="9" s="1"/>
  <c r="W34" i="9"/>
  <c r="W35" i="9" s="1"/>
  <c r="S34" i="9"/>
  <c r="S35" i="9" s="1"/>
  <c r="O34" i="9"/>
  <c r="O35" i="9" s="1"/>
  <c r="K34" i="9"/>
  <c r="K35" i="9" s="1"/>
  <c r="AA35" i="10"/>
  <c r="AA36" i="10" s="1"/>
  <c r="W35" i="10"/>
  <c r="W36" i="10" s="1"/>
  <c r="S35" i="10"/>
  <c r="S36" i="10" s="1"/>
  <c r="O35" i="10"/>
  <c r="O36" i="10" s="1"/>
  <c r="K35" i="10"/>
  <c r="K36" i="10" s="1"/>
  <c r="V36" i="12"/>
  <c r="V37" i="12" s="1"/>
  <c r="N36" i="12"/>
  <c r="N37" i="12" s="1"/>
  <c r="Y34" i="38"/>
  <c r="Y35" i="38" s="1"/>
  <c r="U34" i="38"/>
  <c r="U35" i="38" s="1"/>
  <c r="Q34" i="38"/>
  <c r="Q35" i="38" s="1"/>
  <c r="M34" i="38"/>
  <c r="M35" i="38" s="1"/>
  <c r="I34" i="38"/>
  <c r="I35" i="38" s="1"/>
  <c r="Z36" i="11"/>
  <c r="Z37" i="11" s="1"/>
  <c r="V36" i="11"/>
  <c r="V37" i="11" s="1"/>
  <c r="R36" i="11"/>
  <c r="R37" i="11" s="1"/>
  <c r="N36" i="11"/>
  <c r="N37" i="11" s="1"/>
  <c r="J36" i="11"/>
  <c r="J37" i="11" s="1"/>
  <c r="X35" i="6"/>
  <c r="X36" i="6" s="1"/>
  <c r="L35" i="6"/>
  <c r="L36" i="6" s="1"/>
  <c r="U35" i="7"/>
  <c r="U36" i="7" s="1"/>
  <c r="I35" i="7"/>
  <c r="I36" i="7" s="1"/>
  <c r="H34" i="4"/>
  <c r="H35" i="4" s="1"/>
  <c r="W34" i="4"/>
  <c r="W35" i="4" s="1"/>
  <c r="S34" i="4"/>
  <c r="S35" i="4" s="1"/>
  <c r="O34" i="4"/>
  <c r="O35" i="4" s="1"/>
  <c r="Y35" i="6"/>
  <c r="Y36" i="6" s="1"/>
  <c r="U35" i="6"/>
  <c r="U36" i="6" s="1"/>
  <c r="Q35" i="6"/>
  <c r="Q36" i="6" s="1"/>
  <c r="M35" i="6"/>
  <c r="M36" i="6" s="1"/>
  <c r="Z35" i="7"/>
  <c r="Z36" i="7" s="1"/>
  <c r="V35" i="7"/>
  <c r="V36" i="7" s="1"/>
  <c r="R35" i="7"/>
  <c r="R36" i="7" s="1"/>
  <c r="N35" i="7"/>
  <c r="N36" i="7" s="1"/>
  <c r="Z34" i="8"/>
  <c r="Z35" i="8" s="1"/>
  <c r="V34" i="8"/>
  <c r="V35" i="8" s="1"/>
  <c r="R34" i="8"/>
  <c r="R35" i="8" s="1"/>
  <c r="N34" i="8"/>
  <c r="N35" i="8" s="1"/>
  <c r="Z34" i="9"/>
  <c r="Z35" i="9" s="1"/>
  <c r="V34" i="9"/>
  <c r="V35" i="9" s="1"/>
  <c r="R34" i="9"/>
  <c r="R35" i="9" s="1"/>
  <c r="N34" i="9"/>
  <c r="N35" i="9" s="1"/>
  <c r="Z35" i="10"/>
  <c r="Z36" i="10" s="1"/>
  <c r="V35" i="10"/>
  <c r="V36" i="10" s="1"/>
  <c r="R35" i="10"/>
  <c r="R36" i="10" s="1"/>
  <c r="N35" i="10"/>
  <c r="N36" i="10" s="1"/>
  <c r="AA36" i="12"/>
  <c r="AA37" i="12" s="1"/>
  <c r="S36" i="12"/>
  <c r="S37" i="12" s="1"/>
  <c r="K36" i="12"/>
  <c r="K37" i="12" s="1"/>
  <c r="Z36" i="12"/>
  <c r="Z37" i="12" s="1"/>
  <c r="R36" i="12"/>
  <c r="R37" i="12" s="1"/>
  <c r="J36" i="12"/>
  <c r="J37" i="12" s="1"/>
  <c r="AA34" i="38"/>
  <c r="AA35" i="38" s="1"/>
  <c r="W34" i="38"/>
  <c r="W35" i="38" s="1"/>
  <c r="S34" i="38"/>
  <c r="S35" i="38" s="1"/>
  <c r="O34" i="38"/>
  <c r="H36" i="11"/>
  <c r="H37" i="11" s="1"/>
  <c r="X36" i="11"/>
  <c r="X37" i="11" s="1"/>
  <c r="T36" i="11"/>
  <c r="T37" i="11" s="1"/>
  <c r="P36" i="11"/>
  <c r="P37" i="11" s="1"/>
  <c r="L67" i="2"/>
  <c r="P67" i="2"/>
  <c r="T67" i="2"/>
  <c r="X67" i="2"/>
  <c r="N67" i="2"/>
  <c r="V67" i="2"/>
  <c r="O67" i="2"/>
  <c r="W67" i="2"/>
  <c r="H67" i="2"/>
  <c r="I67" i="2"/>
  <c r="M67" i="2"/>
  <c r="Q67" i="2"/>
  <c r="U67" i="2"/>
  <c r="Y67" i="2"/>
  <c r="J67" i="2"/>
  <c r="R67" i="2"/>
  <c r="Z67" i="2"/>
  <c r="K67" i="2"/>
  <c r="S67" i="2"/>
  <c r="AA67" i="2"/>
  <c r="I8" i="2"/>
  <c r="Y38" i="2"/>
  <c r="Y40" i="2" s="1"/>
  <c r="U38" i="2"/>
  <c r="U39" i="2" s="1"/>
  <c r="Q38" i="2"/>
  <c r="Q40" i="2" s="1"/>
  <c r="M38" i="2"/>
  <c r="M40" i="2" s="1"/>
  <c r="I38" i="2"/>
  <c r="I40" i="2" s="1"/>
  <c r="H38" i="2"/>
  <c r="H39" i="2" s="1"/>
  <c r="X38" i="2"/>
  <c r="X39" i="2" s="1"/>
  <c r="T38" i="2"/>
  <c r="T39" i="2" s="1"/>
  <c r="P38" i="2"/>
  <c r="P39" i="2" s="1"/>
  <c r="L38" i="2"/>
  <c r="L39" i="2" s="1"/>
  <c r="AA38" i="2"/>
  <c r="AA40" i="2" s="1"/>
  <c r="W38" i="2"/>
  <c r="W40" i="2" s="1"/>
  <c r="S38" i="2"/>
  <c r="S40" i="2" s="1"/>
  <c r="O38" i="2"/>
  <c r="O40" i="2" s="1"/>
  <c r="K8" i="38"/>
  <c r="K9" i="38" s="1"/>
  <c r="S8" i="38"/>
  <c r="S9" i="38" s="1"/>
  <c r="AA8" i="38"/>
  <c r="AA9" i="38" s="1"/>
  <c r="O8" i="38"/>
  <c r="O9" i="38" s="1"/>
  <c r="W8" i="38"/>
  <c r="W9" i="38" s="1"/>
  <c r="H9" i="38"/>
  <c r="L8" i="38"/>
  <c r="L9" i="38" s="1"/>
  <c r="P8" i="38"/>
  <c r="P9" i="38" s="1"/>
  <c r="T8" i="38"/>
  <c r="T9" i="38" s="1"/>
  <c r="X8" i="38"/>
  <c r="X9" i="38" s="1"/>
  <c r="I8" i="38"/>
  <c r="I9" i="38" s="1"/>
  <c r="M8" i="38"/>
  <c r="M9" i="38" s="1"/>
  <c r="Q8" i="38"/>
  <c r="Q9" i="38" s="1"/>
  <c r="U8" i="38"/>
  <c r="U9" i="38" s="1"/>
  <c r="Y8" i="38"/>
  <c r="Y9" i="38" s="1"/>
  <c r="K35" i="38"/>
  <c r="O35" i="38"/>
  <c r="J8" i="38"/>
  <c r="J9" i="38" s="1"/>
  <c r="N8" i="38"/>
  <c r="N9" i="38" s="1"/>
  <c r="R8" i="38"/>
  <c r="R9" i="38" s="1"/>
  <c r="V8" i="38"/>
  <c r="V9" i="38" s="1"/>
  <c r="L35" i="38"/>
  <c r="Y36" i="12"/>
  <c r="Y37" i="12" s="1"/>
  <c r="U36" i="12"/>
  <c r="U37" i="12" s="1"/>
  <c r="Q36" i="12"/>
  <c r="Q37" i="12" s="1"/>
  <c r="M36" i="12"/>
  <c r="M37" i="12" s="1"/>
  <c r="I36" i="12"/>
  <c r="I37" i="12" s="1"/>
  <c r="H36" i="12"/>
  <c r="H37" i="12" s="1"/>
  <c r="X36" i="12"/>
  <c r="X37" i="12" s="1"/>
  <c r="T36" i="12"/>
  <c r="T37" i="12" s="1"/>
  <c r="P36" i="12"/>
  <c r="P37" i="12" s="1"/>
  <c r="J39" i="2"/>
  <c r="N39" i="2"/>
  <c r="R39" i="2"/>
  <c r="V39" i="2"/>
  <c r="Z39" i="2"/>
  <c r="K39" i="2"/>
  <c r="H8" i="2"/>
  <c r="H10" i="2" s="1"/>
  <c r="S84" i="6" l="1"/>
  <c r="L84" i="6"/>
  <c r="T84" i="6"/>
  <c r="M84" i="6"/>
  <c r="U84" i="6"/>
  <c r="W84" i="6"/>
  <c r="P84" i="6"/>
  <c r="N84" i="6"/>
  <c r="V84" i="6"/>
  <c r="O84" i="6"/>
  <c r="H84" i="6"/>
  <c r="X84" i="6"/>
  <c r="I84" i="6"/>
  <c r="Q84" i="6"/>
  <c r="Y84" i="6"/>
  <c r="J84" i="6"/>
  <c r="R84" i="6"/>
  <c r="Z84" i="6"/>
  <c r="K84" i="6"/>
  <c r="AA84" i="6"/>
  <c r="M84" i="10"/>
  <c r="U84" i="10"/>
  <c r="N84" i="10"/>
  <c r="V84" i="10"/>
  <c r="O84" i="10"/>
  <c r="W84" i="10"/>
  <c r="I84" i="10"/>
  <c r="Y84" i="10"/>
  <c r="J84" i="10"/>
  <c r="Z84" i="10"/>
  <c r="P84" i="10"/>
  <c r="X84" i="10"/>
  <c r="Q84" i="10"/>
  <c r="R84" i="10"/>
  <c r="K84" i="10"/>
  <c r="S84" i="10"/>
  <c r="AA84" i="10"/>
  <c r="L84" i="10"/>
  <c r="T84" i="10"/>
  <c r="H84" i="10"/>
  <c r="O83" i="7"/>
  <c r="X83" i="7"/>
  <c r="I83" i="7"/>
  <c r="Q83" i="7"/>
  <c r="Y83" i="7"/>
  <c r="J83" i="7"/>
  <c r="R83" i="7"/>
  <c r="Z83" i="7"/>
  <c r="L83" i="7"/>
  <c r="H83" i="7"/>
  <c r="M83" i="7"/>
  <c r="K83" i="7"/>
  <c r="S83" i="7"/>
  <c r="AA83" i="7"/>
  <c r="T83" i="7"/>
  <c r="U83" i="7"/>
  <c r="N83" i="7"/>
  <c r="V83" i="7"/>
  <c r="W83" i="7"/>
  <c r="P83" i="7"/>
  <c r="R63" i="6"/>
  <c r="R62" i="6"/>
  <c r="P63" i="6"/>
  <c r="P62" i="6"/>
  <c r="Z63" i="10"/>
  <c r="Z62" i="10"/>
  <c r="X63" i="10"/>
  <c r="X62" i="10"/>
  <c r="M62" i="10"/>
  <c r="M63" i="10"/>
  <c r="J63" i="6"/>
  <c r="J62" i="6"/>
  <c r="R63" i="10"/>
  <c r="R62" i="10"/>
  <c r="AA63" i="10"/>
  <c r="AA62" i="10"/>
  <c r="U63" i="6"/>
  <c r="U62" i="6"/>
  <c r="W62" i="6"/>
  <c r="W63" i="6"/>
  <c r="J63" i="10"/>
  <c r="J62" i="10"/>
  <c r="T62" i="10"/>
  <c r="T63" i="10"/>
  <c r="S63" i="10"/>
  <c r="S62" i="10"/>
  <c r="H63" i="6"/>
  <c r="H62" i="6"/>
  <c r="P63" i="10"/>
  <c r="P62" i="10"/>
  <c r="Y63" i="6"/>
  <c r="Y62" i="6"/>
  <c r="O62" i="6"/>
  <c r="O63" i="6"/>
  <c r="H63" i="10"/>
  <c r="H62" i="10"/>
  <c r="W63" i="10"/>
  <c r="W62" i="10"/>
  <c r="K63" i="10"/>
  <c r="K62" i="10"/>
  <c r="AA62" i="6"/>
  <c r="AA63" i="6"/>
  <c r="Q62" i="6"/>
  <c r="Q63" i="6"/>
  <c r="V63" i="6"/>
  <c r="V62" i="6"/>
  <c r="L62" i="10"/>
  <c r="L63" i="10"/>
  <c r="O63" i="10"/>
  <c r="O62" i="10"/>
  <c r="S62" i="6"/>
  <c r="S63" i="6"/>
  <c r="I62" i="6"/>
  <c r="I63" i="6"/>
  <c r="N63" i="6"/>
  <c r="N62" i="6"/>
  <c r="Y62" i="10"/>
  <c r="Y63" i="10"/>
  <c r="V62" i="10"/>
  <c r="V63" i="10"/>
  <c r="K62" i="6"/>
  <c r="K63" i="6"/>
  <c r="M62" i="6"/>
  <c r="M63" i="6"/>
  <c r="T62" i="6"/>
  <c r="T63" i="6"/>
  <c r="Q62" i="10"/>
  <c r="Q63" i="10"/>
  <c r="N63" i="10"/>
  <c r="N62" i="10"/>
  <c r="Z63" i="6"/>
  <c r="Z62" i="6"/>
  <c r="X63" i="6"/>
  <c r="X62" i="6"/>
  <c r="L62" i="6"/>
  <c r="L63" i="6"/>
  <c r="I62" i="10"/>
  <c r="I63" i="10"/>
  <c r="U62" i="10"/>
  <c r="U63" i="10"/>
  <c r="L83" i="4"/>
  <c r="T83" i="4"/>
  <c r="H83" i="4"/>
  <c r="M83" i="4"/>
  <c r="U83" i="4"/>
  <c r="S83" i="4"/>
  <c r="N83" i="4"/>
  <c r="V83" i="4"/>
  <c r="O83" i="4"/>
  <c r="W83" i="4"/>
  <c r="AA83" i="4"/>
  <c r="P83" i="4"/>
  <c r="X83" i="4"/>
  <c r="I83" i="4"/>
  <c r="Q83" i="4"/>
  <c r="Y83" i="4"/>
  <c r="J83" i="4"/>
  <c r="R83" i="4"/>
  <c r="Z83" i="4"/>
  <c r="K83" i="4"/>
  <c r="N60" i="4"/>
  <c r="V60" i="4"/>
  <c r="O60" i="4"/>
  <c r="W60" i="4"/>
  <c r="L60" i="4"/>
  <c r="H60" i="4"/>
  <c r="U60" i="4"/>
  <c r="P60" i="4"/>
  <c r="X60" i="4"/>
  <c r="I60" i="4"/>
  <c r="Q60" i="4"/>
  <c r="Y60" i="4"/>
  <c r="J60" i="4"/>
  <c r="R60" i="4"/>
  <c r="Z60" i="4"/>
  <c r="K60" i="4"/>
  <c r="S60" i="4"/>
  <c r="AA60" i="4"/>
  <c r="T60" i="4"/>
  <c r="M60" i="4"/>
  <c r="W39" i="2"/>
  <c r="Q39" i="2"/>
  <c r="AA39" i="2"/>
  <c r="C36" i="8"/>
  <c r="C37" i="10"/>
  <c r="L82" i="8"/>
  <c r="T82" i="8"/>
  <c r="H82" i="8"/>
  <c r="M82" i="8"/>
  <c r="U82" i="8"/>
  <c r="R82" i="8"/>
  <c r="N82" i="8"/>
  <c r="V82" i="8"/>
  <c r="Z82" i="8"/>
  <c r="S82" i="8"/>
  <c r="O82" i="8"/>
  <c r="W82" i="8"/>
  <c r="J82" i="8"/>
  <c r="AA82" i="8"/>
  <c r="P82" i="8"/>
  <c r="X82" i="8"/>
  <c r="K82" i="8"/>
  <c r="I82" i="8"/>
  <c r="Q82" i="8"/>
  <c r="Y82" i="8"/>
  <c r="Y60" i="8"/>
  <c r="Y61" i="8"/>
  <c r="J61" i="8"/>
  <c r="J60" i="8"/>
  <c r="W60" i="8"/>
  <c r="W61" i="8"/>
  <c r="Q60" i="8"/>
  <c r="Q61" i="8"/>
  <c r="R60" i="8"/>
  <c r="R61" i="8"/>
  <c r="U60" i="8"/>
  <c r="U61" i="8"/>
  <c r="I60" i="8"/>
  <c r="I61" i="8"/>
  <c r="O60" i="8"/>
  <c r="O61" i="8"/>
  <c r="M60" i="8"/>
  <c r="M61" i="8"/>
  <c r="X61" i="8"/>
  <c r="X60" i="8"/>
  <c r="K61" i="8"/>
  <c r="K60" i="8"/>
  <c r="H61" i="8"/>
  <c r="H60" i="8"/>
  <c r="T61" i="8"/>
  <c r="T60" i="8"/>
  <c r="P61" i="8"/>
  <c r="P60" i="8"/>
  <c r="AA61" i="8"/>
  <c r="AA60" i="8"/>
  <c r="L61" i="8"/>
  <c r="L60" i="8"/>
  <c r="V61" i="8"/>
  <c r="V60" i="8"/>
  <c r="S61" i="8"/>
  <c r="S60" i="8"/>
  <c r="Z61" i="8"/>
  <c r="Z60" i="8"/>
  <c r="N60" i="8"/>
  <c r="N61" i="8"/>
  <c r="S39" i="2"/>
  <c r="M39" i="2"/>
  <c r="P40" i="2"/>
  <c r="I39" i="2"/>
  <c r="T40" i="2"/>
  <c r="AA62" i="11"/>
  <c r="AA63" i="11"/>
  <c r="R63" i="11"/>
  <c r="R62" i="11"/>
  <c r="Q63" i="11"/>
  <c r="Q62" i="11"/>
  <c r="N62" i="11"/>
  <c r="N63" i="11"/>
  <c r="P63" i="11"/>
  <c r="P62" i="11"/>
  <c r="J84" i="11"/>
  <c r="N84" i="11"/>
  <c r="R84" i="11"/>
  <c r="V84" i="11"/>
  <c r="Z84" i="11"/>
  <c r="L84" i="11"/>
  <c r="T84" i="11"/>
  <c r="X84" i="11"/>
  <c r="K84" i="11"/>
  <c r="O84" i="11"/>
  <c r="S84" i="11"/>
  <c r="W84" i="11"/>
  <c r="AA84" i="11"/>
  <c r="P84" i="11"/>
  <c r="I84" i="11"/>
  <c r="Y84" i="11"/>
  <c r="M84" i="11"/>
  <c r="Q84" i="11"/>
  <c r="H84" i="11"/>
  <c r="U84" i="11"/>
  <c r="W63" i="11"/>
  <c r="W62" i="11"/>
  <c r="J63" i="11"/>
  <c r="J62" i="11"/>
  <c r="M63" i="11"/>
  <c r="M62" i="11"/>
  <c r="H63" i="11"/>
  <c r="H62" i="11"/>
  <c r="L63" i="11"/>
  <c r="L62" i="11"/>
  <c r="K62" i="11"/>
  <c r="K63" i="11"/>
  <c r="S62" i="11"/>
  <c r="S63" i="11"/>
  <c r="Y62" i="11"/>
  <c r="Y63" i="11"/>
  <c r="I62" i="11"/>
  <c r="I63" i="11"/>
  <c r="X63" i="11"/>
  <c r="X62" i="11"/>
  <c r="Z85" i="12"/>
  <c r="AA85" i="12"/>
  <c r="K85" i="12"/>
  <c r="I85" i="12"/>
  <c r="T85" i="12"/>
  <c r="W85" i="12"/>
  <c r="X85" i="12"/>
  <c r="J85" i="12"/>
  <c r="M85" i="12"/>
  <c r="N85" i="12"/>
  <c r="P85" i="12"/>
  <c r="Q85" i="12"/>
  <c r="S85" i="12"/>
  <c r="R85" i="12"/>
  <c r="U85" i="12"/>
  <c r="V85" i="12"/>
  <c r="H85" i="12"/>
  <c r="Y85" i="12"/>
  <c r="L85" i="12"/>
  <c r="O85" i="12"/>
  <c r="O63" i="11"/>
  <c r="O62" i="11"/>
  <c r="Z63" i="11"/>
  <c r="Z62" i="11"/>
  <c r="U63" i="11"/>
  <c r="U62" i="11"/>
  <c r="V62" i="11"/>
  <c r="V63" i="11"/>
  <c r="T63" i="11"/>
  <c r="T62" i="11"/>
  <c r="C36" i="4"/>
  <c r="C36" i="9"/>
  <c r="L40" i="2"/>
  <c r="U40" i="2"/>
  <c r="H40" i="2"/>
  <c r="AA69" i="2"/>
  <c r="AA68" i="2"/>
  <c r="S92" i="2"/>
  <c r="S91" i="2"/>
  <c r="J68" i="2"/>
  <c r="J69" i="2"/>
  <c r="Y69" i="2"/>
  <c r="Y68" i="2"/>
  <c r="I69" i="2"/>
  <c r="I68" i="2"/>
  <c r="Q91" i="2"/>
  <c r="Q92" i="2"/>
  <c r="O69" i="2"/>
  <c r="O68" i="2"/>
  <c r="N68" i="2"/>
  <c r="N69" i="2"/>
  <c r="T69" i="2"/>
  <c r="T68" i="2"/>
  <c r="N92" i="2"/>
  <c r="N91" i="2"/>
  <c r="Y39" i="2"/>
  <c r="X40" i="2"/>
  <c r="S69" i="2"/>
  <c r="S68" i="2"/>
  <c r="AA92" i="2"/>
  <c r="AA91" i="2"/>
  <c r="H92" i="2"/>
  <c r="U68" i="2"/>
  <c r="U69" i="2"/>
  <c r="H68" i="2"/>
  <c r="H69" i="2"/>
  <c r="U91" i="2"/>
  <c r="U92" i="2"/>
  <c r="O92" i="2"/>
  <c r="O91" i="2"/>
  <c r="L92" i="2"/>
  <c r="L91" i="2"/>
  <c r="P69" i="2"/>
  <c r="P68" i="2"/>
  <c r="R92" i="2"/>
  <c r="R91" i="2"/>
  <c r="K69" i="2"/>
  <c r="K68" i="2"/>
  <c r="Z68" i="2"/>
  <c r="Z69" i="2"/>
  <c r="P92" i="2"/>
  <c r="P91" i="2"/>
  <c r="Q69" i="2"/>
  <c r="Q68" i="2"/>
  <c r="I91" i="2"/>
  <c r="I92" i="2"/>
  <c r="Y91" i="2"/>
  <c r="Y92" i="2"/>
  <c r="W92" i="2"/>
  <c r="W91" i="2"/>
  <c r="T92" i="2"/>
  <c r="T91" i="2"/>
  <c r="L69" i="2"/>
  <c r="L68" i="2"/>
  <c r="V92" i="2"/>
  <c r="V91" i="2"/>
  <c r="O39" i="2"/>
  <c r="K92" i="2"/>
  <c r="K91" i="2"/>
  <c r="R69" i="2"/>
  <c r="R68" i="2"/>
  <c r="X92" i="2"/>
  <c r="X91" i="2"/>
  <c r="M68" i="2"/>
  <c r="M69" i="2"/>
  <c r="M91" i="2"/>
  <c r="M92" i="2"/>
  <c r="W69" i="2"/>
  <c r="W68" i="2"/>
  <c r="V69" i="2"/>
  <c r="V68" i="2"/>
  <c r="X69" i="2"/>
  <c r="X68" i="2"/>
  <c r="J92" i="2"/>
  <c r="J91" i="2"/>
  <c r="Z91" i="2"/>
  <c r="Z92" i="2"/>
  <c r="C38" i="12"/>
  <c r="C37" i="6"/>
  <c r="C38" i="11"/>
  <c r="C36" i="38"/>
  <c r="C10" i="38"/>
  <c r="H9" i="2"/>
  <c r="V85" i="10" l="1"/>
  <c r="V86" i="10"/>
  <c r="T86" i="10"/>
  <c r="T85" i="10"/>
  <c r="P85" i="10"/>
  <c r="P86" i="10"/>
  <c r="N86" i="10"/>
  <c r="N85" i="10"/>
  <c r="Y85" i="6"/>
  <c r="Y86" i="6"/>
  <c r="P85" i="6"/>
  <c r="P86" i="6"/>
  <c r="X85" i="10"/>
  <c r="X86" i="10"/>
  <c r="L86" i="10"/>
  <c r="L85" i="10"/>
  <c r="Z86" i="10"/>
  <c r="Z85" i="10"/>
  <c r="U85" i="10"/>
  <c r="U86" i="10"/>
  <c r="Q85" i="6"/>
  <c r="Q86" i="6"/>
  <c r="W86" i="6"/>
  <c r="W85" i="6"/>
  <c r="J85" i="6"/>
  <c r="J86" i="6"/>
  <c r="AA86" i="10"/>
  <c r="AA85" i="10"/>
  <c r="J86" i="10"/>
  <c r="J85" i="10"/>
  <c r="M86" i="10"/>
  <c r="M85" i="10"/>
  <c r="I85" i="6"/>
  <c r="I86" i="6"/>
  <c r="U86" i="6"/>
  <c r="U85" i="6"/>
  <c r="S86" i="10"/>
  <c r="S85" i="10"/>
  <c r="Y86" i="10"/>
  <c r="Y85" i="10"/>
  <c r="AA86" i="6"/>
  <c r="AA85" i="6"/>
  <c r="X85" i="6"/>
  <c r="X86" i="6"/>
  <c r="M86" i="6"/>
  <c r="M85" i="6"/>
  <c r="H85" i="10"/>
  <c r="H86" i="10"/>
  <c r="K86" i="10"/>
  <c r="K85" i="10"/>
  <c r="I86" i="10"/>
  <c r="I85" i="10"/>
  <c r="K86" i="6"/>
  <c r="K85" i="6"/>
  <c r="H85" i="6"/>
  <c r="H86" i="6"/>
  <c r="T85" i="6"/>
  <c r="T86" i="6"/>
  <c r="N86" i="6"/>
  <c r="N85" i="6"/>
  <c r="R85" i="10"/>
  <c r="R86" i="10"/>
  <c r="W86" i="10"/>
  <c r="W85" i="10"/>
  <c r="Z85" i="6"/>
  <c r="Z86" i="6"/>
  <c r="O86" i="6"/>
  <c r="O85" i="6"/>
  <c r="L85" i="6"/>
  <c r="L86" i="6"/>
  <c r="Q86" i="10"/>
  <c r="Q85" i="10"/>
  <c r="O86" i="10"/>
  <c r="O85" i="10"/>
  <c r="R86" i="6"/>
  <c r="R85" i="6"/>
  <c r="V86" i="6"/>
  <c r="V85" i="6"/>
  <c r="S86" i="6"/>
  <c r="S85" i="6"/>
  <c r="C64" i="6"/>
  <c r="C64" i="10"/>
  <c r="V85" i="4"/>
  <c r="V84" i="4"/>
  <c r="T62" i="4"/>
  <c r="T61" i="4"/>
  <c r="Q62" i="4"/>
  <c r="Q61" i="4"/>
  <c r="O62" i="4"/>
  <c r="O61" i="4"/>
  <c r="Q85" i="4"/>
  <c r="Q84" i="4"/>
  <c r="N84" i="4"/>
  <c r="N85" i="4"/>
  <c r="W61" i="4"/>
  <c r="W62" i="4"/>
  <c r="AA62" i="4"/>
  <c r="AA61" i="4"/>
  <c r="I62" i="4"/>
  <c r="I61" i="4"/>
  <c r="V61" i="4"/>
  <c r="V62" i="4"/>
  <c r="I85" i="4"/>
  <c r="I84" i="4"/>
  <c r="S84" i="4"/>
  <c r="S85" i="4"/>
  <c r="S61" i="4"/>
  <c r="S62" i="4"/>
  <c r="X62" i="4"/>
  <c r="X61" i="4"/>
  <c r="N62" i="4"/>
  <c r="N61" i="4"/>
  <c r="X85" i="4"/>
  <c r="X84" i="4"/>
  <c r="U85" i="4"/>
  <c r="U84" i="4"/>
  <c r="M62" i="4"/>
  <c r="M61" i="4"/>
  <c r="K62" i="4"/>
  <c r="K61" i="4"/>
  <c r="P62" i="4"/>
  <c r="P61" i="4"/>
  <c r="K85" i="4"/>
  <c r="K84" i="4"/>
  <c r="P85" i="4"/>
  <c r="P84" i="4"/>
  <c r="M85" i="4"/>
  <c r="M84" i="4"/>
  <c r="Y85" i="4"/>
  <c r="Y84" i="4"/>
  <c r="Z62" i="4"/>
  <c r="Z61" i="4"/>
  <c r="U62" i="4"/>
  <c r="U61" i="4"/>
  <c r="Z84" i="4"/>
  <c r="Z85" i="4"/>
  <c r="AA84" i="4"/>
  <c r="AA85" i="4"/>
  <c r="H85" i="4"/>
  <c r="H84" i="4"/>
  <c r="Y62" i="4"/>
  <c r="Y61" i="4"/>
  <c r="R62" i="4"/>
  <c r="R61" i="4"/>
  <c r="H62" i="4"/>
  <c r="H61" i="4"/>
  <c r="R85" i="4"/>
  <c r="R84" i="4"/>
  <c r="W84" i="4"/>
  <c r="W85" i="4"/>
  <c r="T85" i="4"/>
  <c r="T84" i="4"/>
  <c r="J62" i="4"/>
  <c r="J61" i="4"/>
  <c r="L62" i="4"/>
  <c r="L61" i="4"/>
  <c r="J84" i="4"/>
  <c r="J85" i="4"/>
  <c r="O84" i="4"/>
  <c r="O85" i="4"/>
  <c r="L85" i="4"/>
  <c r="L84" i="4"/>
  <c r="C63" i="8"/>
  <c r="C41" i="2"/>
  <c r="J84" i="8"/>
  <c r="J83" i="8"/>
  <c r="U83" i="8"/>
  <c r="U84" i="8"/>
  <c r="P84" i="8"/>
  <c r="P83" i="8"/>
  <c r="Y84" i="8"/>
  <c r="Y83" i="8"/>
  <c r="W83" i="8"/>
  <c r="W84" i="8"/>
  <c r="M84" i="8"/>
  <c r="M83" i="8"/>
  <c r="R84" i="8"/>
  <c r="R83" i="8"/>
  <c r="Q83" i="8"/>
  <c r="Q84" i="8"/>
  <c r="O83" i="8"/>
  <c r="O84" i="8"/>
  <c r="H84" i="8"/>
  <c r="H83" i="8"/>
  <c r="I84" i="8"/>
  <c r="I83" i="8"/>
  <c r="S84" i="8"/>
  <c r="S83" i="8"/>
  <c r="T84" i="8"/>
  <c r="T83" i="8"/>
  <c r="N84" i="8"/>
  <c r="N83" i="8"/>
  <c r="K84" i="8"/>
  <c r="K83" i="8"/>
  <c r="Z84" i="8"/>
  <c r="Z83" i="8"/>
  <c r="L84" i="8"/>
  <c r="L83" i="8"/>
  <c r="AA84" i="8"/>
  <c r="AA83" i="8"/>
  <c r="X84" i="8"/>
  <c r="X83" i="8"/>
  <c r="V84" i="8"/>
  <c r="V83" i="8"/>
  <c r="C62" i="8"/>
  <c r="Y87" i="12"/>
  <c r="Y86" i="12"/>
  <c r="R86" i="12"/>
  <c r="R87" i="12"/>
  <c r="N87" i="12"/>
  <c r="N86" i="12"/>
  <c r="W87" i="12"/>
  <c r="W86" i="12"/>
  <c r="AA86" i="12"/>
  <c r="AA87" i="12"/>
  <c r="Q86" i="11"/>
  <c r="Q85" i="11"/>
  <c r="P86" i="11"/>
  <c r="P85" i="11"/>
  <c r="O85" i="11"/>
  <c r="O86" i="11"/>
  <c r="L86" i="11"/>
  <c r="L85" i="11"/>
  <c r="N86" i="11"/>
  <c r="N85" i="11"/>
  <c r="H87" i="12"/>
  <c r="H86" i="12"/>
  <c r="S86" i="12"/>
  <c r="S87" i="12"/>
  <c r="M86" i="12"/>
  <c r="M87" i="12"/>
  <c r="T87" i="12"/>
  <c r="T86" i="12"/>
  <c r="Z87" i="12"/>
  <c r="Z86" i="12"/>
  <c r="M86" i="11"/>
  <c r="M85" i="11"/>
  <c r="AA85" i="11"/>
  <c r="AA86" i="11"/>
  <c r="K86" i="11"/>
  <c r="K85" i="11"/>
  <c r="Z85" i="11"/>
  <c r="Z86" i="11"/>
  <c r="J85" i="11"/>
  <c r="J86" i="11"/>
  <c r="O87" i="12"/>
  <c r="O86" i="12"/>
  <c r="V87" i="12"/>
  <c r="V86" i="12"/>
  <c r="Q87" i="12"/>
  <c r="Q86" i="12"/>
  <c r="J87" i="12"/>
  <c r="J86" i="12"/>
  <c r="I86" i="12"/>
  <c r="I87" i="12"/>
  <c r="C64" i="11"/>
  <c r="C65" i="11"/>
  <c r="U86" i="11"/>
  <c r="U85" i="11"/>
  <c r="Y86" i="11"/>
  <c r="Y85" i="11"/>
  <c r="W85" i="11"/>
  <c r="W86" i="11"/>
  <c r="X86" i="11"/>
  <c r="X85" i="11"/>
  <c r="V86" i="11"/>
  <c r="V85" i="11"/>
  <c r="L86" i="12"/>
  <c r="L87" i="12"/>
  <c r="U86" i="12"/>
  <c r="U87" i="12"/>
  <c r="P86" i="12"/>
  <c r="P87" i="12"/>
  <c r="X87" i="12"/>
  <c r="X86" i="12"/>
  <c r="K87" i="12"/>
  <c r="K86" i="12"/>
  <c r="H86" i="11"/>
  <c r="H85" i="11"/>
  <c r="I86" i="11"/>
  <c r="I85" i="11"/>
  <c r="S86" i="11"/>
  <c r="S85" i="11"/>
  <c r="T86" i="11"/>
  <c r="T85" i="11"/>
  <c r="R85" i="11"/>
  <c r="R86" i="11"/>
  <c r="C42" i="2"/>
  <c r="C94" i="2"/>
  <c r="C71" i="2"/>
  <c r="C93" i="2"/>
  <c r="C70" i="2"/>
  <c r="C87" i="6" l="1"/>
  <c r="C87" i="10"/>
  <c r="C86" i="4"/>
  <c r="C63" i="4"/>
  <c r="C85" i="8"/>
  <c r="C88" i="11"/>
  <c r="C89" i="12"/>
  <c r="C88" i="12"/>
  <c r="C87" i="11"/>
  <c r="B45" i="3"/>
  <c r="B44" i="3"/>
  <c r="B43" i="3"/>
  <c r="B42" i="3"/>
  <c r="B41" i="3"/>
  <c r="B40" i="3"/>
  <c r="B39" i="3"/>
  <c r="H52" i="3" l="1"/>
  <c r="H53" i="3"/>
  <c r="H54" i="3"/>
  <c r="H55" i="3"/>
  <c r="H56" i="3"/>
  <c r="I68" i="3" s="1"/>
  <c r="H51" i="3"/>
  <c r="F52" i="3"/>
  <c r="F53" i="3"/>
  <c r="F54" i="3"/>
  <c r="F55" i="3"/>
  <c r="F56" i="3"/>
  <c r="D52" i="3"/>
  <c r="D53" i="3"/>
  <c r="D54" i="3"/>
  <c r="D55" i="3"/>
  <c r="D56" i="3"/>
  <c r="D51" i="3"/>
  <c r="H33" i="3"/>
  <c r="H57" i="3" s="1"/>
  <c r="I69" i="3" s="1"/>
  <c r="F33" i="3"/>
  <c r="F57" i="3" s="1"/>
  <c r="D33" i="3"/>
  <c r="D57" i="3" s="1"/>
  <c r="F45" i="3" l="1"/>
  <c r="D45" i="3"/>
  <c r="H45" i="3"/>
  <c r="D44" i="3" l="1"/>
  <c r="F44" i="3"/>
  <c r="H44" i="3"/>
  <c r="H40" i="3"/>
  <c r="H41" i="3"/>
  <c r="H42" i="3"/>
  <c r="H43" i="3"/>
  <c r="H39" i="3"/>
  <c r="F40" i="3"/>
  <c r="F41" i="3"/>
  <c r="F42" i="3"/>
  <c r="F43" i="3"/>
  <c r="F39" i="3"/>
  <c r="D40" i="3"/>
  <c r="D41" i="3"/>
  <c r="D42" i="3"/>
  <c r="D43" i="3"/>
  <c r="D5" i="1" l="1"/>
  <c r="E5" i="1"/>
  <c r="F5" i="1"/>
  <c r="G5" i="1"/>
  <c r="H5" i="1"/>
  <c r="I5" i="1"/>
  <c r="J5" i="1"/>
  <c r="K5" i="1"/>
  <c r="L5" i="1"/>
  <c r="D6" i="1"/>
  <c r="E6" i="1"/>
  <c r="F6" i="1"/>
  <c r="G6" i="1"/>
  <c r="H6" i="1"/>
  <c r="I6" i="1"/>
  <c r="J6" i="1"/>
  <c r="K6" i="1"/>
  <c r="L6" i="1"/>
  <c r="D7" i="1"/>
  <c r="E7" i="1"/>
  <c r="F7" i="1"/>
  <c r="G7" i="1"/>
  <c r="H7" i="1"/>
  <c r="I7" i="1"/>
  <c r="J7" i="1"/>
  <c r="K7" i="1"/>
  <c r="L7" i="1"/>
  <c r="D8" i="1"/>
  <c r="E8" i="1"/>
  <c r="F8" i="1"/>
  <c r="G8" i="1"/>
  <c r="H8" i="1"/>
  <c r="I8" i="1"/>
  <c r="J8" i="1"/>
  <c r="K8" i="1"/>
  <c r="L8" i="1"/>
  <c r="D9" i="1"/>
  <c r="E9" i="1"/>
  <c r="F9" i="1"/>
  <c r="G9" i="1"/>
  <c r="H9" i="1"/>
  <c r="I9" i="1"/>
  <c r="J9" i="1"/>
  <c r="K9" i="1"/>
  <c r="L9" i="1"/>
  <c r="D10" i="1"/>
  <c r="E10" i="1"/>
  <c r="F10" i="1"/>
  <c r="G10" i="1"/>
  <c r="H10" i="1"/>
  <c r="I10" i="1"/>
  <c r="J10" i="1"/>
  <c r="K10" i="1"/>
  <c r="L10" i="1"/>
  <c r="D11" i="1"/>
  <c r="E11" i="1"/>
  <c r="F11" i="1"/>
  <c r="G11" i="1"/>
  <c r="H11" i="1"/>
  <c r="I11" i="1"/>
  <c r="J11" i="1"/>
  <c r="K11" i="1"/>
  <c r="L11" i="1"/>
  <c r="D12" i="1"/>
  <c r="E12" i="1"/>
  <c r="F12" i="1"/>
  <c r="G12" i="1"/>
  <c r="H12" i="1"/>
  <c r="I12" i="1"/>
  <c r="J12" i="1"/>
  <c r="K12" i="1"/>
  <c r="L12" i="1"/>
  <c r="D13" i="1"/>
  <c r="E13" i="1"/>
  <c r="F13" i="1"/>
  <c r="G13" i="1"/>
  <c r="H13" i="1"/>
  <c r="I13" i="1"/>
  <c r="J13" i="1"/>
  <c r="K13" i="1"/>
  <c r="L13" i="1"/>
  <c r="D14" i="1"/>
  <c r="E14" i="1"/>
  <c r="F14" i="1"/>
  <c r="G14" i="1"/>
  <c r="H14" i="1"/>
  <c r="I14" i="1"/>
  <c r="J14" i="1"/>
  <c r="K14" i="1"/>
  <c r="L14" i="1"/>
  <c r="D15" i="1"/>
  <c r="E15" i="1"/>
  <c r="F15" i="1"/>
  <c r="G15" i="1"/>
  <c r="H15" i="1"/>
  <c r="I15" i="1"/>
  <c r="J15" i="1"/>
  <c r="K15" i="1"/>
  <c r="L15" i="1"/>
  <c r="D16" i="1"/>
  <c r="E16" i="1"/>
  <c r="F16" i="1"/>
  <c r="G16" i="1"/>
  <c r="H16" i="1"/>
  <c r="I16" i="1"/>
  <c r="J16" i="1"/>
  <c r="K16" i="1"/>
  <c r="L16" i="1"/>
  <c r="D17" i="1"/>
  <c r="E17" i="1"/>
  <c r="F17" i="1"/>
  <c r="G17" i="1"/>
  <c r="H17" i="1"/>
  <c r="I17" i="1"/>
  <c r="J17" i="1"/>
  <c r="K17" i="1"/>
  <c r="L17" i="1"/>
  <c r="D18" i="1"/>
  <c r="E18" i="1"/>
  <c r="F18" i="1"/>
  <c r="G18" i="1"/>
  <c r="H18" i="1"/>
  <c r="I18" i="1"/>
  <c r="J18" i="1"/>
  <c r="K18" i="1"/>
  <c r="L18" i="1"/>
  <c r="D19" i="1"/>
  <c r="E19" i="1"/>
  <c r="F19" i="1"/>
  <c r="G19" i="1"/>
  <c r="H19" i="1"/>
  <c r="I19" i="1"/>
  <c r="J19" i="1"/>
  <c r="K19" i="1"/>
  <c r="L19" i="1"/>
  <c r="D20" i="1"/>
  <c r="E20" i="1"/>
  <c r="F20" i="1"/>
  <c r="G20" i="1"/>
  <c r="H20" i="1"/>
  <c r="I20" i="1"/>
  <c r="J20" i="1"/>
  <c r="K20" i="1"/>
  <c r="L20" i="1"/>
  <c r="D21" i="1"/>
  <c r="E21" i="1"/>
  <c r="F21" i="1"/>
  <c r="G21" i="1"/>
  <c r="H21" i="1"/>
  <c r="I21" i="1"/>
  <c r="J21" i="1"/>
  <c r="K21" i="1"/>
  <c r="L21" i="1"/>
  <c r="D22" i="1"/>
  <c r="E22" i="1"/>
  <c r="F22" i="1"/>
  <c r="G22" i="1"/>
  <c r="H22" i="1"/>
  <c r="I22" i="1"/>
  <c r="J22" i="1"/>
  <c r="K22" i="1"/>
  <c r="L22" i="1"/>
  <c r="D23" i="1"/>
  <c r="E23" i="1"/>
  <c r="F23" i="1"/>
  <c r="G23" i="1"/>
  <c r="H23" i="1"/>
  <c r="I23" i="1"/>
  <c r="J23" i="1"/>
  <c r="K23" i="1"/>
  <c r="L23" i="1"/>
  <c r="D24" i="1"/>
  <c r="E24" i="1"/>
  <c r="F24" i="1"/>
  <c r="G24" i="1"/>
  <c r="H24" i="1"/>
  <c r="I24" i="1"/>
  <c r="J24" i="1"/>
  <c r="K24" i="1"/>
  <c r="L24" i="1"/>
  <c r="D25" i="1"/>
  <c r="E25" i="1"/>
  <c r="F25" i="1"/>
  <c r="G25" i="1"/>
  <c r="H25" i="1"/>
  <c r="I25" i="1"/>
  <c r="J25" i="1"/>
  <c r="K25" i="1"/>
  <c r="L25" i="1"/>
  <c r="D26" i="1"/>
  <c r="E26" i="1"/>
  <c r="F26" i="1"/>
  <c r="G26" i="1"/>
  <c r="H26" i="1"/>
  <c r="I26" i="1"/>
  <c r="J26" i="1"/>
  <c r="K26" i="1"/>
  <c r="L26" i="1"/>
  <c r="D27" i="1"/>
  <c r="E27" i="1"/>
  <c r="F27" i="1"/>
  <c r="G27" i="1"/>
  <c r="H27" i="1"/>
  <c r="I27" i="1"/>
  <c r="J27" i="1"/>
  <c r="K27" i="1"/>
  <c r="L27" i="1"/>
  <c r="D28" i="1"/>
  <c r="E28" i="1"/>
  <c r="F28" i="1"/>
  <c r="G28" i="1"/>
  <c r="H28" i="1"/>
  <c r="I28" i="1"/>
  <c r="J28" i="1"/>
  <c r="K28" i="1"/>
  <c r="L28" i="1"/>
  <c r="D29" i="1"/>
  <c r="E29" i="1"/>
  <c r="F29" i="1"/>
  <c r="G29" i="1"/>
  <c r="H29" i="1"/>
  <c r="I29" i="1"/>
  <c r="J29" i="1"/>
  <c r="K29" i="1"/>
  <c r="L29" i="1"/>
  <c r="D30" i="1"/>
  <c r="E30" i="1"/>
  <c r="F30" i="1"/>
  <c r="G30" i="1"/>
  <c r="H30" i="1"/>
  <c r="I30" i="1"/>
  <c r="J30" i="1"/>
  <c r="K30" i="1"/>
  <c r="L30" i="1"/>
  <c r="D31" i="1"/>
  <c r="E31" i="1"/>
  <c r="F31" i="1"/>
  <c r="G31" i="1"/>
  <c r="H31" i="1"/>
  <c r="I31" i="1"/>
  <c r="J31" i="1"/>
  <c r="K31" i="1"/>
  <c r="L31" i="1"/>
  <c r="D32" i="1"/>
  <c r="E32" i="1"/>
  <c r="F32" i="1"/>
  <c r="G32" i="1"/>
  <c r="H32" i="1"/>
  <c r="I32" i="1"/>
  <c r="J32" i="1"/>
  <c r="K32" i="1"/>
  <c r="L32" i="1"/>
  <c r="D33" i="1"/>
  <c r="E33" i="1"/>
  <c r="F33" i="1"/>
  <c r="G33" i="1"/>
  <c r="H33" i="1"/>
  <c r="I33" i="1"/>
  <c r="J33" i="1"/>
  <c r="K33" i="1"/>
  <c r="L33" i="1"/>
  <c r="D34" i="1"/>
  <c r="E34" i="1"/>
  <c r="F34" i="1"/>
  <c r="G34" i="1"/>
  <c r="H34" i="1"/>
  <c r="I34" i="1"/>
  <c r="J34" i="1"/>
  <c r="K34" i="1"/>
  <c r="L34" i="1"/>
  <c r="D35" i="1"/>
  <c r="E35" i="1"/>
  <c r="F35" i="1"/>
  <c r="G35" i="1"/>
  <c r="H35" i="1"/>
  <c r="I35" i="1"/>
  <c r="J35" i="1"/>
  <c r="K35" i="1"/>
  <c r="L35" i="1"/>
  <c r="D36" i="1"/>
  <c r="E36" i="1"/>
  <c r="F36" i="1"/>
  <c r="G36" i="1"/>
  <c r="H36" i="1"/>
  <c r="I36" i="1"/>
  <c r="J36" i="1"/>
  <c r="K36" i="1"/>
  <c r="L36" i="1"/>
  <c r="D37" i="1"/>
  <c r="E37" i="1"/>
  <c r="F37" i="1"/>
  <c r="G37" i="1"/>
  <c r="H37" i="1"/>
  <c r="I37" i="1"/>
  <c r="J37" i="1"/>
  <c r="K37" i="1"/>
  <c r="L37" i="1"/>
  <c r="D38" i="1"/>
  <c r="E38" i="1"/>
  <c r="F38" i="1"/>
  <c r="G38" i="1"/>
  <c r="H38" i="1"/>
  <c r="I38" i="1"/>
  <c r="J38" i="1"/>
  <c r="K38" i="1"/>
  <c r="L38" i="1"/>
  <c r="D39" i="1"/>
  <c r="E39" i="1"/>
  <c r="F39" i="1"/>
  <c r="G39" i="1"/>
  <c r="H39" i="1"/>
  <c r="I39" i="1"/>
  <c r="J39" i="1"/>
  <c r="K39" i="1"/>
  <c r="L39" i="1"/>
  <c r="D40" i="1"/>
  <c r="E40" i="1"/>
  <c r="F40" i="1"/>
  <c r="G40" i="1"/>
  <c r="H40" i="1"/>
  <c r="I40" i="1"/>
  <c r="J40" i="1"/>
  <c r="K40" i="1"/>
  <c r="L40" i="1"/>
  <c r="D41" i="1"/>
  <c r="E41" i="1"/>
  <c r="F41" i="1"/>
  <c r="G41" i="1"/>
  <c r="H41" i="1"/>
  <c r="I41" i="1"/>
  <c r="J41" i="1"/>
  <c r="K41" i="1"/>
  <c r="L41" i="1"/>
  <c r="D42" i="1"/>
  <c r="E42" i="1"/>
  <c r="F42" i="1"/>
  <c r="G42" i="1"/>
  <c r="H42" i="1"/>
  <c r="I42" i="1"/>
  <c r="J42" i="1"/>
  <c r="K42" i="1"/>
  <c r="L42" i="1"/>
  <c r="D43" i="1"/>
  <c r="E43" i="1"/>
  <c r="F43" i="1"/>
  <c r="G43" i="1"/>
  <c r="H43" i="1"/>
  <c r="I43" i="1"/>
  <c r="J43" i="1"/>
  <c r="K43" i="1"/>
  <c r="L43" i="1"/>
  <c r="D44" i="1"/>
  <c r="E44" i="1"/>
  <c r="F44" i="1"/>
  <c r="G44" i="1"/>
  <c r="H44" i="1"/>
  <c r="I44" i="1"/>
  <c r="J44" i="1"/>
  <c r="K44" i="1"/>
  <c r="L44" i="1"/>
  <c r="D45" i="1"/>
  <c r="E45" i="1"/>
  <c r="F45" i="1"/>
  <c r="G45" i="1"/>
  <c r="H45" i="1"/>
  <c r="I45" i="1"/>
  <c r="J45" i="1"/>
  <c r="K45" i="1"/>
  <c r="L45" i="1"/>
  <c r="D46" i="1"/>
  <c r="E46" i="1"/>
  <c r="F46" i="1"/>
  <c r="G46" i="1"/>
  <c r="H46" i="1"/>
  <c r="I46" i="1"/>
  <c r="J46" i="1"/>
  <c r="K46" i="1"/>
  <c r="L46" i="1"/>
  <c r="D47" i="1"/>
  <c r="E47" i="1"/>
  <c r="F47" i="1"/>
  <c r="G47" i="1"/>
  <c r="H47" i="1"/>
  <c r="I47" i="1"/>
  <c r="J47" i="1"/>
  <c r="K47" i="1"/>
  <c r="L47" i="1"/>
  <c r="D48" i="1"/>
  <c r="E48" i="1"/>
  <c r="F48" i="1"/>
  <c r="G48" i="1"/>
  <c r="H48" i="1"/>
  <c r="I48" i="1"/>
  <c r="J48" i="1"/>
  <c r="K48" i="1"/>
  <c r="L48" i="1"/>
  <c r="D49" i="1"/>
  <c r="E49" i="1"/>
  <c r="F49" i="1"/>
  <c r="G49" i="1"/>
  <c r="H49" i="1"/>
  <c r="I49" i="1"/>
  <c r="J49" i="1"/>
  <c r="K49" i="1"/>
  <c r="L49" i="1"/>
  <c r="D50" i="1"/>
  <c r="E50" i="1"/>
  <c r="F50" i="1"/>
  <c r="G50" i="1"/>
  <c r="H50" i="1"/>
  <c r="I50" i="1"/>
  <c r="J50" i="1"/>
  <c r="K50" i="1"/>
  <c r="L50" i="1"/>
  <c r="D51" i="1"/>
  <c r="E51" i="1"/>
  <c r="F51" i="1"/>
  <c r="G51" i="1"/>
  <c r="H51" i="1"/>
  <c r="I51" i="1"/>
  <c r="J51" i="1"/>
  <c r="K51" i="1"/>
  <c r="L51" i="1"/>
  <c r="D52" i="1"/>
  <c r="E52" i="1"/>
  <c r="F52" i="1"/>
  <c r="G52" i="1"/>
  <c r="H52" i="1"/>
  <c r="I52" i="1"/>
  <c r="J52" i="1"/>
  <c r="K52" i="1"/>
  <c r="L52" i="1"/>
  <c r="D53" i="1"/>
  <c r="E53" i="1"/>
  <c r="F53" i="1"/>
  <c r="G53" i="1"/>
  <c r="H53" i="1"/>
  <c r="I53" i="1"/>
  <c r="J53" i="1"/>
  <c r="K53" i="1"/>
  <c r="L53" i="1"/>
  <c r="D54" i="1"/>
  <c r="E54" i="1"/>
  <c r="F54" i="1"/>
  <c r="G54" i="1"/>
  <c r="H54" i="1"/>
  <c r="I54" i="1"/>
  <c r="J54" i="1"/>
  <c r="K54" i="1"/>
  <c r="L54" i="1"/>
  <c r="D55" i="1"/>
  <c r="E55" i="1"/>
  <c r="F55" i="1"/>
  <c r="G55" i="1"/>
  <c r="H55" i="1"/>
  <c r="I55" i="1"/>
  <c r="J55" i="1"/>
  <c r="K55" i="1"/>
  <c r="L55" i="1"/>
  <c r="D56" i="1"/>
  <c r="E56" i="1"/>
  <c r="F56" i="1"/>
  <c r="G56" i="1"/>
  <c r="H56" i="1"/>
  <c r="I56" i="1"/>
  <c r="J56" i="1"/>
  <c r="K56" i="1"/>
  <c r="L56" i="1"/>
  <c r="D57" i="1"/>
  <c r="E57" i="1"/>
  <c r="F57" i="1"/>
  <c r="G57" i="1"/>
  <c r="H57" i="1"/>
  <c r="I57" i="1"/>
  <c r="J57" i="1"/>
  <c r="K57" i="1"/>
  <c r="L57" i="1"/>
  <c r="D58" i="1"/>
  <c r="E58" i="1"/>
  <c r="F58" i="1"/>
  <c r="G58" i="1"/>
  <c r="H58" i="1"/>
  <c r="I58" i="1"/>
  <c r="J58" i="1"/>
  <c r="K58" i="1"/>
  <c r="L58" i="1"/>
  <c r="D59" i="1"/>
  <c r="E59" i="1"/>
  <c r="F59" i="1"/>
  <c r="G59" i="1"/>
  <c r="H59" i="1"/>
  <c r="I59" i="1"/>
  <c r="J59" i="1"/>
  <c r="K59" i="1"/>
  <c r="L59" i="1"/>
  <c r="D60" i="1"/>
  <c r="E60" i="1"/>
  <c r="F60" i="1"/>
  <c r="G60" i="1"/>
  <c r="H60" i="1"/>
  <c r="I60" i="1"/>
  <c r="J60" i="1"/>
  <c r="K60" i="1"/>
  <c r="L60" i="1"/>
  <c r="D61" i="1"/>
  <c r="E61" i="1"/>
  <c r="F61" i="1"/>
  <c r="G61" i="1"/>
  <c r="H61" i="1"/>
  <c r="I61" i="1"/>
  <c r="J61" i="1"/>
  <c r="K61" i="1"/>
  <c r="L61" i="1"/>
  <c r="D62" i="1"/>
  <c r="E62" i="1"/>
  <c r="F62" i="1"/>
  <c r="G62" i="1"/>
  <c r="H62" i="1"/>
  <c r="I62" i="1"/>
  <c r="J62" i="1"/>
  <c r="K62" i="1"/>
  <c r="L62" i="1"/>
  <c r="D63" i="1"/>
  <c r="E63" i="1"/>
  <c r="F63" i="1"/>
  <c r="G63" i="1"/>
  <c r="H63" i="1"/>
  <c r="I63" i="1"/>
  <c r="J63" i="1"/>
  <c r="K63" i="1"/>
  <c r="L63" i="1"/>
  <c r="D64" i="1"/>
  <c r="E64" i="1"/>
  <c r="F64" i="1"/>
  <c r="G64" i="1"/>
  <c r="H64" i="1"/>
  <c r="I64" i="1"/>
  <c r="J64" i="1"/>
  <c r="K64" i="1"/>
  <c r="L64" i="1"/>
  <c r="D65" i="1"/>
  <c r="E65" i="1"/>
  <c r="F65" i="1"/>
  <c r="G65" i="1"/>
  <c r="H65" i="1"/>
  <c r="I65" i="1"/>
  <c r="J65" i="1"/>
  <c r="K65" i="1"/>
  <c r="L65" i="1"/>
  <c r="D66" i="1"/>
  <c r="E66" i="1"/>
  <c r="F66" i="1"/>
  <c r="G66" i="1"/>
  <c r="H66" i="1"/>
  <c r="I66" i="1"/>
  <c r="J66" i="1"/>
  <c r="K66" i="1"/>
  <c r="L66" i="1"/>
  <c r="D67" i="1"/>
  <c r="E67" i="1"/>
  <c r="F67" i="1"/>
  <c r="G67" i="1"/>
  <c r="H67" i="1"/>
  <c r="I67" i="1"/>
  <c r="J67" i="1"/>
  <c r="K67" i="1"/>
  <c r="L67" i="1"/>
  <c r="D68" i="1"/>
  <c r="E68" i="1"/>
  <c r="F68" i="1"/>
  <c r="G68" i="1"/>
  <c r="H68" i="1"/>
  <c r="I68" i="1"/>
  <c r="J68" i="1"/>
  <c r="K68" i="1"/>
  <c r="L68" i="1"/>
  <c r="D69" i="1"/>
  <c r="E69" i="1"/>
  <c r="F69" i="1"/>
  <c r="G69" i="1"/>
  <c r="H69" i="1"/>
  <c r="I69" i="1"/>
  <c r="J69" i="1"/>
  <c r="K69" i="1"/>
  <c r="L69" i="1"/>
  <c r="D70" i="1"/>
  <c r="E70" i="1"/>
  <c r="F70" i="1"/>
  <c r="G70" i="1"/>
  <c r="H70" i="1"/>
  <c r="I70" i="1"/>
  <c r="J70" i="1"/>
  <c r="K70" i="1"/>
  <c r="L70" i="1"/>
  <c r="D71" i="1"/>
  <c r="E71" i="1"/>
  <c r="F71" i="1"/>
  <c r="G71" i="1"/>
  <c r="H71" i="1"/>
  <c r="I71" i="1"/>
  <c r="J71" i="1"/>
  <c r="K71" i="1"/>
  <c r="L71" i="1"/>
  <c r="D72" i="1"/>
  <c r="E72" i="1"/>
  <c r="F72" i="1"/>
  <c r="G72" i="1"/>
  <c r="H72" i="1"/>
  <c r="I72" i="1"/>
  <c r="J72" i="1"/>
  <c r="K72" i="1"/>
  <c r="L72" i="1"/>
  <c r="D73" i="1"/>
  <c r="E73" i="1"/>
  <c r="F73" i="1"/>
  <c r="G73" i="1"/>
  <c r="H73" i="1"/>
  <c r="I73" i="1"/>
  <c r="J73" i="1"/>
  <c r="K73" i="1"/>
  <c r="L73" i="1"/>
  <c r="D74" i="1"/>
  <c r="E74" i="1"/>
  <c r="F74" i="1"/>
  <c r="G74" i="1"/>
  <c r="H74" i="1"/>
  <c r="I74" i="1"/>
  <c r="J74" i="1"/>
  <c r="K74" i="1"/>
  <c r="L74" i="1"/>
  <c r="D75" i="1"/>
  <c r="E75" i="1"/>
  <c r="F75" i="1"/>
  <c r="G75" i="1"/>
  <c r="H75" i="1"/>
  <c r="I75" i="1"/>
  <c r="J75" i="1"/>
  <c r="K75" i="1"/>
  <c r="L75" i="1"/>
  <c r="D76" i="1"/>
  <c r="E76" i="1"/>
  <c r="F76" i="1"/>
  <c r="G76" i="1"/>
  <c r="H76" i="1"/>
  <c r="I76" i="1"/>
  <c r="J76" i="1"/>
  <c r="K76" i="1"/>
  <c r="L76" i="1"/>
  <c r="D77" i="1"/>
  <c r="E77" i="1"/>
  <c r="F77" i="1"/>
  <c r="G77" i="1"/>
  <c r="H77" i="1"/>
  <c r="I77" i="1"/>
  <c r="J77" i="1"/>
  <c r="K77" i="1"/>
  <c r="L77" i="1"/>
  <c r="D78" i="1"/>
  <c r="E78" i="1"/>
  <c r="F78" i="1"/>
  <c r="G78" i="1"/>
  <c r="H78" i="1"/>
  <c r="I78" i="1"/>
  <c r="J78" i="1"/>
  <c r="K78" i="1"/>
  <c r="L78" i="1"/>
  <c r="D79" i="1"/>
  <c r="E79" i="1"/>
  <c r="F79" i="1"/>
  <c r="G79" i="1"/>
  <c r="H79" i="1"/>
  <c r="I79" i="1"/>
  <c r="J79" i="1"/>
  <c r="K79" i="1"/>
  <c r="L79" i="1"/>
  <c r="D80" i="1"/>
  <c r="E80" i="1"/>
  <c r="F80" i="1"/>
  <c r="G80" i="1"/>
  <c r="H80" i="1"/>
  <c r="I80" i="1"/>
  <c r="J80" i="1"/>
  <c r="K80" i="1"/>
  <c r="L80" i="1"/>
  <c r="D81" i="1"/>
  <c r="E81" i="1"/>
  <c r="F81" i="1"/>
  <c r="G81" i="1"/>
  <c r="H81" i="1"/>
  <c r="I81" i="1"/>
  <c r="J81" i="1"/>
  <c r="K81" i="1"/>
  <c r="L81" i="1"/>
  <c r="D82" i="1"/>
  <c r="E82" i="1"/>
  <c r="F82" i="1"/>
  <c r="G82" i="1"/>
  <c r="H82" i="1"/>
  <c r="I82" i="1"/>
  <c r="J82" i="1"/>
  <c r="K82" i="1"/>
  <c r="L82" i="1"/>
  <c r="D83" i="1"/>
  <c r="E83" i="1"/>
  <c r="F83" i="1"/>
  <c r="G83" i="1"/>
  <c r="H83" i="1"/>
  <c r="I83" i="1"/>
  <c r="J83" i="1"/>
  <c r="K83" i="1"/>
  <c r="L83" i="1"/>
  <c r="D84" i="1"/>
  <c r="E84" i="1"/>
  <c r="F84" i="1"/>
  <c r="G84" i="1"/>
  <c r="H84" i="1"/>
  <c r="I84" i="1"/>
  <c r="J84" i="1"/>
  <c r="K84" i="1"/>
  <c r="L84" i="1"/>
  <c r="D85" i="1"/>
  <c r="E85" i="1"/>
  <c r="F85" i="1"/>
  <c r="G85" i="1"/>
  <c r="H85" i="1"/>
  <c r="I85" i="1"/>
  <c r="J85" i="1"/>
  <c r="K85" i="1"/>
  <c r="L85" i="1"/>
  <c r="D86" i="1"/>
  <c r="E86" i="1"/>
  <c r="F86" i="1"/>
  <c r="G86" i="1"/>
  <c r="H86" i="1"/>
  <c r="I86" i="1"/>
  <c r="J86" i="1"/>
  <c r="K86" i="1"/>
  <c r="L86" i="1"/>
  <c r="D87" i="1"/>
  <c r="E87" i="1"/>
  <c r="F87" i="1"/>
  <c r="G87" i="1"/>
  <c r="H87" i="1"/>
  <c r="I87" i="1"/>
  <c r="J87" i="1"/>
  <c r="K87" i="1"/>
  <c r="L87" i="1"/>
  <c r="D88" i="1"/>
  <c r="E88" i="1"/>
  <c r="F88" i="1"/>
  <c r="G88" i="1"/>
  <c r="H88" i="1"/>
  <c r="I88" i="1"/>
  <c r="J88" i="1"/>
  <c r="K88" i="1"/>
  <c r="L88" i="1"/>
  <c r="D89" i="1"/>
  <c r="E89" i="1"/>
  <c r="F89" i="1"/>
  <c r="G89" i="1"/>
  <c r="H89" i="1"/>
  <c r="I89" i="1"/>
  <c r="J89" i="1"/>
  <c r="K89" i="1"/>
  <c r="L89" i="1"/>
  <c r="D90" i="1"/>
  <c r="E90" i="1"/>
  <c r="F90" i="1"/>
  <c r="G90" i="1"/>
  <c r="H90" i="1"/>
  <c r="I90" i="1"/>
  <c r="J90" i="1"/>
  <c r="K90" i="1"/>
  <c r="L90" i="1"/>
  <c r="D91" i="1"/>
  <c r="E91" i="1"/>
  <c r="F91" i="1"/>
  <c r="G91" i="1"/>
  <c r="H91" i="1"/>
  <c r="I91" i="1"/>
  <c r="J91" i="1"/>
  <c r="K91" i="1"/>
  <c r="L91" i="1"/>
  <c r="D92" i="1"/>
  <c r="E92" i="1"/>
  <c r="F92" i="1"/>
  <c r="G92" i="1"/>
  <c r="H92" i="1"/>
  <c r="I92" i="1"/>
  <c r="J92" i="1"/>
  <c r="K92" i="1"/>
  <c r="L92" i="1"/>
  <c r="D93" i="1"/>
  <c r="E93" i="1"/>
  <c r="F93" i="1"/>
  <c r="G93" i="1"/>
  <c r="H93" i="1"/>
  <c r="I93" i="1"/>
  <c r="J93" i="1"/>
  <c r="K93" i="1"/>
  <c r="L93" i="1"/>
  <c r="D94" i="1"/>
  <c r="E94" i="1"/>
  <c r="F94" i="1"/>
  <c r="G94" i="1"/>
  <c r="H94" i="1"/>
  <c r="I94" i="1"/>
  <c r="J94" i="1"/>
  <c r="K94" i="1"/>
  <c r="L94" i="1"/>
  <c r="D95" i="1"/>
  <c r="E95" i="1"/>
  <c r="F95" i="1"/>
  <c r="G95" i="1"/>
  <c r="H95" i="1"/>
  <c r="I95" i="1"/>
  <c r="J95" i="1"/>
  <c r="K95" i="1"/>
  <c r="L95" i="1"/>
  <c r="D96" i="1"/>
  <c r="E96" i="1"/>
  <c r="F96" i="1"/>
  <c r="G96" i="1"/>
  <c r="H96" i="1"/>
  <c r="I96" i="1"/>
  <c r="J96" i="1"/>
  <c r="K96" i="1"/>
  <c r="L96" i="1"/>
  <c r="D97" i="1"/>
  <c r="E97" i="1"/>
  <c r="F97" i="1"/>
  <c r="G97" i="1"/>
  <c r="H97" i="1"/>
  <c r="I97" i="1"/>
  <c r="J97" i="1"/>
  <c r="K97" i="1"/>
  <c r="L97" i="1"/>
  <c r="D98" i="1"/>
  <c r="E98" i="1"/>
  <c r="F98" i="1"/>
  <c r="G98" i="1"/>
  <c r="H98" i="1"/>
  <c r="I98" i="1"/>
  <c r="J98" i="1"/>
  <c r="K98" i="1"/>
  <c r="L98" i="1"/>
  <c r="D99" i="1"/>
  <c r="E99" i="1"/>
  <c r="F99" i="1"/>
  <c r="G99" i="1"/>
  <c r="H99" i="1"/>
  <c r="I99" i="1"/>
  <c r="J99" i="1"/>
  <c r="K99" i="1"/>
  <c r="L99" i="1"/>
  <c r="D100" i="1"/>
  <c r="E100" i="1"/>
  <c r="F100" i="1"/>
  <c r="G100" i="1"/>
  <c r="H100" i="1"/>
  <c r="I100" i="1"/>
  <c r="J100" i="1"/>
  <c r="K100" i="1"/>
  <c r="L100" i="1"/>
  <c r="D101" i="1"/>
  <c r="E101" i="1"/>
  <c r="F101" i="1"/>
  <c r="G101" i="1"/>
  <c r="H101" i="1"/>
  <c r="I101" i="1"/>
  <c r="J101" i="1"/>
  <c r="K101" i="1"/>
  <c r="L101" i="1"/>
  <c r="D102" i="1"/>
  <c r="E102" i="1"/>
  <c r="F102" i="1"/>
  <c r="G102" i="1"/>
  <c r="H102" i="1"/>
  <c r="I102" i="1"/>
  <c r="J102" i="1"/>
  <c r="K102" i="1"/>
  <c r="L102" i="1"/>
  <c r="D103" i="1"/>
  <c r="E103" i="1"/>
  <c r="F103" i="1"/>
  <c r="G103" i="1"/>
  <c r="H103" i="1"/>
  <c r="I103" i="1"/>
  <c r="J103" i="1"/>
  <c r="K103" i="1"/>
  <c r="L103" i="1"/>
  <c r="D104" i="1"/>
  <c r="E104" i="1"/>
  <c r="F104" i="1"/>
  <c r="G104" i="1"/>
  <c r="H104" i="1"/>
  <c r="I104" i="1"/>
  <c r="J104" i="1"/>
  <c r="K104" i="1"/>
  <c r="L104" i="1"/>
  <c r="D105" i="1"/>
  <c r="E105" i="1"/>
  <c r="F105" i="1"/>
  <c r="G105" i="1"/>
  <c r="H105" i="1"/>
  <c r="I105" i="1"/>
  <c r="J105" i="1"/>
  <c r="K105" i="1"/>
  <c r="L105" i="1"/>
  <c r="D106" i="1"/>
  <c r="E106" i="1"/>
  <c r="F106" i="1"/>
  <c r="G106" i="1"/>
  <c r="H106" i="1"/>
  <c r="I106" i="1"/>
  <c r="J106" i="1"/>
  <c r="K106" i="1"/>
  <c r="L106" i="1"/>
  <c r="D107" i="1"/>
  <c r="E107" i="1"/>
  <c r="F107" i="1"/>
  <c r="G107" i="1"/>
  <c r="H107" i="1"/>
  <c r="I107" i="1"/>
  <c r="J107" i="1"/>
  <c r="K107" i="1"/>
  <c r="L107" i="1"/>
  <c r="D108" i="1"/>
  <c r="E108" i="1"/>
  <c r="F108" i="1"/>
  <c r="G108" i="1"/>
  <c r="H108" i="1"/>
  <c r="I108" i="1"/>
  <c r="J108" i="1"/>
  <c r="K108" i="1"/>
  <c r="L108" i="1"/>
  <c r="D109" i="1"/>
  <c r="E109" i="1"/>
  <c r="F109" i="1"/>
  <c r="G109" i="1"/>
  <c r="H109" i="1"/>
  <c r="I109" i="1"/>
  <c r="J109" i="1"/>
  <c r="K109" i="1"/>
  <c r="L109" i="1"/>
  <c r="D110" i="1"/>
  <c r="E110" i="1"/>
  <c r="F110" i="1"/>
  <c r="G110" i="1"/>
  <c r="H110" i="1"/>
  <c r="I110" i="1"/>
  <c r="J110" i="1"/>
  <c r="K110" i="1"/>
  <c r="L110" i="1"/>
  <c r="D111" i="1"/>
  <c r="E111" i="1"/>
  <c r="F111" i="1"/>
  <c r="G111" i="1"/>
  <c r="H111" i="1"/>
  <c r="I111" i="1"/>
  <c r="J111" i="1"/>
  <c r="K111" i="1"/>
  <c r="L111" i="1"/>
  <c r="D112" i="1"/>
  <c r="E112" i="1"/>
  <c r="F112" i="1"/>
  <c r="G112" i="1"/>
  <c r="H112" i="1"/>
  <c r="I112" i="1"/>
  <c r="J112" i="1"/>
  <c r="K112" i="1"/>
  <c r="L112" i="1"/>
  <c r="D113" i="1"/>
  <c r="E113" i="1"/>
  <c r="F113" i="1"/>
  <c r="G113" i="1"/>
  <c r="H113" i="1"/>
  <c r="I113" i="1"/>
  <c r="J113" i="1"/>
  <c r="K113" i="1"/>
  <c r="L113" i="1"/>
  <c r="D114" i="1"/>
  <c r="E114" i="1"/>
  <c r="F114" i="1"/>
  <c r="G114" i="1"/>
  <c r="H114" i="1"/>
  <c r="I114" i="1"/>
  <c r="J114" i="1"/>
  <c r="K114" i="1"/>
  <c r="L114" i="1"/>
  <c r="D115" i="1"/>
  <c r="E115" i="1"/>
  <c r="F115" i="1"/>
  <c r="G115" i="1"/>
  <c r="H115" i="1"/>
  <c r="I115" i="1"/>
  <c r="J115" i="1"/>
  <c r="K115" i="1"/>
  <c r="L115" i="1"/>
  <c r="D116" i="1"/>
  <c r="E116" i="1"/>
  <c r="F116" i="1"/>
  <c r="G116" i="1"/>
  <c r="H116" i="1"/>
  <c r="I116" i="1"/>
  <c r="J116" i="1"/>
  <c r="K116" i="1"/>
  <c r="L116" i="1"/>
  <c r="D117" i="1"/>
  <c r="E117" i="1"/>
  <c r="F117" i="1"/>
  <c r="G117" i="1"/>
  <c r="H117" i="1"/>
  <c r="I117" i="1"/>
  <c r="J117" i="1"/>
  <c r="K117" i="1"/>
  <c r="L117" i="1"/>
  <c r="D118" i="1"/>
  <c r="E118" i="1"/>
  <c r="F118" i="1"/>
  <c r="G118" i="1"/>
  <c r="H118" i="1"/>
  <c r="I118" i="1"/>
  <c r="J118" i="1"/>
  <c r="K118" i="1"/>
  <c r="L118" i="1"/>
  <c r="D119" i="1"/>
  <c r="E119" i="1"/>
  <c r="F119" i="1"/>
  <c r="G119" i="1"/>
  <c r="H119" i="1"/>
  <c r="I119" i="1"/>
  <c r="J119" i="1"/>
  <c r="K119" i="1"/>
  <c r="L119" i="1"/>
  <c r="D120" i="1"/>
  <c r="E120" i="1"/>
  <c r="F120" i="1"/>
  <c r="G120" i="1"/>
  <c r="H120" i="1"/>
  <c r="I120" i="1"/>
  <c r="J120" i="1"/>
  <c r="K120" i="1"/>
  <c r="L120" i="1"/>
  <c r="D121" i="1"/>
  <c r="E121" i="1"/>
  <c r="F121" i="1"/>
  <c r="G121" i="1"/>
  <c r="H121" i="1"/>
  <c r="I121" i="1"/>
  <c r="J121" i="1"/>
  <c r="K121" i="1"/>
  <c r="L121" i="1"/>
  <c r="D122" i="1"/>
  <c r="E122" i="1"/>
  <c r="F122" i="1"/>
  <c r="G122" i="1"/>
  <c r="H122" i="1"/>
  <c r="I122" i="1"/>
  <c r="J122" i="1"/>
  <c r="K122" i="1"/>
  <c r="L122" i="1"/>
  <c r="D123" i="1"/>
  <c r="E123" i="1"/>
  <c r="F123" i="1"/>
  <c r="G123" i="1"/>
  <c r="H123" i="1"/>
  <c r="I123" i="1"/>
  <c r="J123" i="1"/>
  <c r="K123" i="1"/>
  <c r="L123" i="1"/>
  <c r="D124" i="1"/>
  <c r="E124" i="1"/>
  <c r="F124" i="1"/>
  <c r="G124" i="1"/>
  <c r="H124" i="1"/>
  <c r="I124" i="1"/>
  <c r="J124" i="1"/>
  <c r="K124" i="1"/>
  <c r="L124" i="1"/>
  <c r="D125" i="1"/>
  <c r="E125" i="1"/>
  <c r="F125" i="1"/>
  <c r="G125" i="1"/>
  <c r="H125" i="1"/>
  <c r="I125" i="1"/>
  <c r="J125" i="1"/>
  <c r="K125" i="1"/>
  <c r="L125" i="1"/>
  <c r="D126" i="1"/>
  <c r="E126" i="1"/>
  <c r="F126" i="1"/>
  <c r="G126" i="1"/>
  <c r="H126" i="1"/>
  <c r="I126" i="1"/>
  <c r="J126" i="1"/>
  <c r="K126" i="1"/>
  <c r="L126" i="1"/>
  <c r="D127" i="1"/>
  <c r="E127" i="1"/>
  <c r="F127" i="1"/>
  <c r="G127" i="1"/>
  <c r="H127" i="1"/>
  <c r="I127" i="1"/>
  <c r="J127" i="1"/>
  <c r="K127" i="1"/>
  <c r="L127" i="1"/>
  <c r="D128" i="1"/>
  <c r="E128" i="1"/>
  <c r="F128" i="1"/>
  <c r="G128" i="1"/>
  <c r="H128" i="1"/>
  <c r="I128" i="1"/>
  <c r="J128" i="1"/>
  <c r="K128" i="1"/>
  <c r="L128" i="1"/>
  <c r="D129" i="1"/>
  <c r="E129" i="1"/>
  <c r="F129" i="1"/>
  <c r="G129" i="1"/>
  <c r="H129" i="1"/>
  <c r="I129" i="1"/>
  <c r="J129" i="1"/>
  <c r="K129" i="1"/>
  <c r="L129" i="1"/>
  <c r="D130" i="1"/>
  <c r="E130" i="1"/>
  <c r="F130" i="1"/>
  <c r="G130" i="1"/>
  <c r="H130" i="1"/>
  <c r="I130" i="1"/>
  <c r="J130" i="1"/>
  <c r="K130" i="1"/>
  <c r="L130" i="1"/>
  <c r="D131" i="1"/>
  <c r="E131" i="1"/>
  <c r="F131" i="1"/>
  <c r="G131" i="1"/>
  <c r="H131" i="1"/>
  <c r="I131" i="1"/>
  <c r="J131" i="1"/>
  <c r="K131" i="1"/>
  <c r="L131" i="1"/>
  <c r="D132" i="1"/>
  <c r="E132" i="1"/>
  <c r="F132" i="1"/>
  <c r="G132" i="1"/>
  <c r="H132" i="1"/>
  <c r="I132" i="1"/>
  <c r="J132" i="1"/>
  <c r="K132" i="1"/>
  <c r="L132" i="1"/>
  <c r="D133" i="1"/>
  <c r="E133" i="1"/>
  <c r="F133" i="1"/>
  <c r="G133" i="1"/>
  <c r="H133" i="1"/>
  <c r="I133" i="1"/>
  <c r="J133" i="1"/>
  <c r="K133" i="1"/>
  <c r="L133" i="1"/>
  <c r="D134" i="1"/>
  <c r="E134" i="1"/>
  <c r="F134" i="1"/>
  <c r="G134" i="1"/>
  <c r="H134" i="1"/>
  <c r="I134" i="1"/>
  <c r="J134" i="1"/>
  <c r="K134" i="1"/>
  <c r="L134" i="1"/>
  <c r="D135" i="1"/>
  <c r="E135" i="1"/>
  <c r="F135" i="1"/>
  <c r="G135" i="1"/>
  <c r="H135" i="1"/>
  <c r="I135" i="1"/>
  <c r="J135" i="1"/>
  <c r="K135" i="1"/>
  <c r="L135" i="1"/>
  <c r="D136" i="1"/>
  <c r="E136" i="1"/>
  <c r="F136" i="1"/>
  <c r="G136" i="1"/>
  <c r="H136" i="1"/>
  <c r="I136" i="1"/>
  <c r="J136" i="1"/>
  <c r="K136" i="1"/>
  <c r="L136" i="1"/>
  <c r="D137" i="1"/>
  <c r="E137" i="1"/>
  <c r="F137" i="1"/>
  <c r="G137" i="1"/>
  <c r="H137" i="1"/>
  <c r="I137" i="1"/>
  <c r="J137" i="1"/>
  <c r="K137" i="1"/>
  <c r="L137" i="1"/>
  <c r="D138" i="1"/>
  <c r="E138" i="1"/>
  <c r="F138" i="1"/>
  <c r="G138" i="1"/>
  <c r="H138" i="1"/>
  <c r="I138" i="1"/>
  <c r="J138" i="1"/>
  <c r="K138" i="1"/>
  <c r="L138" i="1"/>
  <c r="D139" i="1"/>
  <c r="E139" i="1"/>
  <c r="F139" i="1"/>
  <c r="G139" i="1"/>
  <c r="H139" i="1"/>
  <c r="I139" i="1"/>
  <c r="J139" i="1"/>
  <c r="K139" i="1"/>
  <c r="L139" i="1"/>
  <c r="D140" i="1"/>
  <c r="E140" i="1"/>
  <c r="F140" i="1"/>
  <c r="G140" i="1"/>
  <c r="H140" i="1"/>
  <c r="I140" i="1"/>
  <c r="J140" i="1"/>
  <c r="K140" i="1"/>
  <c r="L140" i="1"/>
  <c r="D141" i="1"/>
  <c r="E141" i="1"/>
  <c r="F141" i="1"/>
  <c r="G141" i="1"/>
  <c r="H141" i="1"/>
  <c r="I141" i="1"/>
  <c r="J141" i="1"/>
  <c r="K141" i="1"/>
  <c r="L141" i="1"/>
  <c r="D142" i="1"/>
  <c r="E142" i="1"/>
  <c r="F142" i="1"/>
  <c r="G142" i="1"/>
  <c r="H142" i="1"/>
  <c r="I142" i="1"/>
  <c r="J142" i="1"/>
  <c r="K142" i="1"/>
  <c r="L142" i="1"/>
  <c r="D143" i="1"/>
  <c r="E143" i="1"/>
  <c r="F143" i="1"/>
  <c r="G143" i="1"/>
  <c r="H143" i="1"/>
  <c r="I143" i="1"/>
  <c r="J143" i="1"/>
  <c r="K143" i="1"/>
  <c r="L143" i="1"/>
  <c r="D144" i="1"/>
  <c r="E144" i="1"/>
  <c r="F144" i="1"/>
  <c r="G144" i="1"/>
  <c r="H144" i="1"/>
  <c r="I144" i="1"/>
  <c r="J144" i="1"/>
  <c r="K144" i="1"/>
  <c r="L144" i="1"/>
  <c r="D145" i="1"/>
  <c r="E145" i="1"/>
  <c r="F145" i="1"/>
  <c r="G145" i="1"/>
  <c r="H145" i="1"/>
  <c r="I145" i="1"/>
  <c r="J145" i="1"/>
  <c r="K145" i="1"/>
  <c r="L145" i="1"/>
  <c r="D146" i="1"/>
  <c r="E146" i="1"/>
  <c r="F146" i="1"/>
  <c r="G146" i="1"/>
  <c r="H146" i="1"/>
  <c r="I146" i="1"/>
  <c r="J146" i="1"/>
  <c r="K146" i="1"/>
  <c r="L146" i="1"/>
  <c r="D147" i="1"/>
  <c r="E147" i="1"/>
  <c r="F147" i="1"/>
  <c r="G147" i="1"/>
  <c r="H147" i="1"/>
  <c r="I147" i="1"/>
  <c r="J147" i="1"/>
  <c r="K147" i="1"/>
  <c r="L147" i="1"/>
  <c r="D148" i="1"/>
  <c r="E148" i="1"/>
  <c r="F148" i="1"/>
  <c r="G148" i="1"/>
  <c r="H148" i="1"/>
  <c r="I148" i="1"/>
  <c r="J148" i="1"/>
  <c r="K148" i="1"/>
  <c r="L148" i="1"/>
  <c r="D149" i="1"/>
  <c r="E149" i="1"/>
  <c r="F149" i="1"/>
  <c r="G149" i="1"/>
  <c r="H149" i="1"/>
  <c r="I149" i="1"/>
  <c r="J149" i="1"/>
  <c r="K149" i="1"/>
  <c r="L149" i="1"/>
  <c r="D150" i="1"/>
  <c r="E150" i="1"/>
  <c r="F150" i="1"/>
  <c r="G150" i="1"/>
  <c r="H150" i="1"/>
  <c r="I150" i="1"/>
  <c r="J150" i="1"/>
  <c r="K150" i="1"/>
  <c r="L150" i="1"/>
  <c r="D151" i="1"/>
  <c r="E151" i="1"/>
  <c r="F151" i="1"/>
  <c r="G151" i="1"/>
  <c r="H151" i="1"/>
  <c r="I151" i="1"/>
  <c r="J151" i="1"/>
  <c r="K151" i="1"/>
  <c r="L151" i="1"/>
  <c r="D152" i="1"/>
  <c r="E152" i="1"/>
  <c r="F152" i="1"/>
  <c r="G152" i="1"/>
  <c r="H152" i="1"/>
  <c r="I152" i="1"/>
  <c r="J152" i="1"/>
  <c r="K152" i="1"/>
  <c r="L152" i="1"/>
  <c r="D153" i="1"/>
  <c r="E153" i="1"/>
  <c r="F153" i="1"/>
  <c r="G153" i="1"/>
  <c r="H153" i="1"/>
  <c r="I153" i="1"/>
  <c r="J153" i="1"/>
  <c r="K153" i="1"/>
  <c r="L153" i="1"/>
  <c r="D154" i="1"/>
  <c r="E154" i="1"/>
  <c r="F154" i="1"/>
  <c r="G154" i="1"/>
  <c r="H154" i="1"/>
  <c r="I154" i="1"/>
  <c r="J154" i="1"/>
  <c r="K154" i="1"/>
  <c r="L154" i="1"/>
  <c r="D155" i="1"/>
  <c r="E155" i="1"/>
  <c r="F155" i="1"/>
  <c r="G155" i="1"/>
  <c r="H155" i="1"/>
  <c r="I155" i="1"/>
  <c r="J155" i="1"/>
  <c r="K155" i="1"/>
  <c r="L155" i="1"/>
  <c r="D156" i="1"/>
  <c r="E156" i="1"/>
  <c r="F156" i="1"/>
  <c r="G156" i="1"/>
  <c r="H156" i="1"/>
  <c r="I156" i="1"/>
  <c r="J156" i="1"/>
  <c r="K156" i="1"/>
  <c r="L156" i="1"/>
  <c r="D157" i="1"/>
  <c r="E157" i="1"/>
  <c r="F157" i="1"/>
  <c r="G157" i="1"/>
  <c r="H157" i="1"/>
  <c r="I157" i="1"/>
  <c r="J157" i="1"/>
  <c r="K157" i="1"/>
  <c r="L157" i="1"/>
  <c r="D158" i="1"/>
  <c r="E158" i="1"/>
  <c r="F158" i="1"/>
  <c r="G158" i="1"/>
  <c r="H158" i="1"/>
  <c r="I158" i="1"/>
  <c r="J158" i="1"/>
  <c r="K158" i="1"/>
  <c r="L158" i="1"/>
  <c r="D159" i="1"/>
  <c r="E159" i="1"/>
  <c r="F159" i="1"/>
  <c r="G159" i="1"/>
  <c r="H159" i="1"/>
  <c r="I159" i="1"/>
  <c r="J159" i="1"/>
  <c r="K159" i="1"/>
  <c r="L159" i="1"/>
  <c r="D160" i="1"/>
  <c r="E160" i="1"/>
  <c r="F160" i="1"/>
  <c r="G160" i="1"/>
  <c r="H160" i="1"/>
  <c r="I160" i="1"/>
  <c r="J160" i="1"/>
  <c r="K160" i="1"/>
  <c r="L160" i="1"/>
  <c r="D161" i="1"/>
  <c r="E161" i="1"/>
  <c r="F161" i="1"/>
  <c r="G161" i="1"/>
  <c r="H161" i="1"/>
  <c r="I161" i="1"/>
  <c r="J161" i="1"/>
  <c r="K161" i="1"/>
  <c r="L161" i="1"/>
  <c r="D162" i="1"/>
  <c r="E162" i="1"/>
  <c r="F162" i="1"/>
  <c r="G162" i="1"/>
  <c r="H162" i="1"/>
  <c r="I162" i="1"/>
  <c r="J162" i="1"/>
  <c r="K162" i="1"/>
  <c r="L162" i="1"/>
  <c r="D163" i="1"/>
  <c r="E163" i="1"/>
  <c r="F163" i="1"/>
  <c r="G163" i="1"/>
  <c r="H163" i="1"/>
  <c r="I163" i="1"/>
  <c r="J163" i="1"/>
  <c r="K163" i="1"/>
  <c r="L163" i="1"/>
  <c r="D164" i="1"/>
  <c r="E164" i="1"/>
  <c r="F164" i="1"/>
  <c r="G164" i="1"/>
  <c r="H164" i="1"/>
  <c r="I164" i="1"/>
  <c r="J164" i="1"/>
  <c r="K164" i="1"/>
  <c r="L164" i="1"/>
  <c r="D165" i="1"/>
  <c r="E165" i="1"/>
  <c r="F165" i="1"/>
  <c r="G165" i="1"/>
  <c r="H165" i="1"/>
  <c r="I165" i="1"/>
  <c r="J165" i="1"/>
  <c r="K165" i="1"/>
  <c r="L165" i="1"/>
  <c r="D166" i="1"/>
  <c r="E166" i="1"/>
  <c r="F166" i="1"/>
  <c r="G166" i="1"/>
  <c r="H166" i="1"/>
  <c r="I166" i="1"/>
  <c r="J166" i="1"/>
  <c r="K166" i="1"/>
  <c r="L166" i="1"/>
  <c r="D167" i="1"/>
  <c r="E167" i="1"/>
  <c r="F167" i="1"/>
  <c r="G167" i="1"/>
  <c r="H167" i="1"/>
  <c r="I167" i="1"/>
  <c r="J167" i="1"/>
  <c r="K167" i="1"/>
  <c r="L167" i="1"/>
  <c r="D168" i="1"/>
  <c r="E168" i="1"/>
  <c r="F168" i="1"/>
  <c r="G168" i="1"/>
  <c r="H168" i="1"/>
  <c r="I168" i="1"/>
  <c r="J168" i="1"/>
  <c r="K168" i="1"/>
  <c r="L168" i="1"/>
  <c r="D169" i="1"/>
  <c r="E169" i="1"/>
  <c r="F169" i="1"/>
  <c r="G169" i="1"/>
  <c r="H169" i="1"/>
  <c r="I169" i="1"/>
  <c r="J169" i="1"/>
  <c r="K169" i="1"/>
  <c r="L169" i="1"/>
  <c r="D170" i="1"/>
  <c r="E170" i="1"/>
  <c r="F170" i="1"/>
  <c r="G170" i="1"/>
  <c r="H170" i="1"/>
  <c r="I170" i="1"/>
  <c r="J170" i="1"/>
  <c r="K170" i="1"/>
  <c r="L170" i="1"/>
  <c r="D171" i="1"/>
  <c r="E171" i="1"/>
  <c r="F171" i="1"/>
  <c r="G171" i="1"/>
  <c r="H171" i="1"/>
  <c r="I171" i="1"/>
  <c r="J171" i="1"/>
  <c r="K171" i="1"/>
  <c r="L171" i="1"/>
  <c r="D172" i="1"/>
  <c r="E172" i="1"/>
  <c r="F172" i="1"/>
  <c r="G172" i="1"/>
  <c r="H172" i="1"/>
  <c r="I172" i="1"/>
  <c r="J172" i="1"/>
  <c r="K172" i="1"/>
  <c r="L172" i="1"/>
  <c r="D173" i="1"/>
  <c r="E173" i="1"/>
  <c r="F173" i="1"/>
  <c r="G173" i="1"/>
  <c r="H173" i="1"/>
  <c r="I173" i="1"/>
  <c r="J173" i="1"/>
  <c r="K173" i="1"/>
  <c r="L173" i="1"/>
  <c r="D174" i="1"/>
  <c r="E174" i="1"/>
  <c r="F174" i="1"/>
  <c r="G174" i="1"/>
  <c r="H174" i="1"/>
  <c r="I174" i="1"/>
  <c r="J174" i="1"/>
  <c r="K174" i="1"/>
  <c r="L174" i="1"/>
  <c r="D175" i="1"/>
  <c r="E175" i="1"/>
  <c r="F175" i="1"/>
  <c r="G175" i="1"/>
  <c r="H175" i="1"/>
  <c r="I175" i="1"/>
  <c r="J175" i="1"/>
  <c r="K175" i="1"/>
  <c r="L175" i="1"/>
  <c r="D176" i="1"/>
  <c r="E176" i="1"/>
  <c r="F176" i="1"/>
  <c r="G176" i="1"/>
  <c r="H176" i="1"/>
  <c r="I176" i="1"/>
  <c r="J176" i="1"/>
  <c r="K176" i="1"/>
  <c r="L176" i="1"/>
  <c r="D177" i="1"/>
  <c r="E177" i="1"/>
  <c r="F177" i="1"/>
  <c r="G177" i="1"/>
  <c r="H177" i="1"/>
  <c r="I177" i="1"/>
  <c r="J177" i="1"/>
  <c r="K177" i="1"/>
  <c r="L177" i="1"/>
  <c r="D178" i="1"/>
  <c r="E178" i="1"/>
  <c r="F178" i="1"/>
  <c r="G178" i="1"/>
  <c r="H178" i="1"/>
  <c r="I178" i="1"/>
  <c r="J178" i="1"/>
  <c r="K178" i="1"/>
  <c r="L178" i="1"/>
  <c r="D179" i="1"/>
  <c r="E179" i="1"/>
  <c r="F179" i="1"/>
  <c r="G179" i="1"/>
  <c r="H179" i="1"/>
  <c r="I179" i="1"/>
  <c r="J179" i="1"/>
  <c r="K179" i="1"/>
  <c r="L179" i="1"/>
  <c r="D180" i="1"/>
  <c r="E180" i="1"/>
  <c r="F180" i="1"/>
  <c r="G180" i="1"/>
  <c r="H180" i="1"/>
  <c r="I180" i="1"/>
  <c r="J180" i="1"/>
  <c r="K180" i="1"/>
  <c r="L180" i="1"/>
  <c r="D181" i="1"/>
  <c r="E181" i="1"/>
  <c r="F181" i="1"/>
  <c r="G181" i="1"/>
  <c r="H181" i="1"/>
  <c r="I181" i="1"/>
  <c r="J181" i="1"/>
  <c r="K181" i="1"/>
  <c r="L181" i="1"/>
  <c r="D182" i="1"/>
  <c r="E182" i="1"/>
  <c r="F182" i="1"/>
  <c r="G182" i="1"/>
  <c r="H182" i="1"/>
  <c r="I182" i="1"/>
  <c r="J182" i="1"/>
  <c r="K182" i="1"/>
  <c r="L182" i="1"/>
  <c r="D183" i="1"/>
  <c r="E183" i="1"/>
  <c r="F183" i="1"/>
  <c r="G183" i="1"/>
  <c r="H183" i="1"/>
  <c r="I183" i="1"/>
  <c r="J183" i="1"/>
  <c r="K183" i="1"/>
  <c r="L183" i="1"/>
  <c r="M1" i="1"/>
  <c r="G4" i="1"/>
  <c r="F4" i="1"/>
  <c r="E4" i="1"/>
  <c r="D4" i="1"/>
  <c r="H4" i="1"/>
  <c r="I4" i="1"/>
  <c r="J4" i="1"/>
  <c r="K4" i="1"/>
  <c r="L4" i="1"/>
  <c r="M4" i="1" l="1"/>
  <c r="G9" i="2"/>
  <c r="F9" i="2"/>
  <c r="E9" i="2"/>
  <c r="D9" i="2"/>
  <c r="C9" i="2"/>
  <c r="F8" i="16" l="1"/>
  <c r="G8" i="16"/>
  <c r="G9" i="16" s="1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X9" i="16" s="1"/>
  <c r="E8" i="16"/>
  <c r="F9" i="16"/>
  <c r="D17" i="16"/>
  <c r="C17" i="16"/>
  <c r="E9" i="16"/>
  <c r="D9" i="16"/>
  <c r="C9" i="16"/>
  <c r="C2" i="16"/>
  <c r="Y8" i="15"/>
  <c r="Y9" i="15" s="1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W9" i="15" s="1"/>
  <c r="X8" i="15"/>
  <c r="F8" i="15"/>
  <c r="D17" i="15"/>
  <c r="C17" i="15"/>
  <c r="E17" i="15"/>
  <c r="D9" i="15"/>
  <c r="C9" i="15"/>
  <c r="N9" i="16" l="1"/>
  <c r="V9" i="16"/>
  <c r="I9" i="16"/>
  <c r="Q9" i="16"/>
  <c r="J9" i="16"/>
  <c r="R9" i="16"/>
  <c r="M9" i="16"/>
  <c r="U9" i="16"/>
  <c r="K9" i="16"/>
  <c r="O9" i="16"/>
  <c r="S9" i="16"/>
  <c r="W9" i="16"/>
  <c r="H9" i="16"/>
  <c r="L9" i="16"/>
  <c r="P9" i="16"/>
  <c r="T9" i="16"/>
  <c r="L9" i="15"/>
  <c r="T9" i="15"/>
  <c r="E8" i="15"/>
  <c r="E9" i="15" s="1"/>
  <c r="I9" i="15"/>
  <c r="M9" i="15"/>
  <c r="Q9" i="15"/>
  <c r="U9" i="15"/>
  <c r="H9" i="15"/>
  <c r="P9" i="15"/>
  <c r="X9" i="15"/>
  <c r="F9" i="15"/>
  <c r="J9" i="15"/>
  <c r="N9" i="15"/>
  <c r="R9" i="15"/>
  <c r="V9" i="15"/>
  <c r="G9" i="15"/>
  <c r="K9" i="15"/>
  <c r="O9" i="15"/>
  <c r="S9" i="15"/>
  <c r="C10" i="16" l="1"/>
  <c r="C10" i="15"/>
  <c r="D17" i="14" l="1"/>
  <c r="C17" i="14"/>
  <c r="D9" i="14"/>
  <c r="C9" i="14"/>
  <c r="D17" i="13"/>
  <c r="C17" i="13"/>
  <c r="D9" i="13"/>
  <c r="C9" i="13"/>
  <c r="C2" i="12"/>
  <c r="G18" i="12"/>
  <c r="F18" i="12"/>
  <c r="E18" i="12"/>
  <c r="D18" i="12"/>
  <c r="C18" i="12"/>
  <c r="G10" i="12"/>
  <c r="F10" i="12"/>
  <c r="E10" i="12"/>
  <c r="D10" i="12"/>
  <c r="C10" i="12"/>
  <c r="W8" i="11"/>
  <c r="W9" i="11" s="1"/>
  <c r="C2" i="11"/>
  <c r="G17" i="11"/>
  <c r="F17" i="11"/>
  <c r="E17" i="11"/>
  <c r="D17" i="11"/>
  <c r="C17" i="11"/>
  <c r="G9" i="11"/>
  <c r="F9" i="11"/>
  <c r="E9" i="11"/>
  <c r="D9" i="11"/>
  <c r="C9" i="11"/>
  <c r="Z8" i="10"/>
  <c r="Z9" i="10" s="1"/>
  <c r="C2" i="10"/>
  <c r="G17" i="10"/>
  <c r="F17" i="10"/>
  <c r="E17" i="10"/>
  <c r="D17" i="10"/>
  <c r="C17" i="10"/>
  <c r="G9" i="10"/>
  <c r="F9" i="10"/>
  <c r="E9" i="10"/>
  <c r="D9" i="10"/>
  <c r="C9" i="10"/>
  <c r="H8" i="11" l="1"/>
  <c r="H9" i="11" s="1"/>
  <c r="L8" i="11"/>
  <c r="L9" i="11" s="1"/>
  <c r="P8" i="11"/>
  <c r="P9" i="11" s="1"/>
  <c r="T8" i="11"/>
  <c r="T9" i="11" s="1"/>
  <c r="X8" i="11"/>
  <c r="X9" i="11" s="1"/>
  <c r="I8" i="11"/>
  <c r="I9" i="11" s="1"/>
  <c r="M8" i="11"/>
  <c r="M9" i="11" s="1"/>
  <c r="Q8" i="11"/>
  <c r="Q9" i="11" s="1"/>
  <c r="U8" i="11"/>
  <c r="U9" i="11" s="1"/>
  <c r="Y8" i="11"/>
  <c r="Y9" i="11" s="1"/>
  <c r="J8" i="11"/>
  <c r="J9" i="11" s="1"/>
  <c r="N8" i="11"/>
  <c r="N9" i="11" s="1"/>
  <c r="R8" i="11"/>
  <c r="R9" i="11" s="1"/>
  <c r="V8" i="11"/>
  <c r="V9" i="11" s="1"/>
  <c r="Z8" i="11"/>
  <c r="Z9" i="11" s="1"/>
  <c r="K8" i="11"/>
  <c r="K9" i="11" s="1"/>
  <c r="S8" i="11"/>
  <c r="S9" i="11" s="1"/>
  <c r="AA8" i="11"/>
  <c r="AA9" i="11" s="1"/>
  <c r="O8" i="11"/>
  <c r="O9" i="11" s="1"/>
  <c r="K8" i="10"/>
  <c r="K9" i="10" s="1"/>
  <c r="H8" i="10"/>
  <c r="H9" i="10" s="1"/>
  <c r="P8" i="10"/>
  <c r="P9" i="10" s="1"/>
  <c r="T8" i="10"/>
  <c r="T9" i="10" s="1"/>
  <c r="X8" i="10"/>
  <c r="X9" i="10" s="1"/>
  <c r="I8" i="10"/>
  <c r="I9" i="10" s="1"/>
  <c r="M8" i="10"/>
  <c r="M9" i="10" s="1"/>
  <c r="Q8" i="10"/>
  <c r="Q9" i="10" s="1"/>
  <c r="U8" i="10"/>
  <c r="U9" i="10" s="1"/>
  <c r="Y8" i="10"/>
  <c r="Y9" i="10" s="1"/>
  <c r="O8" i="10"/>
  <c r="O9" i="10" s="1"/>
  <c r="S8" i="10"/>
  <c r="S9" i="10" s="1"/>
  <c r="W8" i="10"/>
  <c r="W9" i="10" s="1"/>
  <c r="AA8" i="10"/>
  <c r="AA9" i="10" s="1"/>
  <c r="L8" i="10"/>
  <c r="L9" i="10" s="1"/>
  <c r="J8" i="10"/>
  <c r="J9" i="10" s="1"/>
  <c r="N8" i="10"/>
  <c r="N9" i="10" s="1"/>
  <c r="R8" i="10"/>
  <c r="R9" i="10" s="1"/>
  <c r="V8" i="10"/>
  <c r="V9" i="10" s="1"/>
  <c r="C10" i="11" l="1"/>
  <c r="C10" i="10"/>
  <c r="Q8" i="9"/>
  <c r="Q9" i="9" s="1"/>
  <c r="C2" i="9"/>
  <c r="G17" i="9"/>
  <c r="F17" i="9"/>
  <c r="E17" i="9"/>
  <c r="D17" i="9"/>
  <c r="C17" i="9"/>
  <c r="G9" i="9"/>
  <c r="F9" i="9"/>
  <c r="E9" i="9"/>
  <c r="D9" i="9"/>
  <c r="C9" i="9"/>
  <c r="H61" i="12" l="1"/>
  <c r="Q62" i="12" s="1"/>
  <c r="V8" i="9"/>
  <c r="V9" i="9" s="1"/>
  <c r="H8" i="9"/>
  <c r="H9" i="9" s="1"/>
  <c r="M8" i="9"/>
  <c r="M9" i="9" s="1"/>
  <c r="R8" i="9"/>
  <c r="R9" i="9" s="1"/>
  <c r="L8" i="9"/>
  <c r="L9" i="9" s="1"/>
  <c r="Z8" i="9"/>
  <c r="Z9" i="9" s="1"/>
  <c r="X8" i="9"/>
  <c r="X9" i="9" s="1"/>
  <c r="AA8" i="9"/>
  <c r="AA9" i="9" s="1"/>
  <c r="I8" i="9"/>
  <c r="I9" i="9" s="1"/>
  <c r="T8" i="9"/>
  <c r="T9" i="9" s="1"/>
  <c r="Y8" i="9"/>
  <c r="Y9" i="9" s="1"/>
  <c r="N8" i="9"/>
  <c r="N9" i="9" s="1"/>
  <c r="J8" i="9"/>
  <c r="J9" i="9" s="1"/>
  <c r="P8" i="9"/>
  <c r="P9" i="9" s="1"/>
  <c r="U8" i="9"/>
  <c r="U9" i="9" s="1"/>
  <c r="K8" i="9"/>
  <c r="K9" i="9" s="1"/>
  <c r="O8" i="9"/>
  <c r="O9" i="9" s="1"/>
  <c r="S8" i="9"/>
  <c r="S9" i="9" s="1"/>
  <c r="W8" i="9"/>
  <c r="W9" i="9" s="1"/>
  <c r="AA8" i="8"/>
  <c r="AA9" i="8" s="1"/>
  <c r="C2" i="8"/>
  <c r="G17" i="8"/>
  <c r="F17" i="8"/>
  <c r="E17" i="8"/>
  <c r="D17" i="8"/>
  <c r="C17" i="8"/>
  <c r="G9" i="8"/>
  <c r="F9" i="8"/>
  <c r="E9" i="8"/>
  <c r="D9" i="8"/>
  <c r="C9" i="8"/>
  <c r="X8" i="7"/>
  <c r="X9" i="7" s="1"/>
  <c r="C2" i="7"/>
  <c r="G17" i="7"/>
  <c r="F17" i="7"/>
  <c r="E17" i="7"/>
  <c r="D17" i="7"/>
  <c r="C17" i="7"/>
  <c r="G9" i="7"/>
  <c r="F9" i="7"/>
  <c r="E9" i="7"/>
  <c r="D9" i="7"/>
  <c r="C9" i="7"/>
  <c r="U8" i="6"/>
  <c r="U9" i="6" s="1"/>
  <c r="C2" i="6"/>
  <c r="C2" i="4"/>
  <c r="C2" i="2"/>
  <c r="G17" i="6"/>
  <c r="F17" i="6"/>
  <c r="E17" i="6"/>
  <c r="D17" i="6"/>
  <c r="C17" i="6"/>
  <c r="G9" i="6"/>
  <c r="F9" i="6"/>
  <c r="E9" i="6"/>
  <c r="D9" i="6"/>
  <c r="C9" i="6"/>
  <c r="L62" i="12" l="1"/>
  <c r="L64" i="12" s="1"/>
  <c r="V62" i="12"/>
  <c r="V64" i="12" s="1"/>
  <c r="P62" i="12"/>
  <c r="P64" i="12" s="1"/>
  <c r="W62" i="12"/>
  <c r="W64" i="12" s="1"/>
  <c r="AA62" i="12"/>
  <c r="AA64" i="12" s="1"/>
  <c r="M62" i="12"/>
  <c r="M64" i="12" s="1"/>
  <c r="Z62" i="12"/>
  <c r="Z64" i="12" s="1"/>
  <c r="X62" i="12"/>
  <c r="X63" i="12" s="1"/>
  <c r="U62" i="12"/>
  <c r="U64" i="12" s="1"/>
  <c r="I62" i="12"/>
  <c r="I64" i="12" s="1"/>
  <c r="N62" i="12"/>
  <c r="N63" i="12" s="1"/>
  <c r="Y62" i="12"/>
  <c r="Y63" i="12" s="1"/>
  <c r="O62" i="12"/>
  <c r="O64" i="12" s="1"/>
  <c r="R62" i="12"/>
  <c r="R64" i="12" s="1"/>
  <c r="H62" i="12"/>
  <c r="H63" i="12" s="1"/>
  <c r="T62" i="12"/>
  <c r="T63" i="12" s="1"/>
  <c r="K62" i="12"/>
  <c r="K63" i="12" s="1"/>
  <c r="S62" i="12"/>
  <c r="S64" i="12" s="1"/>
  <c r="J62" i="12"/>
  <c r="J64" i="12" s="1"/>
  <c r="Q8" i="39"/>
  <c r="Q9" i="39" s="1"/>
  <c r="W8" i="39"/>
  <c r="W9" i="39" s="1"/>
  <c r="J8" i="39"/>
  <c r="J9" i="39" s="1"/>
  <c r="S8" i="39"/>
  <c r="S9" i="39" s="1"/>
  <c r="R8" i="39"/>
  <c r="R9" i="39" s="1"/>
  <c r="O8" i="39"/>
  <c r="O9" i="39" s="1"/>
  <c r="K8" i="39"/>
  <c r="K9" i="39" s="1"/>
  <c r="G8" i="39"/>
  <c r="G9" i="39" s="1"/>
  <c r="V8" i="39"/>
  <c r="V9" i="39" s="1"/>
  <c r="T8" i="39"/>
  <c r="T9" i="39" s="1"/>
  <c r="P8" i="39"/>
  <c r="P9" i="39" s="1"/>
  <c r="X8" i="39"/>
  <c r="X9" i="39" s="1"/>
  <c r="U8" i="39"/>
  <c r="U9" i="39" s="1"/>
  <c r="E8" i="39"/>
  <c r="E9" i="39" s="1"/>
  <c r="I8" i="39"/>
  <c r="I9" i="39" s="1"/>
  <c r="M8" i="39"/>
  <c r="M9" i="39" s="1"/>
  <c r="N8" i="39"/>
  <c r="N9" i="39" s="1"/>
  <c r="H8" i="39"/>
  <c r="H9" i="39" s="1"/>
  <c r="F8" i="39"/>
  <c r="F9" i="39" s="1"/>
  <c r="L8" i="39"/>
  <c r="L9" i="39" s="1"/>
  <c r="Q64" i="12"/>
  <c r="Q63" i="12"/>
  <c r="V63" i="12"/>
  <c r="G8" i="13"/>
  <c r="G9" i="13" s="1"/>
  <c r="F8" i="13"/>
  <c r="F9" i="13" s="1"/>
  <c r="T8" i="13"/>
  <c r="T9" i="13" s="1"/>
  <c r="M8" i="13"/>
  <c r="M9" i="13" s="1"/>
  <c r="N8" i="13"/>
  <c r="N9" i="13" s="1"/>
  <c r="O8" i="13"/>
  <c r="O9" i="13" s="1"/>
  <c r="J8" i="13"/>
  <c r="J9" i="13" s="1"/>
  <c r="E8" i="13"/>
  <c r="E9" i="13" s="1"/>
  <c r="H8" i="13"/>
  <c r="H9" i="13" s="1"/>
  <c r="Q8" i="13"/>
  <c r="Q9" i="13" s="1"/>
  <c r="R8" i="13"/>
  <c r="R9" i="13" s="1"/>
  <c r="S8" i="13"/>
  <c r="S9" i="13" s="1"/>
  <c r="X8" i="13"/>
  <c r="X9" i="13" s="1"/>
  <c r="P8" i="13"/>
  <c r="P9" i="13" s="1"/>
  <c r="U8" i="13"/>
  <c r="U9" i="13" s="1"/>
  <c r="V8" i="13"/>
  <c r="V9" i="13" s="1"/>
  <c r="W8" i="13"/>
  <c r="W9" i="13" s="1"/>
  <c r="L8" i="13"/>
  <c r="L9" i="13" s="1"/>
  <c r="I8" i="13"/>
  <c r="I9" i="13" s="1"/>
  <c r="K8" i="13"/>
  <c r="K9" i="13" s="1"/>
  <c r="U8" i="14"/>
  <c r="U9" i="14" s="1"/>
  <c r="J8" i="14"/>
  <c r="J9" i="14" s="1"/>
  <c r="F8" i="14"/>
  <c r="F9" i="14" s="1"/>
  <c r="H8" i="14"/>
  <c r="H9" i="14" s="1"/>
  <c r="X8" i="14"/>
  <c r="X9" i="14" s="1"/>
  <c r="Q8" i="14"/>
  <c r="Q9" i="14" s="1"/>
  <c r="S8" i="14"/>
  <c r="S9" i="14" s="1"/>
  <c r="G8" i="14"/>
  <c r="G9" i="14" s="1"/>
  <c r="R8" i="14"/>
  <c r="R9" i="14" s="1"/>
  <c r="N8" i="14"/>
  <c r="N9" i="14" s="1"/>
  <c r="L8" i="14"/>
  <c r="L9" i="14" s="1"/>
  <c r="E8" i="14"/>
  <c r="E9" i="14" s="1"/>
  <c r="O8" i="14"/>
  <c r="O9" i="14" s="1"/>
  <c r="K8" i="14"/>
  <c r="K9" i="14" s="1"/>
  <c r="V8" i="14"/>
  <c r="V9" i="14" s="1"/>
  <c r="P8" i="14"/>
  <c r="P9" i="14" s="1"/>
  <c r="I8" i="14"/>
  <c r="I9" i="14" s="1"/>
  <c r="W8" i="14"/>
  <c r="W9" i="14" s="1"/>
  <c r="T8" i="14"/>
  <c r="T9" i="14" s="1"/>
  <c r="M8" i="14"/>
  <c r="M9" i="14" s="1"/>
  <c r="U9" i="12"/>
  <c r="U10" i="12" s="1"/>
  <c r="X9" i="12"/>
  <c r="X10" i="12" s="1"/>
  <c r="N9" i="12"/>
  <c r="N10" i="12" s="1"/>
  <c r="Y9" i="12"/>
  <c r="Y10" i="12" s="1"/>
  <c r="W9" i="12"/>
  <c r="W10" i="12" s="1"/>
  <c r="P9" i="12"/>
  <c r="P10" i="12" s="1"/>
  <c r="H9" i="12"/>
  <c r="H10" i="12" s="1"/>
  <c r="M9" i="12"/>
  <c r="M10" i="12" s="1"/>
  <c r="Z9" i="12"/>
  <c r="Z10" i="12" s="1"/>
  <c r="S9" i="12"/>
  <c r="S10" i="12" s="1"/>
  <c r="L9" i="12"/>
  <c r="L10" i="12" s="1"/>
  <c r="V9" i="12"/>
  <c r="V10" i="12" s="1"/>
  <c r="J9" i="12"/>
  <c r="J10" i="12" s="1"/>
  <c r="K9" i="12"/>
  <c r="K10" i="12" s="1"/>
  <c r="AA9" i="12"/>
  <c r="AA10" i="12" s="1"/>
  <c r="T9" i="12"/>
  <c r="T10" i="12" s="1"/>
  <c r="I9" i="12"/>
  <c r="I10" i="12" s="1"/>
  <c r="R9" i="12"/>
  <c r="R10" i="12" s="1"/>
  <c r="O9" i="12"/>
  <c r="O10" i="12" s="1"/>
  <c r="Q9" i="12"/>
  <c r="Q10" i="12" s="1"/>
  <c r="I8" i="6"/>
  <c r="I9" i="6" s="1"/>
  <c r="Y8" i="6"/>
  <c r="Y9" i="6" s="1"/>
  <c r="L8" i="6"/>
  <c r="L9" i="6" s="1"/>
  <c r="X8" i="6"/>
  <c r="X9" i="6" s="1"/>
  <c r="M8" i="6"/>
  <c r="M9" i="6" s="1"/>
  <c r="H8" i="6"/>
  <c r="H9" i="6" s="1"/>
  <c r="Q8" i="6"/>
  <c r="Q9" i="6" s="1"/>
  <c r="C10" i="9"/>
  <c r="K8" i="8"/>
  <c r="K9" i="8" s="1"/>
  <c r="H8" i="8"/>
  <c r="H9" i="8" s="1"/>
  <c r="L8" i="8"/>
  <c r="L9" i="8" s="1"/>
  <c r="P8" i="8"/>
  <c r="P9" i="8" s="1"/>
  <c r="T8" i="8"/>
  <c r="T9" i="8" s="1"/>
  <c r="X8" i="8"/>
  <c r="X9" i="8" s="1"/>
  <c r="I8" i="8"/>
  <c r="I9" i="8" s="1"/>
  <c r="M8" i="8"/>
  <c r="M9" i="8" s="1"/>
  <c r="Q8" i="8"/>
  <c r="Q9" i="8" s="1"/>
  <c r="U8" i="8"/>
  <c r="U9" i="8" s="1"/>
  <c r="Y8" i="8"/>
  <c r="Y9" i="8" s="1"/>
  <c r="J8" i="8"/>
  <c r="J9" i="8" s="1"/>
  <c r="N8" i="8"/>
  <c r="N9" i="8" s="1"/>
  <c r="R8" i="8"/>
  <c r="R9" i="8" s="1"/>
  <c r="V8" i="8"/>
  <c r="V9" i="8" s="1"/>
  <c r="Z8" i="8"/>
  <c r="Z9" i="8" s="1"/>
  <c r="O8" i="8"/>
  <c r="O9" i="8" s="1"/>
  <c r="S8" i="8"/>
  <c r="S9" i="8" s="1"/>
  <c r="W8" i="8"/>
  <c r="W9" i="8" s="1"/>
  <c r="J8" i="7"/>
  <c r="J9" i="7" s="1"/>
  <c r="N8" i="7"/>
  <c r="N9" i="7" s="1"/>
  <c r="R8" i="7"/>
  <c r="R9" i="7" s="1"/>
  <c r="V8" i="7"/>
  <c r="V9" i="7" s="1"/>
  <c r="Z8" i="7"/>
  <c r="Z9" i="7" s="1"/>
  <c r="I8" i="7"/>
  <c r="I9" i="7" s="1"/>
  <c r="M8" i="7"/>
  <c r="M9" i="7" s="1"/>
  <c r="Q8" i="7"/>
  <c r="Q9" i="7" s="1"/>
  <c r="U8" i="7"/>
  <c r="U9" i="7" s="1"/>
  <c r="Y8" i="7"/>
  <c r="Y9" i="7" s="1"/>
  <c r="K8" i="7"/>
  <c r="K9" i="7" s="1"/>
  <c r="O8" i="7"/>
  <c r="O9" i="7" s="1"/>
  <c r="S8" i="7"/>
  <c r="S9" i="7" s="1"/>
  <c r="W8" i="7"/>
  <c r="W9" i="7" s="1"/>
  <c r="AA8" i="7"/>
  <c r="AA9" i="7" s="1"/>
  <c r="H8" i="7"/>
  <c r="H9" i="7" s="1"/>
  <c r="L8" i="7"/>
  <c r="L9" i="7" s="1"/>
  <c r="P8" i="7"/>
  <c r="P9" i="7" s="1"/>
  <c r="T8" i="7"/>
  <c r="T9" i="7" s="1"/>
  <c r="J8" i="6"/>
  <c r="J9" i="6" s="1"/>
  <c r="N8" i="6"/>
  <c r="N9" i="6" s="1"/>
  <c r="R8" i="6"/>
  <c r="R9" i="6" s="1"/>
  <c r="V8" i="6"/>
  <c r="V9" i="6" s="1"/>
  <c r="Z8" i="6"/>
  <c r="Z9" i="6" s="1"/>
  <c r="K8" i="6"/>
  <c r="K9" i="6" s="1"/>
  <c r="O8" i="6"/>
  <c r="O9" i="6" s="1"/>
  <c r="S8" i="6"/>
  <c r="S9" i="6" s="1"/>
  <c r="W8" i="6"/>
  <c r="W9" i="6" s="1"/>
  <c r="AA8" i="6"/>
  <c r="AA9" i="6" s="1"/>
  <c r="P8" i="6"/>
  <c r="P9" i="6" s="1"/>
  <c r="T8" i="6"/>
  <c r="T9" i="6" s="1"/>
  <c r="L8" i="4"/>
  <c r="L9" i="4" s="1"/>
  <c r="G17" i="4"/>
  <c r="F17" i="4"/>
  <c r="E17" i="4"/>
  <c r="D17" i="4"/>
  <c r="C17" i="4"/>
  <c r="G9" i="4"/>
  <c r="F9" i="4"/>
  <c r="E9" i="4"/>
  <c r="D9" i="4"/>
  <c r="C9" i="4"/>
  <c r="W63" i="12" l="1"/>
  <c r="P63" i="12"/>
  <c r="Z63" i="12"/>
  <c r="I63" i="12"/>
  <c r="L63" i="12"/>
  <c r="AA63" i="12"/>
  <c r="U63" i="12"/>
  <c r="X64" i="12"/>
  <c r="K64" i="12"/>
  <c r="Y64" i="12"/>
  <c r="T64" i="12"/>
  <c r="J63" i="12"/>
  <c r="M63" i="12"/>
  <c r="S63" i="12"/>
  <c r="N64" i="12"/>
  <c r="R63" i="12"/>
  <c r="O63" i="12"/>
  <c r="H64" i="12"/>
  <c r="C10" i="39"/>
  <c r="C11" i="12"/>
  <c r="C10" i="14"/>
  <c r="C10" i="13"/>
  <c r="C10" i="7"/>
  <c r="C10" i="8"/>
  <c r="C10" i="6"/>
  <c r="K8" i="4"/>
  <c r="K9" i="4" s="1"/>
  <c r="M8" i="4"/>
  <c r="M9" i="4" s="1"/>
  <c r="U8" i="4"/>
  <c r="U9" i="4" s="1"/>
  <c r="R8" i="4"/>
  <c r="R9" i="4" s="1"/>
  <c r="T8" i="4"/>
  <c r="T9" i="4" s="1"/>
  <c r="N8" i="4"/>
  <c r="N9" i="4" s="1"/>
  <c r="V8" i="4"/>
  <c r="V9" i="4" s="1"/>
  <c r="W8" i="4"/>
  <c r="W9" i="4" s="1"/>
  <c r="H8" i="4"/>
  <c r="H9" i="4" s="1"/>
  <c r="P8" i="4"/>
  <c r="P9" i="4" s="1"/>
  <c r="X8" i="4"/>
  <c r="X9" i="4" s="1"/>
  <c r="I9" i="4"/>
  <c r="Q8" i="4"/>
  <c r="Q9" i="4" s="1"/>
  <c r="Y8" i="4"/>
  <c r="Y9" i="4" s="1"/>
  <c r="O8" i="4"/>
  <c r="O9" i="4" s="1"/>
  <c r="S8" i="4"/>
  <c r="S9" i="4" s="1"/>
  <c r="AA8" i="4"/>
  <c r="AA9" i="4" s="1"/>
  <c r="J8" i="4"/>
  <c r="J9" i="4" s="1"/>
  <c r="Z8" i="4"/>
  <c r="Z9" i="4" s="1"/>
  <c r="C65" i="12" l="1"/>
  <c r="C66" i="12"/>
  <c r="C10" i="4"/>
  <c r="C18" i="2" l="1"/>
  <c r="D10" i="2"/>
  <c r="E10" i="2"/>
  <c r="F10" i="2"/>
  <c r="G10" i="2"/>
  <c r="C10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4" i="1"/>
  <c r="Z8" i="2" l="1"/>
  <c r="Z10" i="2" l="1"/>
  <c r="Z9" i="2"/>
  <c r="L8" i="2"/>
  <c r="P8" i="2"/>
  <c r="S8" i="2"/>
  <c r="T8" i="2"/>
  <c r="X8" i="2"/>
  <c r="K8" i="2"/>
  <c r="AA8" i="2"/>
  <c r="M8" i="2"/>
  <c r="U8" i="2"/>
  <c r="N8" i="2"/>
  <c r="V8" i="2"/>
  <c r="O8" i="2"/>
  <c r="W8" i="2"/>
  <c r="Q8" i="2"/>
  <c r="Y8" i="2"/>
  <c r="J8" i="2"/>
  <c r="R8" i="2"/>
  <c r="T5" i="1"/>
  <c r="U9" i="1"/>
  <c r="U27" i="1" s="1"/>
  <c r="V5" i="1"/>
  <c r="H42" i="4" s="1"/>
  <c r="H43" i="4" s="1"/>
  <c r="W9" i="1"/>
  <c r="C184" i="1"/>
  <c r="W27" i="1" l="1"/>
  <c r="I16" i="38"/>
  <c r="I17" i="38" s="1"/>
  <c r="I42" i="38"/>
  <c r="I43" i="38" s="1"/>
  <c r="H16" i="4"/>
  <c r="V23" i="1"/>
  <c r="V18" i="1"/>
  <c r="H16" i="39" s="1"/>
  <c r="H17" i="39" s="1"/>
  <c r="T23" i="1"/>
  <c r="T18" i="1"/>
  <c r="F16" i="39" s="1"/>
  <c r="F17" i="39" s="1"/>
  <c r="J10" i="2"/>
  <c r="J9" i="2"/>
  <c r="W10" i="2"/>
  <c r="W9" i="2"/>
  <c r="U10" i="2"/>
  <c r="U9" i="2"/>
  <c r="X10" i="2"/>
  <c r="X9" i="2"/>
  <c r="P10" i="2"/>
  <c r="P9" i="2"/>
  <c r="Y10" i="2"/>
  <c r="Y9" i="2"/>
  <c r="O10" i="2"/>
  <c r="O9" i="2"/>
  <c r="M10" i="2"/>
  <c r="M9" i="2"/>
  <c r="T10" i="2"/>
  <c r="T9" i="2"/>
  <c r="L10" i="2"/>
  <c r="L9" i="2"/>
  <c r="Q10" i="2"/>
  <c r="Q9" i="2"/>
  <c r="V10" i="2"/>
  <c r="V9" i="2"/>
  <c r="AA10" i="2"/>
  <c r="AA9" i="2"/>
  <c r="S10" i="2"/>
  <c r="S9" i="2"/>
  <c r="R10" i="2"/>
  <c r="R9" i="2"/>
  <c r="I10" i="2"/>
  <c r="I9" i="2"/>
  <c r="N10" i="2"/>
  <c r="N9" i="2"/>
  <c r="K10" i="2"/>
  <c r="K9" i="2"/>
  <c r="AE9" i="1"/>
  <c r="AD5" i="1"/>
  <c r="P42" i="4" s="1"/>
  <c r="P43" i="4" s="1"/>
  <c r="AC9" i="1"/>
  <c r="AB5" i="1"/>
  <c r="N42" i="4" s="1"/>
  <c r="N43" i="4" s="1"/>
  <c r="AA9" i="1"/>
  <c r="Y9" i="1"/>
  <c r="S9" i="1"/>
  <c r="S27" i="1" s="1"/>
  <c r="R5" i="1"/>
  <c r="AD4" i="1"/>
  <c r="P47" i="2" s="1"/>
  <c r="P48" i="2" s="1"/>
  <c r="Z5" i="1"/>
  <c r="L42" i="4" s="1"/>
  <c r="L43" i="4" s="1"/>
  <c r="AE4" i="1"/>
  <c r="Q47" i="2" s="1"/>
  <c r="Q48" i="2" s="1"/>
  <c r="Q5" i="1"/>
  <c r="AE8" i="1"/>
  <c r="AE26" i="1" s="1"/>
  <c r="AD12" i="1"/>
  <c r="AC8" i="1"/>
  <c r="AC26" i="1" s="1"/>
  <c r="AB12" i="1"/>
  <c r="AB4" i="1"/>
  <c r="N47" i="2" s="1"/>
  <c r="N48" i="2" s="1"/>
  <c r="AA8" i="1"/>
  <c r="AA26" i="1" s="1"/>
  <c r="Z12" i="1"/>
  <c r="Z4" i="1"/>
  <c r="L47" i="2" s="1"/>
  <c r="L48" i="2" s="1"/>
  <c r="Y8" i="1"/>
  <c r="Y26" i="1" s="1"/>
  <c r="X12" i="1"/>
  <c r="X4" i="1"/>
  <c r="J47" i="2" s="1"/>
  <c r="J48" i="2" s="1"/>
  <c r="W8" i="1"/>
  <c r="W26" i="1" s="1"/>
  <c r="V12" i="1"/>
  <c r="V4" i="1"/>
  <c r="U8" i="1"/>
  <c r="U26" i="1" s="1"/>
  <c r="T12" i="1"/>
  <c r="T4" i="1"/>
  <c r="S8" i="1"/>
  <c r="S26" i="1" s="1"/>
  <c r="R12" i="1"/>
  <c r="R30" i="1" s="1"/>
  <c r="R4" i="1"/>
  <c r="Q6" i="1"/>
  <c r="Q24" i="1" s="1"/>
  <c r="X5" i="1"/>
  <c r="J42" i="4" s="1"/>
  <c r="J43" i="4" s="1"/>
  <c r="Q12" i="1"/>
  <c r="Q30" i="1" s="1"/>
  <c r="AE7" i="1"/>
  <c r="AD11" i="1"/>
  <c r="AD29" i="1" s="1"/>
  <c r="AC7" i="1"/>
  <c r="AB11" i="1"/>
  <c r="AB29" i="1" s="1"/>
  <c r="AA7" i="1"/>
  <c r="Z11" i="1"/>
  <c r="Z29" i="1" s="1"/>
  <c r="Y7" i="1"/>
  <c r="X11" i="1"/>
  <c r="X29" i="1" s="1"/>
  <c r="W7" i="1"/>
  <c r="V11" i="1"/>
  <c r="V29" i="1" s="1"/>
  <c r="U7" i="1"/>
  <c r="U25" i="1" s="1"/>
  <c r="T11" i="1"/>
  <c r="T29" i="1" s="1"/>
  <c r="S7" i="1"/>
  <c r="S25" i="1" s="1"/>
  <c r="R11" i="1"/>
  <c r="R29" i="1" s="1"/>
  <c r="Q11" i="1"/>
  <c r="Q29" i="1" s="1"/>
  <c r="AE6" i="1"/>
  <c r="AD10" i="1"/>
  <c r="P42" i="9" s="1"/>
  <c r="P43" i="9" s="1"/>
  <c r="AC6" i="1"/>
  <c r="O43" i="6" s="1"/>
  <c r="O44" i="6" s="1"/>
  <c r="AB10" i="1"/>
  <c r="N42" i="9" s="1"/>
  <c r="N43" i="9" s="1"/>
  <c r="AA6" i="1"/>
  <c r="M43" i="6" s="1"/>
  <c r="M44" i="6" s="1"/>
  <c r="Z10" i="1"/>
  <c r="L42" i="9" s="1"/>
  <c r="L43" i="9" s="1"/>
  <c r="Y6" i="1"/>
  <c r="K43" i="6" s="1"/>
  <c r="K44" i="6" s="1"/>
  <c r="X10" i="1"/>
  <c r="J42" i="9" s="1"/>
  <c r="J43" i="9" s="1"/>
  <c r="W6" i="1"/>
  <c r="I43" i="6" s="1"/>
  <c r="I44" i="6" s="1"/>
  <c r="V10" i="1"/>
  <c r="H42" i="9" s="1"/>
  <c r="H43" i="9" s="1"/>
  <c r="U6" i="1"/>
  <c r="U24" i="1" s="1"/>
  <c r="T10" i="1"/>
  <c r="T28" i="1" s="1"/>
  <c r="S6" i="1"/>
  <c r="S24" i="1" s="1"/>
  <c r="R10" i="1"/>
  <c r="R28" i="1" s="1"/>
  <c r="Q10" i="1"/>
  <c r="Q28" i="1" s="1"/>
  <c r="AE5" i="1"/>
  <c r="Q42" i="4" s="1"/>
  <c r="Q43" i="4" s="1"/>
  <c r="AD9" i="1"/>
  <c r="AC5" i="1"/>
  <c r="O42" i="4" s="1"/>
  <c r="O43" i="4" s="1"/>
  <c r="AB9" i="1"/>
  <c r="AA5" i="1"/>
  <c r="M42" i="4" s="1"/>
  <c r="M43" i="4" s="1"/>
  <c r="Z9" i="1"/>
  <c r="Y5" i="1"/>
  <c r="K42" i="4" s="1"/>
  <c r="K43" i="4" s="1"/>
  <c r="X9" i="1"/>
  <c r="W5" i="1"/>
  <c r="I42" i="4" s="1"/>
  <c r="I43" i="4" s="1"/>
  <c r="V9" i="1"/>
  <c r="U5" i="1"/>
  <c r="T9" i="1"/>
  <c r="T27" i="1" s="1"/>
  <c r="S5" i="1"/>
  <c r="R9" i="1"/>
  <c r="R27" i="1" s="1"/>
  <c r="Q4" i="1"/>
  <c r="AD8" i="1"/>
  <c r="AD26" i="1" s="1"/>
  <c r="AC12" i="1"/>
  <c r="AC4" i="1"/>
  <c r="O47" i="2" s="1"/>
  <c r="O48" i="2" s="1"/>
  <c r="AB8" i="1"/>
  <c r="AB26" i="1" s="1"/>
  <c r="AA12" i="1"/>
  <c r="AA4" i="1"/>
  <c r="M47" i="2" s="1"/>
  <c r="M48" i="2" s="1"/>
  <c r="Z8" i="1"/>
  <c r="Z26" i="1" s="1"/>
  <c r="Y12" i="1"/>
  <c r="Y4" i="1"/>
  <c r="K47" i="2" s="1"/>
  <c r="K48" i="2" s="1"/>
  <c r="X8" i="1"/>
  <c r="X26" i="1" s="1"/>
  <c r="W12" i="1"/>
  <c r="W4" i="1"/>
  <c r="I47" i="2" s="1"/>
  <c r="I48" i="2" s="1"/>
  <c r="V8" i="1"/>
  <c r="V26" i="1" s="1"/>
  <c r="U12" i="1"/>
  <c r="U4" i="1"/>
  <c r="T8" i="1"/>
  <c r="T26" i="1" s="1"/>
  <c r="S12" i="1"/>
  <c r="S4" i="1"/>
  <c r="R8" i="1"/>
  <c r="R26" i="1" s="1"/>
  <c r="Q9" i="1"/>
  <c r="Q27" i="1" s="1"/>
  <c r="Q8" i="1"/>
  <c r="Q26" i="1" s="1"/>
  <c r="AE11" i="1"/>
  <c r="AE29" i="1" s="1"/>
  <c r="AD7" i="1"/>
  <c r="AC11" i="1"/>
  <c r="AC29" i="1" s="1"/>
  <c r="AB7" i="1"/>
  <c r="AA11" i="1"/>
  <c r="AA29" i="1" s="1"/>
  <c r="Z7" i="1"/>
  <c r="Y11" i="1"/>
  <c r="Y29" i="1" s="1"/>
  <c r="X7" i="1"/>
  <c r="W11" i="1"/>
  <c r="W29" i="1" s="1"/>
  <c r="V7" i="1"/>
  <c r="U11" i="1"/>
  <c r="U29" i="1" s="1"/>
  <c r="T7" i="1"/>
  <c r="T25" i="1" s="1"/>
  <c r="S11" i="1"/>
  <c r="S29" i="1" s="1"/>
  <c r="R7" i="1"/>
  <c r="R25" i="1" s="1"/>
  <c r="AE12" i="1"/>
  <c r="Q7" i="1"/>
  <c r="Q25" i="1" s="1"/>
  <c r="AE10" i="1"/>
  <c r="AD6" i="1"/>
  <c r="P43" i="6" s="1"/>
  <c r="P44" i="6" s="1"/>
  <c r="AC10" i="1"/>
  <c r="O42" i="9" s="1"/>
  <c r="O43" i="9" s="1"/>
  <c r="AB6" i="1"/>
  <c r="N43" i="6" s="1"/>
  <c r="N44" i="6" s="1"/>
  <c r="AA10" i="1"/>
  <c r="M42" i="9" s="1"/>
  <c r="M43" i="9" s="1"/>
  <c r="Z6" i="1"/>
  <c r="L43" i="6" s="1"/>
  <c r="L44" i="6" s="1"/>
  <c r="Y10" i="1"/>
  <c r="K42" i="9" s="1"/>
  <c r="K43" i="9" s="1"/>
  <c r="X6" i="1"/>
  <c r="J43" i="6" s="1"/>
  <c r="J44" i="6" s="1"/>
  <c r="W10" i="1"/>
  <c r="I42" i="9" s="1"/>
  <c r="I43" i="9" s="1"/>
  <c r="V6" i="1"/>
  <c r="H43" i="6" s="1"/>
  <c r="H44" i="6" s="1"/>
  <c r="U10" i="1"/>
  <c r="U28" i="1" s="1"/>
  <c r="T6" i="1"/>
  <c r="T24" i="1" s="1"/>
  <c r="S10" i="1"/>
  <c r="S28" i="1" s="1"/>
  <c r="R6" i="1"/>
  <c r="R24" i="1" s="1"/>
  <c r="M176" i="1"/>
  <c r="M168" i="1"/>
  <c r="M160" i="1"/>
  <c r="M152" i="1"/>
  <c r="M144" i="1"/>
  <c r="M136" i="1"/>
  <c r="M128" i="1"/>
  <c r="M120" i="1"/>
  <c r="M112" i="1"/>
  <c r="M104" i="1"/>
  <c r="M96" i="1"/>
  <c r="M88" i="1"/>
  <c r="M80" i="1"/>
  <c r="M72" i="1"/>
  <c r="M64" i="1"/>
  <c r="M56" i="1"/>
  <c r="M48" i="1"/>
  <c r="M40" i="1"/>
  <c r="M32" i="1"/>
  <c r="M24" i="1"/>
  <c r="M16" i="1"/>
  <c r="M8" i="1"/>
  <c r="M182" i="1"/>
  <c r="M174" i="1"/>
  <c r="M166" i="1"/>
  <c r="M158" i="1"/>
  <c r="M150" i="1"/>
  <c r="M142" i="1"/>
  <c r="M134" i="1"/>
  <c r="M126" i="1"/>
  <c r="M118" i="1"/>
  <c r="M110" i="1"/>
  <c r="M102" i="1"/>
  <c r="M94" i="1"/>
  <c r="M86" i="1"/>
  <c r="M78" i="1"/>
  <c r="M70" i="1"/>
  <c r="M62" i="1"/>
  <c r="M54" i="1"/>
  <c r="M46" i="1"/>
  <c r="M38" i="1"/>
  <c r="M30" i="1"/>
  <c r="M22" i="1"/>
  <c r="M14" i="1"/>
  <c r="M6" i="1"/>
  <c r="M97" i="1"/>
  <c r="M93" i="1"/>
  <c r="M89" i="1"/>
  <c r="M85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M5" i="1"/>
  <c r="M117" i="1"/>
  <c r="M105" i="1"/>
  <c r="M101" i="1"/>
  <c r="M180" i="1"/>
  <c r="M164" i="1"/>
  <c r="M156" i="1"/>
  <c r="M140" i="1"/>
  <c r="M132" i="1"/>
  <c r="M116" i="1"/>
  <c r="M108" i="1"/>
  <c r="M92" i="1"/>
  <c r="M84" i="1"/>
  <c r="M68" i="1"/>
  <c r="M60" i="1"/>
  <c r="M44" i="1"/>
  <c r="M36" i="1"/>
  <c r="M20" i="1"/>
  <c r="M12" i="1"/>
  <c r="M165" i="1"/>
  <c r="M153" i="1"/>
  <c r="M141" i="1"/>
  <c r="M137" i="1"/>
  <c r="M125" i="1"/>
  <c r="M121" i="1"/>
  <c r="M183" i="1"/>
  <c r="M179" i="1"/>
  <c r="M177" i="1"/>
  <c r="M175" i="1"/>
  <c r="M171" i="1"/>
  <c r="M167" i="1"/>
  <c r="M163" i="1"/>
  <c r="M159" i="1"/>
  <c r="M155" i="1"/>
  <c r="M151" i="1"/>
  <c r="M147" i="1"/>
  <c r="M143" i="1"/>
  <c r="M139" i="1"/>
  <c r="M135" i="1"/>
  <c r="M131" i="1"/>
  <c r="M127" i="1"/>
  <c r="M123" i="1"/>
  <c r="M119" i="1"/>
  <c r="M115" i="1"/>
  <c r="M111" i="1"/>
  <c r="M107" i="1"/>
  <c r="M103" i="1"/>
  <c r="M99" i="1"/>
  <c r="M95" i="1"/>
  <c r="M91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7" i="1"/>
  <c r="M181" i="1"/>
  <c r="M173" i="1"/>
  <c r="M169" i="1"/>
  <c r="M161" i="1"/>
  <c r="M157" i="1"/>
  <c r="M149" i="1"/>
  <c r="M145" i="1"/>
  <c r="M133" i="1"/>
  <c r="M129" i="1"/>
  <c r="M113" i="1"/>
  <c r="M109" i="1"/>
  <c r="M178" i="1"/>
  <c r="M170" i="1"/>
  <c r="M162" i="1"/>
  <c r="M154" i="1"/>
  <c r="M146" i="1"/>
  <c r="M138" i="1"/>
  <c r="M130" i="1"/>
  <c r="M122" i="1"/>
  <c r="M114" i="1"/>
  <c r="M106" i="1"/>
  <c r="M98" i="1"/>
  <c r="M90" i="1"/>
  <c r="M82" i="1"/>
  <c r="M74" i="1"/>
  <c r="M66" i="1"/>
  <c r="M58" i="1"/>
  <c r="M50" i="1"/>
  <c r="M42" i="1"/>
  <c r="M34" i="1"/>
  <c r="M26" i="1"/>
  <c r="M18" i="1"/>
  <c r="M10" i="1"/>
  <c r="M172" i="1"/>
  <c r="M148" i="1"/>
  <c r="M124" i="1"/>
  <c r="M100" i="1"/>
  <c r="M76" i="1"/>
  <c r="M52" i="1"/>
  <c r="M28" i="1"/>
  <c r="H92" i="4" l="1"/>
  <c r="H93" i="4" s="1"/>
  <c r="H69" i="4"/>
  <c r="H70" i="4" s="1"/>
  <c r="S17" i="1"/>
  <c r="X30" i="1"/>
  <c r="J44" i="11"/>
  <c r="J45" i="11" s="1"/>
  <c r="I43" i="10"/>
  <c r="I44" i="10" s="1"/>
  <c r="Q43" i="10"/>
  <c r="Q44" i="10" s="1"/>
  <c r="Y30" i="1"/>
  <c r="K44" i="11"/>
  <c r="K45" i="11" s="1"/>
  <c r="X27" i="1"/>
  <c r="J16" i="38"/>
  <c r="J17" i="38" s="1"/>
  <c r="J42" i="38"/>
  <c r="J43" i="38" s="1"/>
  <c r="J43" i="10"/>
  <c r="J44" i="10" s="1"/>
  <c r="K42" i="8"/>
  <c r="K43" i="8" s="1"/>
  <c r="Q42" i="8"/>
  <c r="Q43" i="8" s="1"/>
  <c r="Y27" i="1"/>
  <c r="K16" i="38"/>
  <c r="K17" i="38" s="1"/>
  <c r="K42" i="38"/>
  <c r="K43" i="38" s="1"/>
  <c r="P42" i="8"/>
  <c r="P43" i="8" s="1"/>
  <c r="AD30" i="1"/>
  <c r="P44" i="11"/>
  <c r="P45" i="11" s="1"/>
  <c r="L42" i="8"/>
  <c r="L43" i="8" s="1"/>
  <c r="AA27" i="1"/>
  <c r="M42" i="38"/>
  <c r="M43" i="38" s="1"/>
  <c r="M16" i="38"/>
  <c r="M17" i="38" s="1"/>
  <c r="AE30" i="1"/>
  <c r="Q44" i="11"/>
  <c r="Q45" i="11" s="1"/>
  <c r="K43" i="10"/>
  <c r="K44" i="10" s="1"/>
  <c r="Z27" i="1"/>
  <c r="L16" i="38"/>
  <c r="L17" i="38" s="1"/>
  <c r="L42" i="38"/>
  <c r="L43" i="38" s="1"/>
  <c r="L43" i="10"/>
  <c r="L44" i="10" s="1"/>
  <c r="Z30" i="1"/>
  <c r="L44" i="11"/>
  <c r="L45" i="11" s="1"/>
  <c r="AE25" i="1"/>
  <c r="H42" i="8"/>
  <c r="H43" i="8" s="1"/>
  <c r="AA30" i="1"/>
  <c r="M44" i="11"/>
  <c r="M45" i="11" s="1"/>
  <c r="H17" i="2"/>
  <c r="H18" i="2" s="1"/>
  <c r="H47" i="2"/>
  <c r="H48" i="2" s="1"/>
  <c r="M42" i="8"/>
  <c r="M43" i="8" s="1"/>
  <c r="AC27" i="1"/>
  <c r="O42" i="38"/>
  <c r="O43" i="38" s="1"/>
  <c r="O16" i="38"/>
  <c r="O17" i="38" s="1"/>
  <c r="AE28" i="1"/>
  <c r="Q42" i="9"/>
  <c r="Q43" i="9" s="1"/>
  <c r="M43" i="10"/>
  <c r="M44" i="10" s="1"/>
  <c r="N42" i="8"/>
  <c r="N43" i="8" s="1"/>
  <c r="AB27" i="1"/>
  <c r="N42" i="38"/>
  <c r="N43" i="38" s="1"/>
  <c r="N16" i="38"/>
  <c r="N17" i="38" s="1"/>
  <c r="N43" i="10"/>
  <c r="N44" i="10" s="1"/>
  <c r="V30" i="1"/>
  <c r="H44" i="11"/>
  <c r="H45" i="11" s="1"/>
  <c r="W30" i="1"/>
  <c r="I44" i="11"/>
  <c r="I45" i="11" s="1"/>
  <c r="I42" i="8"/>
  <c r="I43" i="8" s="1"/>
  <c r="AB30" i="1"/>
  <c r="N44" i="11"/>
  <c r="N45" i="11" s="1"/>
  <c r="Q16" i="38"/>
  <c r="Q17" i="38" s="1"/>
  <c r="Q42" i="38"/>
  <c r="Q43" i="38" s="1"/>
  <c r="AE24" i="1"/>
  <c r="Q43" i="6"/>
  <c r="Q44" i="6" s="1"/>
  <c r="O43" i="10"/>
  <c r="O44" i="10" s="1"/>
  <c r="J42" i="8"/>
  <c r="J43" i="8" s="1"/>
  <c r="AC30" i="1"/>
  <c r="O44" i="11"/>
  <c r="O45" i="11" s="1"/>
  <c r="V27" i="1"/>
  <c r="H16" i="38"/>
  <c r="H17" i="38" s="1"/>
  <c r="H42" i="38"/>
  <c r="H43" i="38" s="1"/>
  <c r="AD27" i="1"/>
  <c r="P16" i="38"/>
  <c r="P17" i="38" s="1"/>
  <c r="P42" i="38"/>
  <c r="P43" i="38" s="1"/>
  <c r="H43" i="10"/>
  <c r="H44" i="10" s="1"/>
  <c r="P43" i="10"/>
  <c r="P44" i="10" s="1"/>
  <c r="O42" i="8"/>
  <c r="O43" i="8" s="1"/>
  <c r="C11" i="2"/>
  <c r="L16" i="9"/>
  <c r="L17" i="9" s="1"/>
  <c r="Z28" i="1"/>
  <c r="P16" i="9"/>
  <c r="P17" i="9" s="1"/>
  <c r="AD28" i="1"/>
  <c r="V16" i="1"/>
  <c r="Z16" i="1"/>
  <c r="AD16" i="1"/>
  <c r="J16" i="4"/>
  <c r="X23" i="1"/>
  <c r="X18" i="1"/>
  <c r="J16" i="39" s="1"/>
  <c r="J17" i="39" s="1"/>
  <c r="J17" i="2"/>
  <c r="J18" i="2" s="1"/>
  <c r="X22" i="1"/>
  <c r="X17" i="1"/>
  <c r="O16" i="8"/>
  <c r="O17" i="8" s="1"/>
  <c r="Q23" i="1"/>
  <c r="Q18" i="1"/>
  <c r="R23" i="1"/>
  <c r="R18" i="1"/>
  <c r="N16" i="4"/>
  <c r="N17" i="4" s="1"/>
  <c r="AB23" i="1"/>
  <c r="AB18" i="1"/>
  <c r="N16" i="39" s="1"/>
  <c r="N17" i="39" s="1"/>
  <c r="V22" i="1"/>
  <c r="V17" i="1"/>
  <c r="M16" i="8"/>
  <c r="M17" i="8" s="1"/>
  <c r="Q17" i="2"/>
  <c r="Q18" i="2" s="1"/>
  <c r="AE22" i="1"/>
  <c r="AE17" i="1"/>
  <c r="H16" i="13"/>
  <c r="P16" i="6"/>
  <c r="P17" i="6" s="1"/>
  <c r="AD24" i="1"/>
  <c r="U16" i="1"/>
  <c r="G16" i="15" s="1"/>
  <c r="G17" i="15" s="1"/>
  <c r="AC16" i="1"/>
  <c r="S22" i="1"/>
  <c r="J16" i="8"/>
  <c r="J17" i="8" s="1"/>
  <c r="M16" i="9"/>
  <c r="M17" i="9" s="1"/>
  <c r="AA28" i="1"/>
  <c r="H16" i="7"/>
  <c r="H17" i="7" s="1"/>
  <c r="V25" i="1"/>
  <c r="P16" i="7"/>
  <c r="P17" i="7" s="1"/>
  <c r="AD25" i="1"/>
  <c r="E16" i="16"/>
  <c r="E17" i="16" s="1"/>
  <c r="S30" i="1"/>
  <c r="K17" i="2"/>
  <c r="K18" i="2" s="1"/>
  <c r="Y22" i="1"/>
  <c r="Y17" i="1"/>
  <c r="P16" i="8"/>
  <c r="P17" i="8" s="1"/>
  <c r="I16" i="4"/>
  <c r="W23" i="1"/>
  <c r="W18" i="1"/>
  <c r="I16" i="39" s="1"/>
  <c r="I17" i="39" s="1"/>
  <c r="M16" i="6"/>
  <c r="M17" i="6" s="1"/>
  <c r="AA24" i="1"/>
  <c r="M16" i="7"/>
  <c r="M17" i="7" s="1"/>
  <c r="AA25" i="1"/>
  <c r="J16" i="6"/>
  <c r="J17" i="6" s="1"/>
  <c r="X24" i="1"/>
  <c r="N16" i="6"/>
  <c r="N17" i="6" s="1"/>
  <c r="AB24" i="1"/>
  <c r="W16" i="1"/>
  <c r="AA16" i="1"/>
  <c r="AE16" i="1"/>
  <c r="I17" i="2"/>
  <c r="I18" i="2" s="1"/>
  <c r="W22" i="1"/>
  <c r="W17" i="1"/>
  <c r="N16" i="8"/>
  <c r="N17" i="8" s="1"/>
  <c r="J16" i="9"/>
  <c r="J17" i="9" s="1"/>
  <c r="X28" i="1"/>
  <c r="N16" i="9"/>
  <c r="N17" i="9" s="1"/>
  <c r="AB28" i="1"/>
  <c r="T16" i="1"/>
  <c r="F16" i="15" s="1"/>
  <c r="F17" i="15" s="1"/>
  <c r="X16" i="1"/>
  <c r="AB16" i="1"/>
  <c r="T22" i="1"/>
  <c r="T17" i="1"/>
  <c r="K16" i="8"/>
  <c r="K17" i="8" s="1"/>
  <c r="N17" i="2"/>
  <c r="N18" i="2" s="1"/>
  <c r="AB22" i="1"/>
  <c r="AB17" i="1"/>
  <c r="L16" i="4"/>
  <c r="L17" i="4" s="1"/>
  <c r="Z23" i="1"/>
  <c r="Z18" i="1"/>
  <c r="L16" i="39" s="1"/>
  <c r="L17" i="39" s="1"/>
  <c r="P16" i="4"/>
  <c r="P17" i="4" s="1"/>
  <c r="AD23" i="1"/>
  <c r="AD18" i="1"/>
  <c r="P16" i="39" s="1"/>
  <c r="P17" i="39" s="1"/>
  <c r="H16" i="6"/>
  <c r="H17" i="6" s="1"/>
  <c r="V24" i="1"/>
  <c r="L16" i="6"/>
  <c r="L17" i="6" s="1"/>
  <c r="Z24" i="1"/>
  <c r="Y16" i="1"/>
  <c r="G16" i="16"/>
  <c r="G17" i="16" s="1"/>
  <c r="U30" i="1"/>
  <c r="M17" i="2"/>
  <c r="M18" i="2" s="1"/>
  <c r="AA22" i="1"/>
  <c r="AA17" i="1"/>
  <c r="H16" i="9"/>
  <c r="H17" i="9" s="1"/>
  <c r="V28" i="1"/>
  <c r="I16" i="9"/>
  <c r="I17" i="9" s="1"/>
  <c r="W28" i="1"/>
  <c r="L16" i="7"/>
  <c r="L17" i="7" s="1"/>
  <c r="Z25" i="1"/>
  <c r="H16" i="8"/>
  <c r="H17" i="8" s="1"/>
  <c r="S23" i="1"/>
  <c r="S18" i="1"/>
  <c r="E16" i="39" s="1"/>
  <c r="E17" i="39" s="1"/>
  <c r="M16" i="4"/>
  <c r="AA23" i="1"/>
  <c r="AA18" i="1"/>
  <c r="M16" i="39" s="1"/>
  <c r="M17" i="39" s="1"/>
  <c r="AE23" i="1"/>
  <c r="AE18" i="1"/>
  <c r="Q16" i="39" s="1"/>
  <c r="Q17" i="39" s="1"/>
  <c r="I16" i="6"/>
  <c r="I17" i="6" s="1"/>
  <c r="W24" i="1"/>
  <c r="I16" i="7"/>
  <c r="I17" i="7" s="1"/>
  <c r="W25" i="1"/>
  <c r="K16" i="9"/>
  <c r="K17" i="9" s="1"/>
  <c r="Y28" i="1"/>
  <c r="O16" i="9"/>
  <c r="O17" i="9" s="1"/>
  <c r="AC28" i="1"/>
  <c r="J16" i="7"/>
  <c r="J17" i="7" s="1"/>
  <c r="X25" i="1"/>
  <c r="N16" i="7"/>
  <c r="N17" i="7" s="1"/>
  <c r="AB25" i="1"/>
  <c r="U22" i="1"/>
  <c r="U17" i="1"/>
  <c r="L16" i="8"/>
  <c r="L17" i="8" s="1"/>
  <c r="O17" i="2"/>
  <c r="O18" i="2" s="1"/>
  <c r="AC22" i="1"/>
  <c r="AC17" i="1"/>
  <c r="Q22" i="1"/>
  <c r="Q33" i="1" s="1"/>
  <c r="Q17" i="1"/>
  <c r="U23" i="1"/>
  <c r="U18" i="1"/>
  <c r="G16" i="39" s="1"/>
  <c r="G17" i="39" s="1"/>
  <c r="K16" i="4"/>
  <c r="K17" i="4" s="1"/>
  <c r="Y23" i="1"/>
  <c r="Y18" i="1"/>
  <c r="K16" i="39" s="1"/>
  <c r="K17" i="39" s="1"/>
  <c r="O16" i="4"/>
  <c r="AC23" i="1"/>
  <c r="AC18" i="1"/>
  <c r="O16" i="39" s="1"/>
  <c r="O17" i="39" s="1"/>
  <c r="K16" i="6"/>
  <c r="K17" i="6" s="1"/>
  <c r="Y24" i="1"/>
  <c r="O16" i="6"/>
  <c r="O17" i="6" s="1"/>
  <c r="AC24" i="1"/>
  <c r="K16" i="7"/>
  <c r="K17" i="7" s="1"/>
  <c r="Y25" i="1"/>
  <c r="O16" i="7"/>
  <c r="O17" i="7" s="1"/>
  <c r="AC25" i="1"/>
  <c r="R22" i="1"/>
  <c r="R17" i="1"/>
  <c r="F16" i="16"/>
  <c r="F17" i="16" s="1"/>
  <c r="T30" i="1"/>
  <c r="I16" i="8"/>
  <c r="I17" i="8" s="1"/>
  <c r="L17" i="2"/>
  <c r="L18" i="2" s="1"/>
  <c r="Z22" i="1"/>
  <c r="Z17" i="1"/>
  <c r="P17" i="2"/>
  <c r="P18" i="2" s="1"/>
  <c r="AD22" i="1"/>
  <c r="AD17" i="1"/>
  <c r="AF9" i="1"/>
  <c r="AE27" i="1"/>
  <c r="F16" i="13"/>
  <c r="S16" i="1"/>
  <c r="Q16" i="1"/>
  <c r="R16" i="1"/>
  <c r="M184" i="1"/>
  <c r="Q14" i="1"/>
  <c r="AF5" i="1"/>
  <c r="R42" i="4" s="1"/>
  <c r="R43" i="4" s="1"/>
  <c r="Q16" i="4"/>
  <c r="Q17" i="4" s="1"/>
  <c r="AF6" i="1"/>
  <c r="Q16" i="6"/>
  <c r="Q17" i="6" s="1"/>
  <c r="AF7" i="1"/>
  <c r="Q16" i="7"/>
  <c r="Q17" i="7" s="1"/>
  <c r="I16" i="10"/>
  <c r="I17" i="10" s="1"/>
  <c r="M16" i="10"/>
  <c r="M17" i="10" s="1"/>
  <c r="AF11" i="1"/>
  <c r="AF29" i="1" s="1"/>
  <c r="Q16" i="10"/>
  <c r="Q17" i="10" s="1"/>
  <c r="K16" i="16"/>
  <c r="K17" i="16" s="1"/>
  <c r="K16" i="11"/>
  <c r="K17" i="11" s="1"/>
  <c r="J16" i="10"/>
  <c r="J17" i="10" s="1"/>
  <c r="N16" i="10"/>
  <c r="N17" i="10" s="1"/>
  <c r="H16" i="16"/>
  <c r="H17" i="16" s="1"/>
  <c r="H16" i="11"/>
  <c r="H17" i="11" s="1"/>
  <c r="AF8" i="1"/>
  <c r="AF26" i="1" s="1"/>
  <c r="Q16" i="8"/>
  <c r="Q17" i="8" s="1"/>
  <c r="AF10" i="1"/>
  <c r="Q16" i="9"/>
  <c r="Q17" i="9" s="1"/>
  <c r="M16" i="16"/>
  <c r="M17" i="16" s="1"/>
  <c r="M16" i="11"/>
  <c r="M17" i="11" s="1"/>
  <c r="J16" i="16"/>
  <c r="J17" i="16" s="1"/>
  <c r="J16" i="11"/>
  <c r="J17" i="11" s="1"/>
  <c r="P16" i="16"/>
  <c r="P17" i="16" s="1"/>
  <c r="P16" i="11"/>
  <c r="P17" i="11" s="1"/>
  <c r="I16" i="16"/>
  <c r="I17" i="16" s="1"/>
  <c r="I16" i="11"/>
  <c r="I17" i="11" s="1"/>
  <c r="N16" i="16"/>
  <c r="N17" i="16" s="1"/>
  <c r="N16" i="11"/>
  <c r="N17" i="11" s="1"/>
  <c r="AF12" i="1"/>
  <c r="Q16" i="16"/>
  <c r="Q17" i="16" s="1"/>
  <c r="Q16" i="11"/>
  <c r="Q17" i="11" s="1"/>
  <c r="K16" i="10"/>
  <c r="K17" i="10" s="1"/>
  <c r="O16" i="10"/>
  <c r="O17" i="10" s="1"/>
  <c r="O16" i="16"/>
  <c r="O17" i="16" s="1"/>
  <c r="O16" i="11"/>
  <c r="O17" i="11" s="1"/>
  <c r="H16" i="10"/>
  <c r="H17" i="10" s="1"/>
  <c r="L16" i="10"/>
  <c r="L17" i="10" s="1"/>
  <c r="P16" i="10"/>
  <c r="P17" i="10" s="1"/>
  <c r="L16" i="16"/>
  <c r="L17" i="16" s="1"/>
  <c r="L16" i="11"/>
  <c r="L17" i="11" s="1"/>
  <c r="M17" i="4"/>
  <c r="I17" i="4"/>
  <c r="AF4" i="1"/>
  <c r="R47" i="2" s="1"/>
  <c r="R48" i="2" s="1"/>
  <c r="H17" i="4"/>
  <c r="O17" i="4"/>
  <c r="J17" i="4"/>
  <c r="X14" i="1"/>
  <c r="U14" i="1"/>
  <c r="G18" i="39" s="1"/>
  <c r="AD14" i="1"/>
  <c r="AA14" i="1"/>
  <c r="T14" i="1"/>
  <c r="F18" i="39" s="1"/>
  <c r="Z14" i="1"/>
  <c r="W14" i="1"/>
  <c r="AC14" i="1"/>
  <c r="V14" i="1"/>
  <c r="S14" i="1"/>
  <c r="E18" i="39" s="1"/>
  <c r="AB14" i="1"/>
  <c r="Y14" i="1"/>
  <c r="R14" i="1"/>
  <c r="AE14" i="1"/>
  <c r="R33" i="1" l="1"/>
  <c r="O93" i="6"/>
  <c r="O94" i="6" s="1"/>
  <c r="O70" i="6"/>
  <c r="O71" i="6" s="1"/>
  <c r="K69" i="4"/>
  <c r="K70" i="4" s="1"/>
  <c r="K92" i="4"/>
  <c r="K93" i="4" s="1"/>
  <c r="L92" i="7"/>
  <c r="L93" i="7" s="1"/>
  <c r="L43" i="7"/>
  <c r="L44" i="7" s="1"/>
  <c r="L69" i="7"/>
  <c r="L70" i="7" s="1"/>
  <c r="M70" i="6"/>
  <c r="M71" i="6" s="1"/>
  <c r="M93" i="6"/>
  <c r="M94" i="6" s="1"/>
  <c r="Q92" i="4"/>
  <c r="Q93" i="4" s="1"/>
  <c r="Q69" i="4"/>
  <c r="Q70" i="4" s="1"/>
  <c r="P69" i="4"/>
  <c r="P70" i="4" s="1"/>
  <c r="P92" i="4"/>
  <c r="P93" i="4" s="1"/>
  <c r="K93" i="6"/>
  <c r="K94" i="6" s="1"/>
  <c r="K70" i="6"/>
  <c r="K71" i="6" s="1"/>
  <c r="N70" i="6"/>
  <c r="N71" i="6" s="1"/>
  <c r="N93" i="6"/>
  <c r="N94" i="6" s="1"/>
  <c r="J92" i="4"/>
  <c r="J93" i="4" s="1"/>
  <c r="J69" i="4"/>
  <c r="J70" i="4" s="1"/>
  <c r="M69" i="4"/>
  <c r="M70" i="4" s="1"/>
  <c r="M92" i="4"/>
  <c r="M93" i="4" s="1"/>
  <c r="I69" i="4"/>
  <c r="I70" i="4" s="1"/>
  <c r="I92" i="4"/>
  <c r="I93" i="4" s="1"/>
  <c r="P69" i="7"/>
  <c r="P70" i="7" s="1"/>
  <c r="P92" i="7"/>
  <c r="P93" i="7" s="1"/>
  <c r="P43" i="7"/>
  <c r="P44" i="7" s="1"/>
  <c r="Q69" i="7"/>
  <c r="Q70" i="7" s="1"/>
  <c r="Q92" i="7"/>
  <c r="Q93" i="7" s="1"/>
  <c r="Q43" i="7"/>
  <c r="Q44" i="7" s="1"/>
  <c r="O69" i="7"/>
  <c r="O70" i="7" s="1"/>
  <c r="O92" i="7"/>
  <c r="O93" i="7" s="1"/>
  <c r="O43" i="7"/>
  <c r="O44" i="7" s="1"/>
  <c r="N69" i="7"/>
  <c r="N70" i="7" s="1"/>
  <c r="N92" i="7"/>
  <c r="N93" i="7" s="1"/>
  <c r="N43" i="7"/>
  <c r="N44" i="7" s="1"/>
  <c r="I69" i="7"/>
  <c r="I70" i="7" s="1"/>
  <c r="I92" i="7"/>
  <c r="I93" i="7" s="1"/>
  <c r="I43" i="7"/>
  <c r="I44" i="7" s="1"/>
  <c r="L70" i="6"/>
  <c r="L71" i="6" s="1"/>
  <c r="L93" i="6"/>
  <c r="L94" i="6" s="1"/>
  <c r="L92" i="4"/>
  <c r="L93" i="4" s="1"/>
  <c r="L69" i="4"/>
  <c r="L70" i="4" s="1"/>
  <c r="J93" i="6"/>
  <c r="J94" i="6" s="1"/>
  <c r="J70" i="6"/>
  <c r="J71" i="6" s="1"/>
  <c r="O69" i="4"/>
  <c r="O70" i="4" s="1"/>
  <c r="O92" i="4"/>
  <c r="O93" i="4" s="1"/>
  <c r="H92" i="7"/>
  <c r="H93" i="7" s="1"/>
  <c r="H43" i="7"/>
  <c r="H44" i="7" s="1"/>
  <c r="H69" i="7"/>
  <c r="H70" i="7" s="1"/>
  <c r="P93" i="6"/>
  <c r="P94" i="6" s="1"/>
  <c r="P70" i="6"/>
  <c r="P71" i="6" s="1"/>
  <c r="N69" i="4"/>
  <c r="N70" i="4" s="1"/>
  <c r="N92" i="4"/>
  <c r="N93" i="4" s="1"/>
  <c r="Q93" i="6"/>
  <c r="Q94" i="6" s="1"/>
  <c r="Q70" i="6"/>
  <c r="Q71" i="6" s="1"/>
  <c r="K92" i="7"/>
  <c r="K93" i="7" s="1"/>
  <c r="K43" i="7"/>
  <c r="K44" i="7" s="1"/>
  <c r="K69" i="7"/>
  <c r="K70" i="7" s="1"/>
  <c r="J92" i="7"/>
  <c r="J93" i="7" s="1"/>
  <c r="J69" i="7"/>
  <c r="J70" i="7" s="1"/>
  <c r="J43" i="7"/>
  <c r="J44" i="7" s="1"/>
  <c r="I93" i="6"/>
  <c r="I94" i="6" s="1"/>
  <c r="I70" i="6"/>
  <c r="I71" i="6" s="1"/>
  <c r="H70" i="6"/>
  <c r="H71" i="6" s="1"/>
  <c r="H93" i="6"/>
  <c r="H94" i="6" s="1"/>
  <c r="M69" i="7"/>
  <c r="M70" i="7" s="1"/>
  <c r="M92" i="7"/>
  <c r="M93" i="7" s="1"/>
  <c r="M43" i="7"/>
  <c r="M44" i="7" s="1"/>
  <c r="M93" i="10"/>
  <c r="M94" i="10" s="1"/>
  <c r="M70" i="10"/>
  <c r="M71" i="10" s="1"/>
  <c r="K93" i="10"/>
  <c r="K94" i="10" s="1"/>
  <c r="K70" i="10"/>
  <c r="K71" i="10" s="1"/>
  <c r="N70" i="10"/>
  <c r="N71" i="10" s="1"/>
  <c r="N93" i="10"/>
  <c r="N94" i="10" s="1"/>
  <c r="O70" i="10"/>
  <c r="O71" i="10" s="1"/>
  <c r="O93" i="10"/>
  <c r="O94" i="10" s="1"/>
  <c r="L70" i="10"/>
  <c r="L71" i="10" s="1"/>
  <c r="L93" i="10"/>
  <c r="L94" i="10" s="1"/>
  <c r="Q70" i="10"/>
  <c r="Q71" i="10" s="1"/>
  <c r="Q93" i="10"/>
  <c r="Q94" i="10" s="1"/>
  <c r="J93" i="10"/>
  <c r="J94" i="10" s="1"/>
  <c r="J70" i="10"/>
  <c r="J71" i="10" s="1"/>
  <c r="P93" i="10"/>
  <c r="P94" i="10" s="1"/>
  <c r="P70" i="10"/>
  <c r="P71" i="10" s="1"/>
  <c r="I93" i="10"/>
  <c r="I94" i="10" s="1"/>
  <c r="I70" i="10"/>
  <c r="I71" i="10" s="1"/>
  <c r="H70" i="10"/>
  <c r="H71" i="10" s="1"/>
  <c r="H93" i="10"/>
  <c r="H94" i="10" s="1"/>
  <c r="K70" i="11"/>
  <c r="K71" i="11" s="1"/>
  <c r="K93" i="11"/>
  <c r="K94" i="11" s="1"/>
  <c r="K18" i="39"/>
  <c r="K44" i="12"/>
  <c r="K45" i="12" s="1"/>
  <c r="M18" i="39"/>
  <c r="M44" i="12"/>
  <c r="M45" i="12" s="1"/>
  <c r="AF24" i="1"/>
  <c r="R43" i="6"/>
  <c r="R44" i="6" s="1"/>
  <c r="H76" i="2"/>
  <c r="H77" i="2" s="1"/>
  <c r="H99" i="2"/>
  <c r="H100" i="2" s="1"/>
  <c r="M70" i="11"/>
  <c r="M71" i="11" s="1"/>
  <c r="M93" i="11"/>
  <c r="M94" i="11" s="1"/>
  <c r="Y33" i="1"/>
  <c r="K91" i="8"/>
  <c r="K92" i="8" s="1"/>
  <c r="K68" i="8"/>
  <c r="K69" i="8" s="1"/>
  <c r="P18" i="39"/>
  <c r="P44" i="12"/>
  <c r="P45" i="12" s="1"/>
  <c r="R42" i="8"/>
  <c r="R43" i="8" s="1"/>
  <c r="O76" i="2"/>
  <c r="O77" i="2" s="1"/>
  <c r="O99" i="2"/>
  <c r="O100" i="2" s="1"/>
  <c r="M76" i="2"/>
  <c r="M77" i="2" s="1"/>
  <c r="M99" i="2"/>
  <c r="M100" i="2" s="1"/>
  <c r="AA33" i="1"/>
  <c r="N76" i="2"/>
  <c r="N77" i="2" s="1"/>
  <c r="N99" i="2"/>
  <c r="N100" i="2" s="1"/>
  <c r="AB33" i="1"/>
  <c r="K99" i="2"/>
  <c r="K100" i="2" s="1"/>
  <c r="K76" i="2"/>
  <c r="K77" i="2" s="1"/>
  <c r="I93" i="11"/>
  <c r="I94" i="11" s="1"/>
  <c r="I70" i="11"/>
  <c r="I71" i="11" s="1"/>
  <c r="AD33" i="1"/>
  <c r="P91" i="8"/>
  <c r="P92" i="8" s="1"/>
  <c r="P68" i="8"/>
  <c r="P69" i="8" s="1"/>
  <c r="R43" i="10"/>
  <c r="R44" i="10" s="1"/>
  <c r="R16" i="38"/>
  <c r="R17" i="38" s="1"/>
  <c r="R42" i="38"/>
  <c r="R43" i="38" s="1"/>
  <c r="J99" i="2"/>
  <c r="J100" i="2" s="1"/>
  <c r="J76" i="2"/>
  <c r="J77" i="2" s="1"/>
  <c r="X33" i="1"/>
  <c r="O93" i="11"/>
  <c r="O94" i="11" s="1"/>
  <c r="O70" i="11"/>
  <c r="O71" i="11" s="1"/>
  <c r="V33" i="1"/>
  <c r="H68" i="8"/>
  <c r="H69" i="8" s="1"/>
  <c r="H91" i="8"/>
  <c r="H92" i="8" s="1"/>
  <c r="AF28" i="1"/>
  <c r="R42" i="9"/>
  <c r="R43" i="9" s="1"/>
  <c r="L76" i="2"/>
  <c r="L77" i="2" s="1"/>
  <c r="L99" i="2"/>
  <c r="L100" i="2" s="1"/>
  <c r="H18" i="39"/>
  <c r="H44" i="12"/>
  <c r="H45" i="12" s="1"/>
  <c r="J18" i="39"/>
  <c r="J44" i="12"/>
  <c r="J45" i="12" s="1"/>
  <c r="AF30" i="1"/>
  <c r="R44" i="11"/>
  <c r="R45" i="11" s="1"/>
  <c r="N68" i="8"/>
  <c r="N69" i="8" s="1"/>
  <c r="N91" i="8"/>
  <c r="N92" i="8" s="1"/>
  <c r="I91" i="8"/>
  <c r="I92" i="8" s="1"/>
  <c r="I68" i="8"/>
  <c r="I69" i="8" s="1"/>
  <c r="P99" i="2"/>
  <c r="P100" i="2" s="1"/>
  <c r="P76" i="2"/>
  <c r="P77" i="2" s="1"/>
  <c r="Q99" i="2"/>
  <c r="Q100" i="2" s="1"/>
  <c r="Q76" i="2"/>
  <c r="Q77" i="2" s="1"/>
  <c r="AE33" i="1"/>
  <c r="J91" i="8"/>
  <c r="J92" i="8" s="1"/>
  <c r="J68" i="8"/>
  <c r="J69" i="8" s="1"/>
  <c r="H70" i="11"/>
  <c r="H71" i="11" s="1"/>
  <c r="H93" i="11"/>
  <c r="H94" i="11" s="1"/>
  <c r="M68" i="8"/>
  <c r="M69" i="8" s="1"/>
  <c r="M91" i="8"/>
  <c r="M92" i="8" s="1"/>
  <c r="I99" i="2"/>
  <c r="I100" i="2" s="1"/>
  <c r="I76" i="2"/>
  <c r="I77" i="2" s="1"/>
  <c r="W33" i="1"/>
  <c r="Q93" i="11"/>
  <c r="Q94" i="11" s="1"/>
  <c r="Q70" i="11"/>
  <c r="Q71" i="11" s="1"/>
  <c r="O18" i="39"/>
  <c r="O44" i="12"/>
  <c r="O45" i="12" s="1"/>
  <c r="I18" i="39"/>
  <c r="I44" i="12"/>
  <c r="I45" i="12" s="1"/>
  <c r="U33" i="1"/>
  <c r="T33" i="1"/>
  <c r="S33" i="1"/>
  <c r="AC33" i="1"/>
  <c r="O68" i="8"/>
  <c r="O69" i="8" s="1"/>
  <c r="O91" i="8"/>
  <c r="O92" i="8" s="1"/>
  <c r="N70" i="11"/>
  <c r="N71" i="11" s="1"/>
  <c r="N93" i="11"/>
  <c r="N94" i="11" s="1"/>
  <c r="Z33" i="1"/>
  <c r="L68" i="8"/>
  <c r="L69" i="8" s="1"/>
  <c r="L91" i="8"/>
  <c r="L92" i="8" s="1"/>
  <c r="J70" i="11"/>
  <c r="J71" i="11" s="1"/>
  <c r="J93" i="11"/>
  <c r="J94" i="11" s="1"/>
  <c r="P93" i="11"/>
  <c r="P94" i="11" s="1"/>
  <c r="P70" i="11"/>
  <c r="P71" i="11" s="1"/>
  <c r="N18" i="39"/>
  <c r="N44" i="12"/>
  <c r="N45" i="12" s="1"/>
  <c r="Q18" i="39"/>
  <c r="Q44" i="12"/>
  <c r="Q45" i="12" s="1"/>
  <c r="L18" i="39"/>
  <c r="L44" i="12"/>
  <c r="L45" i="12" s="1"/>
  <c r="AF25" i="1"/>
  <c r="L70" i="11"/>
  <c r="L71" i="11" s="1"/>
  <c r="L93" i="11"/>
  <c r="L94" i="11" s="1"/>
  <c r="Q91" i="8"/>
  <c r="Q92" i="8" s="1"/>
  <c r="Q68" i="8"/>
  <c r="Q69" i="8" s="1"/>
  <c r="Q18" i="14"/>
  <c r="Q18" i="13"/>
  <c r="AF23" i="1"/>
  <c r="AF18" i="1"/>
  <c r="R16" i="39" s="1"/>
  <c r="R17" i="39" s="1"/>
  <c r="Q16" i="14"/>
  <c r="Q17" i="14" s="1"/>
  <c r="F18" i="14"/>
  <c r="F18" i="13"/>
  <c r="G16" i="13"/>
  <c r="O16" i="14"/>
  <c r="O17" i="14" s="1"/>
  <c r="E16" i="13"/>
  <c r="E17" i="13" s="1"/>
  <c r="L16" i="13"/>
  <c r="L17" i="13" s="1"/>
  <c r="F16" i="14"/>
  <c r="F17" i="14" s="1"/>
  <c r="K16" i="14"/>
  <c r="K17" i="14" s="1"/>
  <c r="H16" i="14"/>
  <c r="H17" i="14" s="1"/>
  <c r="L18" i="13"/>
  <c r="L18" i="14"/>
  <c r="I16" i="13"/>
  <c r="I17" i="13" s="1"/>
  <c r="H18" i="13"/>
  <c r="H18" i="14"/>
  <c r="J18" i="14"/>
  <c r="J18" i="13"/>
  <c r="K18" i="13"/>
  <c r="K18" i="14"/>
  <c r="O18" i="13"/>
  <c r="O18" i="14"/>
  <c r="M18" i="13"/>
  <c r="M18" i="14"/>
  <c r="R17" i="2"/>
  <c r="R18" i="2" s="1"/>
  <c r="AF22" i="1"/>
  <c r="AF17" i="1"/>
  <c r="AG9" i="1"/>
  <c r="AF27" i="1"/>
  <c r="L16" i="14"/>
  <c r="L17" i="14" s="1"/>
  <c r="K16" i="13"/>
  <c r="K17" i="13" s="1"/>
  <c r="G16" i="14"/>
  <c r="M16" i="13"/>
  <c r="M17" i="13" s="1"/>
  <c r="P16" i="13"/>
  <c r="P17" i="13" s="1"/>
  <c r="E16" i="14"/>
  <c r="E18" i="14"/>
  <c r="E18" i="13"/>
  <c r="G18" i="13"/>
  <c r="G18" i="14"/>
  <c r="AF16" i="1"/>
  <c r="Q16" i="13"/>
  <c r="Q17" i="13" s="1"/>
  <c r="N16" i="14"/>
  <c r="N17" i="14" s="1"/>
  <c r="J16" i="14"/>
  <c r="N18" i="14"/>
  <c r="N18" i="13"/>
  <c r="I18" i="14"/>
  <c r="I18" i="13"/>
  <c r="P18" i="13"/>
  <c r="P18" i="14"/>
  <c r="P16" i="14"/>
  <c r="P17" i="14" s="1"/>
  <c r="O16" i="13"/>
  <c r="O17" i="13" s="1"/>
  <c r="M16" i="14"/>
  <c r="M17" i="14" s="1"/>
  <c r="I16" i="14"/>
  <c r="I17" i="14" s="1"/>
  <c r="N16" i="13"/>
  <c r="J16" i="13"/>
  <c r="J17" i="13" s="1"/>
  <c r="H19" i="15"/>
  <c r="H20" i="15" s="1"/>
  <c r="H19" i="16"/>
  <c r="H20" i="16" s="1"/>
  <c r="H17" i="13"/>
  <c r="H17" i="12"/>
  <c r="H18" i="12" s="1"/>
  <c r="F19" i="15"/>
  <c r="F20" i="15" s="1"/>
  <c r="F19" i="16"/>
  <c r="F20" i="16" s="1"/>
  <c r="F17" i="13"/>
  <c r="J19" i="15"/>
  <c r="J20" i="15" s="1"/>
  <c r="J19" i="16"/>
  <c r="J20" i="16" s="1"/>
  <c r="J17" i="14"/>
  <c r="J17" i="12"/>
  <c r="J18" i="12" s="1"/>
  <c r="L16" i="15"/>
  <c r="L17" i="15" s="1"/>
  <c r="AG11" i="1"/>
  <c r="AG29" i="1" s="1"/>
  <c r="R16" i="10"/>
  <c r="R17" i="10" s="1"/>
  <c r="I16" i="15"/>
  <c r="I17" i="15" s="1"/>
  <c r="AG6" i="1"/>
  <c r="R16" i="6"/>
  <c r="R17" i="6" s="1"/>
  <c r="K19" i="16"/>
  <c r="K20" i="16" s="1"/>
  <c r="K19" i="15"/>
  <c r="K20" i="15" s="1"/>
  <c r="K17" i="12"/>
  <c r="K18" i="12" s="1"/>
  <c r="O19" i="16"/>
  <c r="O20" i="16" s="1"/>
  <c r="O19" i="15"/>
  <c r="O20" i="15" s="1"/>
  <c r="O17" i="12"/>
  <c r="O18" i="12" s="1"/>
  <c r="M19" i="15"/>
  <c r="M20" i="15" s="1"/>
  <c r="M19" i="16"/>
  <c r="M20" i="16" s="1"/>
  <c r="M17" i="12"/>
  <c r="M18" i="12" s="1"/>
  <c r="K16" i="15"/>
  <c r="K17" i="15" s="1"/>
  <c r="AG10" i="1"/>
  <c r="R16" i="9"/>
  <c r="R17" i="9" s="1"/>
  <c r="J16" i="15"/>
  <c r="J17" i="15" s="1"/>
  <c r="N19" i="15"/>
  <c r="N20" i="15" s="1"/>
  <c r="N19" i="16"/>
  <c r="N20" i="16" s="1"/>
  <c r="N17" i="12"/>
  <c r="N18" i="12" s="1"/>
  <c r="N17" i="13"/>
  <c r="I19" i="15"/>
  <c r="I20" i="15" s="1"/>
  <c r="I19" i="16"/>
  <c r="I20" i="16" s="1"/>
  <c r="I17" i="12"/>
  <c r="I18" i="12" s="1"/>
  <c r="P19" i="15"/>
  <c r="P20" i="15" s="1"/>
  <c r="P19" i="16"/>
  <c r="P20" i="16" s="1"/>
  <c r="P17" i="12"/>
  <c r="P18" i="12" s="1"/>
  <c r="P16" i="15"/>
  <c r="P17" i="15" s="1"/>
  <c r="H16" i="15"/>
  <c r="H17" i="15" s="1"/>
  <c r="AG12" i="1"/>
  <c r="R16" i="16"/>
  <c r="R17" i="16" s="1"/>
  <c r="R16" i="11"/>
  <c r="R17" i="11" s="1"/>
  <c r="M16" i="15"/>
  <c r="M17" i="15" s="1"/>
  <c r="AG7" i="1"/>
  <c r="R16" i="7"/>
  <c r="R17" i="7" s="1"/>
  <c r="AG5" i="1"/>
  <c r="S42" i="4" s="1"/>
  <c r="S43" i="4" s="1"/>
  <c r="R16" i="4"/>
  <c r="R17" i="4" s="1"/>
  <c r="Q19" i="15"/>
  <c r="Q20" i="15" s="1"/>
  <c r="Q19" i="16"/>
  <c r="Q20" i="16" s="1"/>
  <c r="Q17" i="12"/>
  <c r="Q18" i="12" s="1"/>
  <c r="E19" i="16"/>
  <c r="E20" i="16" s="1"/>
  <c r="E17" i="14"/>
  <c r="L19" i="15"/>
  <c r="L20" i="15" s="1"/>
  <c r="L19" i="16"/>
  <c r="L20" i="16" s="1"/>
  <c r="L17" i="12"/>
  <c r="L18" i="12" s="1"/>
  <c r="G19" i="16"/>
  <c r="G20" i="16" s="1"/>
  <c r="G19" i="15"/>
  <c r="G20" i="15" s="1"/>
  <c r="G17" i="14"/>
  <c r="G17" i="13"/>
  <c r="O16" i="15"/>
  <c r="O17" i="15" s="1"/>
  <c r="AG8" i="1"/>
  <c r="AG26" i="1" s="1"/>
  <c r="R16" i="8"/>
  <c r="R17" i="8" s="1"/>
  <c r="N16" i="15"/>
  <c r="N17" i="15" s="1"/>
  <c r="Q16" i="15"/>
  <c r="Q17" i="15" s="1"/>
  <c r="AG4" i="1"/>
  <c r="S47" i="2" s="1"/>
  <c r="S48" i="2" s="1"/>
  <c r="AF14" i="1"/>
  <c r="R92" i="7" l="1"/>
  <c r="R93" i="7" s="1"/>
  <c r="R43" i="7"/>
  <c r="R44" i="7" s="1"/>
  <c r="R69" i="7"/>
  <c r="R70" i="7" s="1"/>
  <c r="R92" i="4"/>
  <c r="R93" i="4" s="1"/>
  <c r="R69" i="4"/>
  <c r="R70" i="4" s="1"/>
  <c r="R93" i="6"/>
  <c r="R94" i="6" s="1"/>
  <c r="R70" i="6"/>
  <c r="R71" i="6" s="1"/>
  <c r="R93" i="10"/>
  <c r="R94" i="10" s="1"/>
  <c r="R70" i="10"/>
  <c r="R71" i="10" s="1"/>
  <c r="AG30" i="1"/>
  <c r="S44" i="11"/>
  <c r="S45" i="11" s="1"/>
  <c r="S16" i="38"/>
  <c r="S17" i="38" s="1"/>
  <c r="S42" i="38"/>
  <c r="S43" i="38" s="1"/>
  <c r="Q94" i="12"/>
  <c r="Q95" i="12" s="1"/>
  <c r="Q71" i="12"/>
  <c r="Q72" i="12" s="1"/>
  <c r="H71" i="12"/>
  <c r="H72" i="12" s="1"/>
  <c r="H94" i="12"/>
  <c r="H95" i="12" s="1"/>
  <c r="K71" i="12"/>
  <c r="K72" i="12" s="1"/>
  <c r="K94" i="12"/>
  <c r="K95" i="12" s="1"/>
  <c r="AG24" i="1"/>
  <c r="S43" i="6"/>
  <c r="S44" i="6" s="1"/>
  <c r="R99" i="2"/>
  <c r="R100" i="2" s="1"/>
  <c r="R76" i="2"/>
  <c r="R77" i="2" s="1"/>
  <c r="AF33" i="1"/>
  <c r="N94" i="12"/>
  <c r="N95" i="12" s="1"/>
  <c r="N71" i="12"/>
  <c r="N72" i="12" s="1"/>
  <c r="AG25" i="1"/>
  <c r="R70" i="11"/>
  <c r="R71" i="11" s="1"/>
  <c r="R93" i="11"/>
  <c r="R94" i="11" s="1"/>
  <c r="J94" i="12"/>
  <c r="J95" i="12" s="1"/>
  <c r="J71" i="12"/>
  <c r="J72" i="12" s="1"/>
  <c r="R91" i="8"/>
  <c r="R92" i="8" s="1"/>
  <c r="R68" i="8"/>
  <c r="R69" i="8" s="1"/>
  <c r="O71" i="12"/>
  <c r="O72" i="12" s="1"/>
  <c r="O94" i="12"/>
  <c r="O95" i="12" s="1"/>
  <c r="P71" i="12"/>
  <c r="P72" i="12" s="1"/>
  <c r="P94" i="12"/>
  <c r="P95" i="12" s="1"/>
  <c r="S42" i="8"/>
  <c r="S43" i="8" s="1"/>
  <c r="M94" i="12"/>
  <c r="M95" i="12" s="1"/>
  <c r="M71" i="12"/>
  <c r="M72" i="12" s="1"/>
  <c r="AG28" i="1"/>
  <c r="S42" i="9"/>
  <c r="S43" i="9" s="1"/>
  <c r="R18" i="39"/>
  <c r="R44" i="12"/>
  <c r="R45" i="12" s="1"/>
  <c r="S43" i="10"/>
  <c r="S44" i="10" s="1"/>
  <c r="L94" i="12"/>
  <c r="L95" i="12" s="1"/>
  <c r="L71" i="12"/>
  <c r="L72" i="12" s="1"/>
  <c r="I94" i="12"/>
  <c r="I95" i="12" s="1"/>
  <c r="I71" i="12"/>
  <c r="I72" i="12" s="1"/>
  <c r="R16" i="14"/>
  <c r="R17" i="14" s="1"/>
  <c r="R18" i="14"/>
  <c r="R18" i="13"/>
  <c r="AG23" i="1"/>
  <c r="AG18" i="1"/>
  <c r="S16" i="39" s="1"/>
  <c r="S17" i="39" s="1"/>
  <c r="S17" i="2"/>
  <c r="S18" i="2" s="1"/>
  <c r="AG22" i="1"/>
  <c r="AG17" i="1"/>
  <c r="AG16" i="1"/>
  <c r="AH9" i="1"/>
  <c r="AG27" i="1"/>
  <c r="R16" i="13"/>
  <c r="R17" i="13" s="1"/>
  <c r="R19" i="15"/>
  <c r="R20" i="15" s="1"/>
  <c r="R19" i="16"/>
  <c r="R20" i="16" s="1"/>
  <c r="R17" i="12"/>
  <c r="R18" i="12" s="1"/>
  <c r="AH7" i="1"/>
  <c r="S16" i="7"/>
  <c r="S17" i="7" s="1"/>
  <c r="AH8" i="1"/>
  <c r="AH26" i="1" s="1"/>
  <c r="S16" i="8"/>
  <c r="S17" i="8" s="1"/>
  <c r="AH10" i="1"/>
  <c r="S16" i="9"/>
  <c r="S17" i="9" s="1"/>
  <c r="AH6" i="1"/>
  <c r="S16" i="6"/>
  <c r="S17" i="6" s="1"/>
  <c r="R16" i="15"/>
  <c r="R17" i="15" s="1"/>
  <c r="AH5" i="1"/>
  <c r="T42" i="4" s="1"/>
  <c r="T43" i="4" s="1"/>
  <c r="S16" i="4"/>
  <c r="S17" i="4" s="1"/>
  <c r="AH12" i="1"/>
  <c r="S16" i="16"/>
  <c r="S17" i="16" s="1"/>
  <c r="S16" i="11"/>
  <c r="S17" i="11" s="1"/>
  <c r="AH11" i="1"/>
  <c r="AH29" i="1" s="1"/>
  <c r="S16" i="10"/>
  <c r="S17" i="10" s="1"/>
  <c r="AH4" i="1"/>
  <c r="T47" i="2" s="1"/>
  <c r="T48" i="2" s="1"/>
  <c r="AG14" i="1"/>
  <c r="S69" i="4" l="1"/>
  <c r="S70" i="4" s="1"/>
  <c r="S92" i="4"/>
  <c r="S93" i="4" s="1"/>
  <c r="S93" i="6"/>
  <c r="S94" i="6" s="1"/>
  <c r="S70" i="6"/>
  <c r="S71" i="6" s="1"/>
  <c r="S92" i="7"/>
  <c r="S93" i="7" s="1"/>
  <c r="S43" i="7"/>
  <c r="S44" i="7" s="1"/>
  <c r="S69" i="7"/>
  <c r="S70" i="7" s="1"/>
  <c r="S93" i="10"/>
  <c r="S94" i="10" s="1"/>
  <c r="S70" i="10"/>
  <c r="S71" i="10" s="1"/>
  <c r="AH30" i="1"/>
  <c r="T44" i="11"/>
  <c r="T45" i="11" s="1"/>
  <c r="S70" i="11"/>
  <c r="S71" i="11" s="1"/>
  <c r="S93" i="11"/>
  <c r="S94" i="11" s="1"/>
  <c r="S99" i="2"/>
  <c r="S100" i="2" s="1"/>
  <c r="S76" i="2"/>
  <c r="S77" i="2" s="1"/>
  <c r="T16" i="38"/>
  <c r="T17" i="38" s="1"/>
  <c r="T42" i="38"/>
  <c r="T43" i="38" s="1"/>
  <c r="T42" i="8"/>
  <c r="T43" i="8" s="1"/>
  <c r="R71" i="12"/>
  <c r="R72" i="12" s="1"/>
  <c r="R94" i="12"/>
  <c r="R95" i="12" s="1"/>
  <c r="AG33" i="1"/>
  <c r="S91" i="8"/>
  <c r="S92" i="8" s="1"/>
  <c r="S68" i="8"/>
  <c r="S69" i="8" s="1"/>
  <c r="AH24" i="1"/>
  <c r="T43" i="6"/>
  <c r="T44" i="6" s="1"/>
  <c r="AH28" i="1"/>
  <c r="T42" i="9"/>
  <c r="T43" i="9" s="1"/>
  <c r="S18" i="39"/>
  <c r="S44" i="12"/>
  <c r="S45" i="12" s="1"/>
  <c r="AH25" i="1"/>
  <c r="T43" i="10"/>
  <c r="T44" i="10" s="1"/>
  <c r="AI9" i="1"/>
  <c r="AH27" i="1"/>
  <c r="T17" i="2"/>
  <c r="T18" i="2" s="1"/>
  <c r="AH22" i="1"/>
  <c r="AH17" i="1"/>
  <c r="S16" i="14"/>
  <c r="S17" i="14" s="1"/>
  <c r="S18" i="13"/>
  <c r="S18" i="14"/>
  <c r="AH16" i="1"/>
  <c r="AH23" i="1"/>
  <c r="AH18" i="1"/>
  <c r="T16" i="39" s="1"/>
  <c r="T17" i="39" s="1"/>
  <c r="S16" i="13"/>
  <c r="S17" i="13" s="1"/>
  <c r="AI5" i="1"/>
  <c r="U42" i="4" s="1"/>
  <c r="U43" i="4" s="1"/>
  <c r="T16" i="4"/>
  <c r="T17" i="4" s="1"/>
  <c r="AI6" i="1"/>
  <c r="T16" i="6"/>
  <c r="T17" i="6" s="1"/>
  <c r="S16" i="15"/>
  <c r="S17" i="15" s="1"/>
  <c r="AI12" i="1"/>
  <c r="T16" i="16"/>
  <c r="T17" i="16" s="1"/>
  <c r="T16" i="11"/>
  <c r="T17" i="11" s="1"/>
  <c r="AI8" i="1"/>
  <c r="AI26" i="1" s="1"/>
  <c r="T16" i="8"/>
  <c r="T17" i="8" s="1"/>
  <c r="AI7" i="1"/>
  <c r="T16" i="7"/>
  <c r="T17" i="7" s="1"/>
  <c r="S19" i="16"/>
  <c r="S20" i="16" s="1"/>
  <c r="S19" i="15"/>
  <c r="S20" i="15" s="1"/>
  <c r="S17" i="12"/>
  <c r="S18" i="12" s="1"/>
  <c r="AI11" i="1"/>
  <c r="AI29" i="1" s="1"/>
  <c r="T16" i="10"/>
  <c r="T17" i="10" s="1"/>
  <c r="AI10" i="1"/>
  <c r="T16" i="9"/>
  <c r="T17" i="9" s="1"/>
  <c r="AI4" i="1"/>
  <c r="U47" i="2" s="1"/>
  <c r="U48" i="2" s="1"/>
  <c r="AH14" i="1"/>
  <c r="T92" i="4" l="1"/>
  <c r="T93" i="4" s="1"/>
  <c r="T69" i="4"/>
  <c r="T70" i="4" s="1"/>
  <c r="T70" i="6"/>
  <c r="T71" i="6" s="1"/>
  <c r="T93" i="6"/>
  <c r="T94" i="6" s="1"/>
  <c r="T92" i="7"/>
  <c r="T93" i="7" s="1"/>
  <c r="T43" i="7"/>
  <c r="T44" i="7" s="1"/>
  <c r="T69" i="7"/>
  <c r="T70" i="7" s="1"/>
  <c r="T70" i="10"/>
  <c r="T71" i="10" s="1"/>
  <c r="T93" i="10"/>
  <c r="T94" i="10" s="1"/>
  <c r="AI30" i="1"/>
  <c r="U44" i="11"/>
  <c r="U45" i="11" s="1"/>
  <c r="AH33" i="1"/>
  <c r="T68" i="8"/>
  <c r="T69" i="8" s="1"/>
  <c r="T91" i="8"/>
  <c r="T92" i="8" s="1"/>
  <c r="T70" i="11"/>
  <c r="T71" i="11" s="1"/>
  <c r="T93" i="11"/>
  <c r="T94" i="11" s="1"/>
  <c r="T99" i="2"/>
  <c r="T100" i="2" s="1"/>
  <c r="T76" i="2"/>
  <c r="T77" i="2" s="1"/>
  <c r="S94" i="12"/>
  <c r="S95" i="12" s="1"/>
  <c r="S71" i="12"/>
  <c r="S72" i="12" s="1"/>
  <c r="T18" i="39"/>
  <c r="T44" i="12"/>
  <c r="T45" i="12" s="1"/>
  <c r="U43" i="10"/>
  <c r="U44" i="10" s="1"/>
  <c r="AI24" i="1"/>
  <c r="U43" i="6"/>
  <c r="U44" i="6" s="1"/>
  <c r="AI28" i="1"/>
  <c r="U42" i="9"/>
  <c r="U43" i="9" s="1"/>
  <c r="AI25" i="1"/>
  <c r="U42" i="8"/>
  <c r="U43" i="8" s="1"/>
  <c r="U42" i="38"/>
  <c r="U43" i="38" s="1"/>
  <c r="U16" i="38"/>
  <c r="U17" i="38" s="1"/>
  <c r="U17" i="2"/>
  <c r="U18" i="2" s="1"/>
  <c r="AI22" i="1"/>
  <c r="AI17" i="1"/>
  <c r="AI16" i="1"/>
  <c r="T16" i="13"/>
  <c r="T17" i="13" s="1"/>
  <c r="T18" i="13"/>
  <c r="T18" i="14"/>
  <c r="AI23" i="1"/>
  <c r="AI18" i="1"/>
  <c r="U16" i="39" s="1"/>
  <c r="U17" i="39" s="1"/>
  <c r="T16" i="14"/>
  <c r="T17" i="14" s="1"/>
  <c r="AJ9" i="1"/>
  <c r="AI27" i="1"/>
  <c r="AJ11" i="1"/>
  <c r="AJ29" i="1" s="1"/>
  <c r="U16" i="10"/>
  <c r="U17" i="10" s="1"/>
  <c r="AJ12" i="1"/>
  <c r="U16" i="16"/>
  <c r="U17" i="16" s="1"/>
  <c r="U16" i="11"/>
  <c r="U17" i="11" s="1"/>
  <c r="T16" i="15"/>
  <c r="T17" i="15" s="1"/>
  <c r="AJ7" i="1"/>
  <c r="U16" i="7"/>
  <c r="U17" i="7" s="1"/>
  <c r="T19" i="15"/>
  <c r="T20" i="15" s="1"/>
  <c r="T19" i="16"/>
  <c r="T20" i="16" s="1"/>
  <c r="T17" i="12"/>
  <c r="T18" i="12" s="1"/>
  <c r="AJ10" i="1"/>
  <c r="U16" i="9"/>
  <c r="U17" i="9" s="1"/>
  <c r="AJ8" i="1"/>
  <c r="AJ26" i="1" s="1"/>
  <c r="U16" i="8"/>
  <c r="U17" i="8" s="1"/>
  <c r="AJ6" i="1"/>
  <c r="U16" i="6"/>
  <c r="U17" i="6" s="1"/>
  <c r="AJ5" i="1"/>
  <c r="V42" i="4" s="1"/>
  <c r="V43" i="4" s="1"/>
  <c r="U16" i="4"/>
  <c r="U17" i="4" s="1"/>
  <c r="AJ4" i="1"/>
  <c r="V47" i="2" s="1"/>
  <c r="V48" i="2" s="1"/>
  <c r="AI14" i="1"/>
  <c r="U92" i="4" l="1"/>
  <c r="U93" i="4" s="1"/>
  <c r="U69" i="4"/>
  <c r="U70" i="4" s="1"/>
  <c r="U70" i="6"/>
  <c r="U71" i="6" s="1"/>
  <c r="U93" i="6"/>
  <c r="U94" i="6" s="1"/>
  <c r="U92" i="7"/>
  <c r="U93" i="7" s="1"/>
  <c r="U43" i="7"/>
  <c r="U44" i="7" s="1"/>
  <c r="U69" i="7"/>
  <c r="U70" i="7" s="1"/>
  <c r="U93" i="10"/>
  <c r="U94" i="10" s="1"/>
  <c r="U70" i="10"/>
  <c r="U71" i="10" s="1"/>
  <c r="AJ28" i="1"/>
  <c r="V42" i="9"/>
  <c r="V43" i="9" s="1"/>
  <c r="V42" i="38"/>
  <c r="V43" i="38" s="1"/>
  <c r="V16" i="38"/>
  <c r="V17" i="38" s="1"/>
  <c r="AI33" i="1"/>
  <c r="U68" i="8"/>
  <c r="U69" i="8" s="1"/>
  <c r="U91" i="8"/>
  <c r="U92" i="8" s="1"/>
  <c r="T94" i="12"/>
  <c r="T95" i="12" s="1"/>
  <c r="T71" i="12"/>
  <c r="T72" i="12" s="1"/>
  <c r="V43" i="10"/>
  <c r="V44" i="10" s="1"/>
  <c r="U18" i="39"/>
  <c r="U44" i="12"/>
  <c r="U45" i="12" s="1"/>
  <c r="U70" i="11"/>
  <c r="U71" i="11" s="1"/>
  <c r="U93" i="11"/>
  <c r="U94" i="11" s="1"/>
  <c r="V42" i="8"/>
  <c r="V43" i="8" s="1"/>
  <c r="AJ25" i="1"/>
  <c r="AJ24" i="1"/>
  <c r="V43" i="6"/>
  <c r="V44" i="6" s="1"/>
  <c r="AJ30" i="1"/>
  <c r="V44" i="11"/>
  <c r="V45" i="11" s="1"/>
  <c r="U76" i="2"/>
  <c r="U77" i="2" s="1"/>
  <c r="U99" i="2"/>
  <c r="U100" i="2" s="1"/>
  <c r="AK9" i="1"/>
  <c r="AJ27" i="1"/>
  <c r="U18" i="13"/>
  <c r="U18" i="14"/>
  <c r="AJ16" i="1"/>
  <c r="U16" i="14"/>
  <c r="U17" i="14" s="1"/>
  <c r="AJ23" i="1"/>
  <c r="AJ18" i="1"/>
  <c r="V16" i="39" s="1"/>
  <c r="V17" i="39" s="1"/>
  <c r="V17" i="2"/>
  <c r="V18" i="2" s="1"/>
  <c r="AJ22" i="1"/>
  <c r="AJ17" i="1"/>
  <c r="U16" i="13"/>
  <c r="U17" i="13" s="1"/>
  <c r="U19" i="15"/>
  <c r="U20" i="15" s="1"/>
  <c r="U19" i="16"/>
  <c r="U20" i="16" s="1"/>
  <c r="U17" i="12"/>
  <c r="U18" i="12" s="1"/>
  <c r="AK10" i="1"/>
  <c r="V16" i="9"/>
  <c r="V17" i="9" s="1"/>
  <c r="AK5" i="1"/>
  <c r="W42" i="4" s="1"/>
  <c r="W43" i="4" s="1"/>
  <c r="V16" i="4"/>
  <c r="V17" i="4" s="1"/>
  <c r="AK7" i="1"/>
  <c r="V16" i="7"/>
  <c r="V17" i="7" s="1"/>
  <c r="AK8" i="1"/>
  <c r="AK26" i="1" s="1"/>
  <c r="V16" i="8"/>
  <c r="V17" i="8" s="1"/>
  <c r="U16" i="15"/>
  <c r="U17" i="15" s="1"/>
  <c r="AK6" i="1"/>
  <c r="V16" i="6"/>
  <c r="V17" i="6" s="1"/>
  <c r="AK12" i="1"/>
  <c r="V16" i="16"/>
  <c r="V17" i="16" s="1"/>
  <c r="V16" i="11"/>
  <c r="V17" i="11" s="1"/>
  <c r="AK11" i="1"/>
  <c r="AK29" i="1" s="1"/>
  <c r="V16" i="10"/>
  <c r="V17" i="10" s="1"/>
  <c r="AK4" i="1"/>
  <c r="W47" i="2" s="1"/>
  <c r="W48" i="2" s="1"/>
  <c r="AJ14" i="1"/>
  <c r="V93" i="6" l="1"/>
  <c r="V94" i="6" s="1"/>
  <c r="V70" i="6"/>
  <c r="V71" i="6" s="1"/>
  <c r="V69" i="4"/>
  <c r="V70" i="4" s="1"/>
  <c r="V92" i="4"/>
  <c r="V93" i="4" s="1"/>
  <c r="V69" i="7"/>
  <c r="V70" i="7" s="1"/>
  <c r="V92" i="7"/>
  <c r="V93" i="7" s="1"/>
  <c r="V43" i="7"/>
  <c r="V44" i="7" s="1"/>
  <c r="V70" i="10"/>
  <c r="V71" i="10" s="1"/>
  <c r="V93" i="10"/>
  <c r="V94" i="10" s="1"/>
  <c r="AK30" i="1"/>
  <c r="W44" i="11"/>
  <c r="W45" i="11" s="1"/>
  <c r="V18" i="39"/>
  <c r="V44" i="12"/>
  <c r="V45" i="12" s="1"/>
  <c r="AK24" i="1"/>
  <c r="W43" i="6"/>
  <c r="W44" i="6" s="1"/>
  <c r="AK28" i="1"/>
  <c r="W42" i="9"/>
  <c r="W43" i="9" s="1"/>
  <c r="V76" i="2"/>
  <c r="V77" i="2" s="1"/>
  <c r="V99" i="2"/>
  <c r="V100" i="2" s="1"/>
  <c r="AJ33" i="1"/>
  <c r="V68" i="8"/>
  <c r="V69" i="8" s="1"/>
  <c r="V91" i="8"/>
  <c r="V92" i="8" s="1"/>
  <c r="U94" i="12"/>
  <c r="U95" i="12" s="1"/>
  <c r="U71" i="12"/>
  <c r="U72" i="12" s="1"/>
  <c r="AK25" i="1"/>
  <c r="W42" i="38"/>
  <c r="W43" i="38" s="1"/>
  <c r="W16" i="38"/>
  <c r="W17" i="38" s="1"/>
  <c r="W43" i="10"/>
  <c r="W44" i="10" s="1"/>
  <c r="W42" i="8"/>
  <c r="W43" i="8" s="1"/>
  <c r="V70" i="11"/>
  <c r="V71" i="11" s="1"/>
  <c r="V93" i="11"/>
  <c r="V94" i="11" s="1"/>
  <c r="V18" i="14"/>
  <c r="V18" i="13"/>
  <c r="V16" i="14"/>
  <c r="V17" i="14" s="1"/>
  <c r="V16" i="13"/>
  <c r="V17" i="13" s="1"/>
  <c r="W17" i="2"/>
  <c r="W18" i="2" s="1"/>
  <c r="AK22" i="1"/>
  <c r="AK17" i="1"/>
  <c r="AK16" i="1"/>
  <c r="AK23" i="1"/>
  <c r="AK18" i="1"/>
  <c r="W16" i="39" s="1"/>
  <c r="W17" i="39" s="1"/>
  <c r="AL9" i="1"/>
  <c r="AK27" i="1"/>
  <c r="V19" i="15"/>
  <c r="V20" i="15" s="1"/>
  <c r="V19" i="16"/>
  <c r="V20" i="16" s="1"/>
  <c r="V17" i="12"/>
  <c r="V18" i="12" s="1"/>
  <c r="V16" i="15"/>
  <c r="V17" i="15" s="1"/>
  <c r="AL12" i="1"/>
  <c r="W16" i="16"/>
  <c r="W17" i="16" s="1"/>
  <c r="W16" i="11"/>
  <c r="W17" i="11" s="1"/>
  <c r="AL11" i="1"/>
  <c r="AL29" i="1" s="1"/>
  <c r="W16" i="10"/>
  <c r="W17" i="10" s="1"/>
  <c r="AL7" i="1"/>
  <c r="W16" i="7"/>
  <c r="W17" i="7" s="1"/>
  <c r="AL10" i="1"/>
  <c r="W16" i="9"/>
  <c r="W17" i="9" s="1"/>
  <c r="AL6" i="1"/>
  <c r="W16" i="6"/>
  <c r="W17" i="6" s="1"/>
  <c r="AL8" i="1"/>
  <c r="AL26" i="1" s="1"/>
  <c r="W16" i="8"/>
  <c r="W17" i="8" s="1"/>
  <c r="AL5" i="1"/>
  <c r="X42" i="4" s="1"/>
  <c r="X43" i="4" s="1"/>
  <c r="W16" i="4"/>
  <c r="W17" i="4" s="1"/>
  <c r="AL4" i="1"/>
  <c r="X47" i="2" s="1"/>
  <c r="X48" i="2" s="1"/>
  <c r="AK14" i="1"/>
  <c r="W93" i="6" l="1"/>
  <c r="W94" i="6" s="1"/>
  <c r="W70" i="6"/>
  <c r="W71" i="6" s="1"/>
  <c r="W69" i="4"/>
  <c r="W70" i="4" s="1"/>
  <c r="W92" i="4"/>
  <c r="W93" i="4" s="1"/>
  <c r="W69" i="7"/>
  <c r="W70" i="7" s="1"/>
  <c r="W92" i="7"/>
  <c r="W93" i="7" s="1"/>
  <c r="W43" i="7"/>
  <c r="W44" i="7" s="1"/>
  <c r="W70" i="10"/>
  <c r="W71" i="10" s="1"/>
  <c r="W93" i="10"/>
  <c r="W94" i="10" s="1"/>
  <c r="AK33" i="1"/>
  <c r="W91" i="8"/>
  <c r="W92" i="8" s="1"/>
  <c r="W68" i="8"/>
  <c r="W69" i="8" s="1"/>
  <c r="AL25" i="1"/>
  <c r="AL28" i="1"/>
  <c r="X42" i="9"/>
  <c r="X43" i="9" s="1"/>
  <c r="V94" i="12"/>
  <c r="V95" i="12" s="1"/>
  <c r="V71" i="12"/>
  <c r="V72" i="12" s="1"/>
  <c r="X42" i="8"/>
  <c r="X43" i="8" s="1"/>
  <c r="AL24" i="1"/>
  <c r="X43" i="6"/>
  <c r="X44" i="6" s="1"/>
  <c r="W93" i="11"/>
  <c r="W94" i="11" s="1"/>
  <c r="W70" i="11"/>
  <c r="W71" i="11" s="1"/>
  <c r="X43" i="10"/>
  <c r="X44" i="10" s="1"/>
  <c r="W76" i="2"/>
  <c r="W77" i="2" s="1"/>
  <c r="W99" i="2"/>
  <c r="W100" i="2" s="1"/>
  <c r="W18" i="39"/>
  <c r="W44" i="12"/>
  <c r="W45" i="12" s="1"/>
  <c r="AL30" i="1"/>
  <c r="X44" i="11"/>
  <c r="X45" i="11" s="1"/>
  <c r="X16" i="38"/>
  <c r="X17" i="38" s="1"/>
  <c r="X42" i="38"/>
  <c r="X43" i="38" s="1"/>
  <c r="W18" i="13"/>
  <c r="W18" i="14"/>
  <c r="AL23" i="1"/>
  <c r="AL18" i="1"/>
  <c r="X16" i="39" s="1"/>
  <c r="X17" i="39" s="1"/>
  <c r="C20" i="39" s="1"/>
  <c r="C27" i="39" s="1"/>
  <c r="W16" i="13"/>
  <c r="W17" i="13" s="1"/>
  <c r="W16" i="14"/>
  <c r="W17" i="14" s="1"/>
  <c r="X17" i="2"/>
  <c r="X18" i="2" s="1"/>
  <c r="AL22" i="1"/>
  <c r="AL17" i="1"/>
  <c r="AL16" i="1"/>
  <c r="AM9" i="1"/>
  <c r="AL27" i="1"/>
  <c r="AM7" i="1"/>
  <c r="X16" i="7"/>
  <c r="X17" i="7" s="1"/>
  <c r="W19" i="16"/>
  <c r="W20" i="16" s="1"/>
  <c r="W19" i="15"/>
  <c r="W20" i="15" s="1"/>
  <c r="W17" i="12"/>
  <c r="W18" i="12" s="1"/>
  <c r="AM8" i="1"/>
  <c r="AM26" i="1" s="1"/>
  <c r="X16" i="8"/>
  <c r="X17" i="8" s="1"/>
  <c r="AM5" i="1"/>
  <c r="Y42" i="4" s="1"/>
  <c r="Y43" i="4" s="1"/>
  <c r="X16" i="4"/>
  <c r="X17" i="4" s="1"/>
  <c r="AM10" i="1"/>
  <c r="X16" i="9"/>
  <c r="X17" i="9" s="1"/>
  <c r="W16" i="15"/>
  <c r="W17" i="15" s="1"/>
  <c r="AM6" i="1"/>
  <c r="X16" i="6"/>
  <c r="X17" i="6" s="1"/>
  <c r="AM11" i="1"/>
  <c r="AM29" i="1" s="1"/>
  <c r="X16" i="10"/>
  <c r="X17" i="10" s="1"/>
  <c r="AM12" i="1"/>
  <c r="X16" i="16"/>
  <c r="X17" i="16" s="1"/>
  <c r="C22" i="16" s="1"/>
  <c r="C29" i="16" s="1"/>
  <c r="L16" i="3" s="1"/>
  <c r="X16" i="11"/>
  <c r="X17" i="11" s="1"/>
  <c r="AM4" i="1"/>
  <c r="Y47" i="2" s="1"/>
  <c r="Y48" i="2" s="1"/>
  <c r="AL14" i="1"/>
  <c r="X69" i="4" l="1"/>
  <c r="X70" i="4" s="1"/>
  <c r="X92" i="4"/>
  <c r="X93" i="4" s="1"/>
  <c r="X69" i="7"/>
  <c r="X70" i="7" s="1"/>
  <c r="X92" i="7"/>
  <c r="X93" i="7" s="1"/>
  <c r="X43" i="7"/>
  <c r="X44" i="7" s="1"/>
  <c r="X93" i="6"/>
  <c r="X94" i="6" s="1"/>
  <c r="X70" i="6"/>
  <c r="X71" i="6" s="1"/>
  <c r="X93" i="10"/>
  <c r="X94" i="10" s="1"/>
  <c r="X70" i="10"/>
  <c r="X71" i="10" s="1"/>
  <c r="Y16" i="38"/>
  <c r="Y17" i="38" s="1"/>
  <c r="Y42" i="38"/>
  <c r="Y43" i="38" s="1"/>
  <c r="X93" i="11"/>
  <c r="X94" i="11" s="1"/>
  <c r="X70" i="11"/>
  <c r="X71" i="11" s="1"/>
  <c r="X99" i="2"/>
  <c r="X100" i="2" s="1"/>
  <c r="X76" i="2"/>
  <c r="X77" i="2" s="1"/>
  <c r="Y42" i="8"/>
  <c r="Y43" i="8" s="1"/>
  <c r="AM30" i="1"/>
  <c r="Y44" i="11"/>
  <c r="Y45" i="11" s="1"/>
  <c r="AM28" i="1"/>
  <c r="Y42" i="9"/>
  <c r="Y43" i="9" s="1"/>
  <c r="AM24" i="1"/>
  <c r="Y43" i="6"/>
  <c r="Y44" i="6" s="1"/>
  <c r="Y43" i="10"/>
  <c r="Y44" i="10" s="1"/>
  <c r="AM25" i="1"/>
  <c r="AL33" i="1"/>
  <c r="X91" i="8"/>
  <c r="X92" i="8" s="1"/>
  <c r="X68" i="8"/>
  <c r="X69" i="8" s="1"/>
  <c r="X18" i="39"/>
  <c r="C21" i="39" s="1"/>
  <c r="C28" i="39" s="1"/>
  <c r="X44" i="12"/>
  <c r="X45" i="12" s="1"/>
  <c r="W71" i="12"/>
  <c r="W72" i="12" s="1"/>
  <c r="W94" i="12"/>
  <c r="W95" i="12" s="1"/>
  <c r="AN9" i="1"/>
  <c r="AM27" i="1"/>
  <c r="AM16" i="1"/>
  <c r="AM23" i="1"/>
  <c r="AM18" i="1"/>
  <c r="X16" i="14"/>
  <c r="X17" i="14" s="1"/>
  <c r="C21" i="14" s="1"/>
  <c r="C28" i="14" s="1"/>
  <c r="Y17" i="2"/>
  <c r="Y18" i="2" s="1"/>
  <c r="AM22" i="1"/>
  <c r="AM17" i="1"/>
  <c r="X18" i="13"/>
  <c r="C21" i="13" s="1"/>
  <c r="C28" i="13" s="1"/>
  <c r="I18" i="3" s="1"/>
  <c r="X18" i="14"/>
  <c r="C22" i="14" s="1"/>
  <c r="C29" i="14" s="1"/>
  <c r="J18" i="3" s="1"/>
  <c r="X16" i="13"/>
  <c r="X17" i="13" s="1"/>
  <c r="C20" i="13" s="1"/>
  <c r="C27" i="13" s="1"/>
  <c r="AN6" i="1"/>
  <c r="Y16" i="6"/>
  <c r="Y17" i="6" s="1"/>
  <c r="AN10" i="1"/>
  <c r="Y16" i="9"/>
  <c r="Y17" i="9" s="1"/>
  <c r="AN8" i="1"/>
  <c r="AN26" i="1" s="1"/>
  <c r="Y16" i="8"/>
  <c r="Y17" i="8" s="1"/>
  <c r="X19" i="15"/>
  <c r="X20" i="15" s="1"/>
  <c r="X19" i="16"/>
  <c r="X20" i="16" s="1"/>
  <c r="C23" i="16" s="1"/>
  <c r="C30" i="16" s="1"/>
  <c r="L18" i="3" s="1"/>
  <c r="X17" i="12"/>
  <c r="X18" i="12" s="1"/>
  <c r="X16" i="15"/>
  <c r="X17" i="15" s="1"/>
  <c r="AN11" i="1"/>
  <c r="AN29" i="1" s="1"/>
  <c r="Y16" i="10"/>
  <c r="Y17" i="10" s="1"/>
  <c r="AN5" i="1"/>
  <c r="Z42" i="4" s="1"/>
  <c r="Z43" i="4" s="1"/>
  <c r="Y16" i="4"/>
  <c r="Y17" i="4" s="1"/>
  <c r="AN12" i="1"/>
  <c r="Y16" i="11"/>
  <c r="Y17" i="11" s="1"/>
  <c r="AN7" i="1"/>
  <c r="Y16" i="7"/>
  <c r="Y17" i="7" s="1"/>
  <c r="AN4" i="1"/>
  <c r="Z47" i="2" s="1"/>
  <c r="Z48" i="2" s="1"/>
  <c r="AM14" i="1"/>
  <c r="M15" i="3" l="1"/>
  <c r="M14" i="3"/>
  <c r="M12" i="3"/>
  <c r="M18" i="3"/>
  <c r="M10" i="3"/>
  <c r="M9" i="3"/>
  <c r="M16" i="3"/>
  <c r="M13" i="3"/>
  <c r="M11" i="3"/>
  <c r="M8" i="3"/>
  <c r="Y93" i="6"/>
  <c r="Y94" i="6" s="1"/>
  <c r="Y70" i="6"/>
  <c r="Y71" i="6" s="1"/>
  <c r="Y92" i="4"/>
  <c r="Y93" i="4" s="1"/>
  <c r="Y69" i="4"/>
  <c r="Y70" i="4" s="1"/>
  <c r="Y69" i="7"/>
  <c r="Y70" i="7" s="1"/>
  <c r="Y92" i="7"/>
  <c r="Y93" i="7" s="1"/>
  <c r="Y43" i="7"/>
  <c r="Y44" i="7" s="1"/>
  <c r="Y93" i="10"/>
  <c r="Y94" i="10" s="1"/>
  <c r="Y70" i="10"/>
  <c r="Y71" i="10" s="1"/>
  <c r="AM33" i="1"/>
  <c r="Y91" i="8"/>
  <c r="Y92" i="8" s="1"/>
  <c r="Y68" i="8"/>
  <c r="Y69" i="8" s="1"/>
  <c r="Y44" i="12"/>
  <c r="Y45" i="12" s="1"/>
  <c r="X71" i="12"/>
  <c r="X72" i="12" s="1"/>
  <c r="X94" i="12"/>
  <c r="X95" i="12" s="1"/>
  <c r="Z43" i="10"/>
  <c r="Z44" i="10" s="1"/>
  <c r="Y99" i="2"/>
  <c r="Y100" i="2" s="1"/>
  <c r="Y76" i="2"/>
  <c r="Y77" i="2" s="1"/>
  <c r="Z16" i="38"/>
  <c r="Z17" i="38" s="1"/>
  <c r="Z42" i="38"/>
  <c r="Z43" i="38" s="1"/>
  <c r="Z42" i="8"/>
  <c r="Z43" i="8" s="1"/>
  <c r="AN25" i="1"/>
  <c r="AN28" i="1"/>
  <c r="Z42" i="9"/>
  <c r="Z43" i="9" s="1"/>
  <c r="AN30" i="1"/>
  <c r="Z44" i="11"/>
  <c r="Z45" i="11" s="1"/>
  <c r="AN24" i="1"/>
  <c r="Z43" i="6"/>
  <c r="Z44" i="6" s="1"/>
  <c r="Y93" i="11"/>
  <c r="Y94" i="11" s="1"/>
  <c r="Y70" i="11"/>
  <c r="Y71" i="11" s="1"/>
  <c r="AN23" i="1"/>
  <c r="AN18" i="1"/>
  <c r="Z17" i="2"/>
  <c r="Z18" i="2" s="1"/>
  <c r="AN22" i="1"/>
  <c r="AN17" i="1"/>
  <c r="AN16" i="1"/>
  <c r="AO9" i="1"/>
  <c r="AN27" i="1"/>
  <c r="AO12" i="1"/>
  <c r="Z16" i="11"/>
  <c r="Z17" i="11" s="1"/>
  <c r="Y16" i="15"/>
  <c r="Y17" i="15" s="1"/>
  <c r="C22" i="15" s="1"/>
  <c r="C29" i="15" s="1"/>
  <c r="K15" i="3" s="1"/>
  <c r="J13" i="3"/>
  <c r="J15" i="3"/>
  <c r="J11" i="3"/>
  <c r="J12" i="3"/>
  <c r="J16" i="3"/>
  <c r="J8" i="3"/>
  <c r="J10" i="3"/>
  <c r="J14" i="3"/>
  <c r="AO10" i="1"/>
  <c r="Z16" i="9"/>
  <c r="Z17" i="9" s="1"/>
  <c r="Y19" i="15"/>
  <c r="Y20" i="15" s="1"/>
  <c r="C23" i="15" s="1"/>
  <c r="C30" i="15" s="1"/>
  <c r="K18" i="3" s="1"/>
  <c r="Y17" i="12"/>
  <c r="Y18" i="12" s="1"/>
  <c r="AO11" i="1"/>
  <c r="AO29" i="1" s="1"/>
  <c r="Z16" i="10"/>
  <c r="Z17" i="10" s="1"/>
  <c r="AO7" i="1"/>
  <c r="Z16" i="7"/>
  <c r="Z17" i="7" s="1"/>
  <c r="AO5" i="1"/>
  <c r="AA42" i="4" s="1"/>
  <c r="AA43" i="4" s="1"/>
  <c r="C44" i="4" s="1"/>
  <c r="C51" i="4" s="1"/>
  <c r="G9" i="3" s="1"/>
  <c r="Z16" i="4"/>
  <c r="Z17" i="4" s="1"/>
  <c r="I9" i="3"/>
  <c r="AO8" i="1"/>
  <c r="AO26" i="1" s="1"/>
  <c r="Z16" i="8"/>
  <c r="Z17" i="8" s="1"/>
  <c r="AO6" i="1"/>
  <c r="Z16" i="6"/>
  <c r="Z17" i="6" s="1"/>
  <c r="AO4" i="1"/>
  <c r="AA47" i="2" s="1"/>
  <c r="AA48" i="2" s="1"/>
  <c r="C49" i="2" s="1"/>
  <c r="C56" i="2" s="1"/>
  <c r="G8" i="3" s="1"/>
  <c r="AN14" i="1"/>
  <c r="Z44" i="12" s="1"/>
  <c r="Z45" i="12" s="1"/>
  <c r="Z92" i="7" l="1"/>
  <c r="Z93" i="7" s="1"/>
  <c r="Z43" i="7"/>
  <c r="Z44" i="7" s="1"/>
  <c r="Z69" i="7"/>
  <c r="Z70" i="7" s="1"/>
  <c r="Z93" i="6"/>
  <c r="Z94" i="6" s="1"/>
  <c r="Z70" i="6"/>
  <c r="Z71" i="6" s="1"/>
  <c r="Z69" i="4"/>
  <c r="Z70" i="4" s="1"/>
  <c r="Z92" i="4"/>
  <c r="Z93" i="4" s="1"/>
  <c r="Z93" i="10"/>
  <c r="Z94" i="10" s="1"/>
  <c r="Z70" i="10"/>
  <c r="Z71" i="10" s="1"/>
  <c r="D76" i="3"/>
  <c r="F76" i="3" s="1"/>
  <c r="D75" i="3"/>
  <c r="F75" i="3" s="1"/>
  <c r="AA42" i="8"/>
  <c r="AA43" i="8" s="1"/>
  <c r="C44" i="8" s="1"/>
  <c r="C51" i="8" s="1"/>
  <c r="G12" i="3" s="1"/>
  <c r="AA43" i="10"/>
  <c r="AA44" i="10" s="1"/>
  <c r="C45" i="10" s="1"/>
  <c r="C52" i="10" s="1"/>
  <c r="G15" i="3" s="1"/>
  <c r="Z99" i="2"/>
  <c r="Z100" i="2" s="1"/>
  <c r="Z76" i="2"/>
  <c r="Z77" i="2" s="1"/>
  <c r="AN33" i="1"/>
  <c r="Z91" i="8"/>
  <c r="Z92" i="8" s="1"/>
  <c r="Z68" i="8"/>
  <c r="Z69" i="8" s="1"/>
  <c r="AO30" i="1"/>
  <c r="AA44" i="11"/>
  <c r="AA45" i="11" s="1"/>
  <c r="C46" i="11" s="1"/>
  <c r="C53" i="11" s="1"/>
  <c r="G16" i="3" s="1"/>
  <c r="Z93" i="11"/>
  <c r="Z94" i="11" s="1"/>
  <c r="Z70" i="11"/>
  <c r="Z71" i="11" s="1"/>
  <c r="AO24" i="1"/>
  <c r="AA43" i="6"/>
  <c r="AA44" i="6" s="1"/>
  <c r="C45" i="6" s="1"/>
  <c r="C52" i="6" s="1"/>
  <c r="G10" i="3" s="1"/>
  <c r="AO28" i="1"/>
  <c r="AA42" i="9"/>
  <c r="AA43" i="9" s="1"/>
  <c r="C44" i="9" s="1"/>
  <c r="C51" i="9" s="1"/>
  <c r="G14" i="3" s="1"/>
  <c r="AA16" i="38"/>
  <c r="AA17" i="38" s="1"/>
  <c r="C18" i="38" s="1"/>
  <c r="C25" i="38" s="1"/>
  <c r="H13" i="3" s="1"/>
  <c r="AA42" i="38"/>
  <c r="AA43" i="38" s="1"/>
  <c r="C44" i="38" s="1"/>
  <c r="C51" i="38" s="1"/>
  <c r="G13" i="3" s="1"/>
  <c r="AO25" i="1"/>
  <c r="Y71" i="12"/>
  <c r="Y72" i="12" s="1"/>
  <c r="Y94" i="12"/>
  <c r="Y95" i="12" s="1"/>
  <c r="AO23" i="1"/>
  <c r="AO18" i="1"/>
  <c r="AA17" i="2"/>
  <c r="AA18" i="2" s="1"/>
  <c r="C19" i="2" s="1"/>
  <c r="AO22" i="1"/>
  <c r="AO17" i="1"/>
  <c r="AO16" i="1"/>
  <c r="AP9" i="1"/>
  <c r="AP27" i="1" s="1"/>
  <c r="AO27" i="1"/>
  <c r="Z17" i="12"/>
  <c r="Z18" i="12" s="1"/>
  <c r="AP8" i="1"/>
  <c r="AP26" i="1" s="1"/>
  <c r="AA16" i="8"/>
  <c r="AA17" i="8" s="1"/>
  <c r="C18" i="8" s="1"/>
  <c r="C25" i="8" s="1"/>
  <c r="H12" i="3" s="1"/>
  <c r="AP5" i="1"/>
  <c r="AA16" i="4"/>
  <c r="AA17" i="4" s="1"/>
  <c r="C18" i="4" s="1"/>
  <c r="C25" i="4" s="1"/>
  <c r="H9" i="3" s="1"/>
  <c r="N9" i="3" s="1"/>
  <c r="AP11" i="1"/>
  <c r="AP29" i="1" s="1"/>
  <c r="AA16" i="10"/>
  <c r="AA17" i="10" s="1"/>
  <c r="C18" i="10" s="1"/>
  <c r="AP10" i="1"/>
  <c r="AP28" i="1" s="1"/>
  <c r="AA16" i="9"/>
  <c r="AA17" i="9" s="1"/>
  <c r="C18" i="9" s="1"/>
  <c r="C25" i="9" s="1"/>
  <c r="H14" i="3" s="1"/>
  <c r="AP6" i="1"/>
  <c r="AP24" i="1" s="1"/>
  <c r="AA16" i="6"/>
  <c r="AA17" i="6" s="1"/>
  <c r="C18" i="6" s="1"/>
  <c r="C25" i="6" s="1"/>
  <c r="H10" i="3" s="1"/>
  <c r="AP7" i="1"/>
  <c r="AP25" i="1" s="1"/>
  <c r="AA16" i="7"/>
  <c r="AA17" i="7" s="1"/>
  <c r="C18" i="7" s="1"/>
  <c r="C25" i="7" s="1"/>
  <c r="H11" i="3" s="1"/>
  <c r="AP12" i="1"/>
  <c r="AP30" i="1" s="1"/>
  <c r="AA16" i="11"/>
  <c r="AA17" i="11" s="1"/>
  <c r="C18" i="11" s="1"/>
  <c r="C25" i="11" s="1"/>
  <c r="H16" i="3" s="1"/>
  <c r="AP4" i="1"/>
  <c r="AO14" i="1"/>
  <c r="AA44" i="12" s="1"/>
  <c r="AA45" i="12" s="1"/>
  <c r="C46" i="12" s="1"/>
  <c r="C53" i="12" s="1"/>
  <c r="N16" i="3" l="1"/>
  <c r="J32" i="3" s="1"/>
  <c r="N12" i="3"/>
  <c r="N14" i="3"/>
  <c r="N10" i="3"/>
  <c r="N13" i="3"/>
  <c r="AA92" i="4"/>
  <c r="AA93" i="4" s="1"/>
  <c r="C94" i="4" s="1"/>
  <c r="C99" i="4" s="1"/>
  <c r="AA69" i="4"/>
  <c r="AA70" i="4" s="1"/>
  <c r="C71" i="4" s="1"/>
  <c r="C76" i="4" s="1"/>
  <c r="AA93" i="6"/>
  <c r="AA94" i="6" s="1"/>
  <c r="C95" i="6" s="1"/>
  <c r="C100" i="6" s="1"/>
  <c r="AA70" i="6"/>
  <c r="AA71" i="6" s="1"/>
  <c r="C72" i="6" s="1"/>
  <c r="C77" i="6" s="1"/>
  <c r="AA92" i="7"/>
  <c r="AA93" i="7" s="1"/>
  <c r="C94" i="7" s="1"/>
  <c r="AA43" i="7"/>
  <c r="AA44" i="7" s="1"/>
  <c r="C45" i="7" s="1"/>
  <c r="AA69" i="7"/>
  <c r="AA70" i="7" s="1"/>
  <c r="C71" i="7" s="1"/>
  <c r="AA93" i="10"/>
  <c r="AA94" i="10" s="1"/>
  <c r="C95" i="10" s="1"/>
  <c r="C100" i="10" s="1"/>
  <c r="F82" i="3" s="1"/>
  <c r="AA70" i="10"/>
  <c r="AA71" i="10" s="1"/>
  <c r="C72" i="10" s="1"/>
  <c r="C77" i="10" s="1"/>
  <c r="G82" i="3" s="1"/>
  <c r="D81" i="3"/>
  <c r="F81" i="3" s="1"/>
  <c r="D79" i="3"/>
  <c r="E78" i="3"/>
  <c r="G78" i="3" s="1"/>
  <c r="D77" i="3"/>
  <c r="F77" i="3" s="1"/>
  <c r="D83" i="3"/>
  <c r="F83" i="3" s="1"/>
  <c r="D80" i="3"/>
  <c r="F80" i="3" s="1"/>
  <c r="D82" i="3"/>
  <c r="AA99" i="2"/>
  <c r="AA100" i="2" s="1"/>
  <c r="C101" i="2" s="1"/>
  <c r="C106" i="2" s="1"/>
  <c r="AA76" i="2"/>
  <c r="AA77" i="2" s="1"/>
  <c r="C78" i="2" s="1"/>
  <c r="C83" i="2" s="1"/>
  <c r="E80" i="3"/>
  <c r="G80" i="3" s="1"/>
  <c r="Z71" i="12"/>
  <c r="Z72" i="12" s="1"/>
  <c r="Z94" i="12"/>
  <c r="Z95" i="12" s="1"/>
  <c r="AA70" i="11"/>
  <c r="AA71" i="11" s="1"/>
  <c r="C72" i="11" s="1"/>
  <c r="C77" i="11" s="1"/>
  <c r="AA93" i="11"/>
  <c r="AA94" i="11" s="1"/>
  <c r="C95" i="11" s="1"/>
  <c r="C100" i="11" s="1"/>
  <c r="AO33" i="1"/>
  <c r="AA91" i="8"/>
  <c r="AA92" i="8" s="1"/>
  <c r="C93" i="8" s="1"/>
  <c r="C98" i="8" s="1"/>
  <c r="F79" i="3" s="1"/>
  <c r="AA68" i="8"/>
  <c r="AA69" i="8" s="1"/>
  <c r="C70" i="8" s="1"/>
  <c r="C75" i="8" s="1"/>
  <c r="G79" i="3" s="1"/>
  <c r="G18" i="3"/>
  <c r="D88" i="3" s="1"/>
  <c r="E54" i="12"/>
  <c r="E79" i="3"/>
  <c r="E81" i="3"/>
  <c r="G81" i="3" s="1"/>
  <c r="E76" i="3"/>
  <c r="G76" i="3" s="1"/>
  <c r="E83" i="3"/>
  <c r="G83" i="3" s="1"/>
  <c r="E77" i="3"/>
  <c r="G77" i="3" s="1"/>
  <c r="AP22" i="1"/>
  <c r="AP17" i="1"/>
  <c r="AA17" i="12"/>
  <c r="AA18" i="12" s="1"/>
  <c r="C19" i="12" s="1"/>
  <c r="C26" i="12" s="1"/>
  <c r="AP23" i="1"/>
  <c r="AP18" i="1"/>
  <c r="C25" i="10"/>
  <c r="H15" i="3" s="1"/>
  <c r="N15" i="3" s="1"/>
  <c r="AP16" i="1"/>
  <c r="AP14" i="1"/>
  <c r="AP33" i="1" l="1"/>
  <c r="E82" i="3"/>
  <c r="E28" i="3"/>
  <c r="E40" i="3" s="1"/>
  <c r="AA71" i="12"/>
  <c r="AA72" i="12" s="1"/>
  <c r="C73" i="12" s="1"/>
  <c r="C78" i="12" s="1"/>
  <c r="G88" i="3" s="1"/>
  <c r="AA94" i="12"/>
  <c r="AA95" i="12" s="1"/>
  <c r="C96" i="12" s="1"/>
  <c r="C100" i="12" s="1"/>
  <c r="F88" i="3" s="1"/>
  <c r="H18" i="3"/>
  <c r="E27" i="12"/>
  <c r="I28" i="3"/>
  <c r="I40" i="3" s="1"/>
  <c r="H64" i="3" s="1"/>
  <c r="J30" i="3"/>
  <c r="J42" i="3" s="1"/>
  <c r="J66" i="3" s="1"/>
  <c r="E30" i="3"/>
  <c r="E42" i="3" s="1"/>
  <c r="E31" i="3"/>
  <c r="G30" i="3"/>
  <c r="G42" i="3" s="1"/>
  <c r="F66" i="3" s="1"/>
  <c r="G31" i="3"/>
  <c r="G43" i="3" s="1"/>
  <c r="F67" i="3" s="1"/>
  <c r="J31" i="3"/>
  <c r="J43" i="3" s="1"/>
  <c r="J67" i="3" s="1"/>
  <c r="I30" i="3"/>
  <c r="I42" i="3" s="1"/>
  <c r="H66" i="3" s="1"/>
  <c r="I31" i="3"/>
  <c r="I43" i="3" s="1"/>
  <c r="H67" i="3" s="1"/>
  <c r="G28" i="3"/>
  <c r="G40" i="3" s="1"/>
  <c r="F64" i="3" s="1"/>
  <c r="J44" i="3"/>
  <c r="J68" i="3" s="1"/>
  <c r="J28" i="3"/>
  <c r="J40" i="3" s="1"/>
  <c r="J64" i="3" s="1"/>
  <c r="I32" i="3"/>
  <c r="I44" i="3" s="1"/>
  <c r="H68" i="3" s="1"/>
  <c r="E32" i="3"/>
  <c r="G32" i="3"/>
  <c r="G44" i="3" s="1"/>
  <c r="F68" i="3" s="1"/>
  <c r="C26" i="2"/>
  <c r="H8" i="3" s="1"/>
  <c r="N8" i="3" l="1"/>
  <c r="E75" i="3"/>
  <c r="E29" i="3"/>
  <c r="E41" i="3" s="1"/>
  <c r="I29" i="3"/>
  <c r="I41" i="3" s="1"/>
  <c r="H65" i="3" s="1"/>
  <c r="N18" i="3"/>
  <c r="E51" i="3" s="1"/>
  <c r="E88" i="3"/>
  <c r="G75" i="3"/>
  <c r="J29" i="3"/>
  <c r="J41" i="3" s="1"/>
  <c r="J65" i="3" s="1"/>
  <c r="G29" i="3"/>
  <c r="G41" i="3" s="1"/>
  <c r="F65" i="3" s="1"/>
  <c r="E44" i="3"/>
  <c r="E43" i="3"/>
  <c r="D64" i="3"/>
  <c r="D66" i="3"/>
  <c r="J27" i="3" l="1"/>
  <c r="E27" i="3"/>
  <c r="E53" i="3"/>
  <c r="E65" i="3" s="1"/>
  <c r="G55" i="3"/>
  <c r="G57" i="3"/>
  <c r="G69" i="3" s="1"/>
  <c r="J51" i="3"/>
  <c r="K63" i="3" s="1"/>
  <c r="E56" i="3"/>
  <c r="E68" i="3" s="1"/>
  <c r="G53" i="3"/>
  <c r="G65" i="3" s="1"/>
  <c r="J52" i="3"/>
  <c r="K64" i="3" s="1"/>
  <c r="E57" i="3"/>
  <c r="J57" i="3"/>
  <c r="K69" i="3" s="1"/>
  <c r="G51" i="3"/>
  <c r="G63" i="3" s="1"/>
  <c r="I65" i="3"/>
  <c r="G56" i="3"/>
  <c r="G68" i="3" s="1"/>
  <c r="G54" i="3"/>
  <c r="E39" i="3"/>
  <c r="I64" i="3"/>
  <c r="I63" i="3"/>
  <c r="E54" i="3"/>
  <c r="E66" i="3" s="1"/>
  <c r="J56" i="3"/>
  <c r="K68" i="3" s="1"/>
  <c r="G52" i="3"/>
  <c r="G64" i="3" s="1"/>
  <c r="E52" i="3"/>
  <c r="E64" i="3" s="1"/>
  <c r="I67" i="3"/>
  <c r="E63" i="3"/>
  <c r="E55" i="3"/>
  <c r="E67" i="3" s="1"/>
  <c r="J53" i="3"/>
  <c r="K65" i="3" s="1"/>
  <c r="J55" i="3"/>
  <c r="K67" i="3" s="1"/>
  <c r="J54" i="3"/>
  <c r="K66" i="3" s="1"/>
  <c r="D68" i="3"/>
  <c r="D67" i="3"/>
  <c r="I27" i="3"/>
  <c r="I39" i="3" s="1"/>
  <c r="H63" i="3" s="1"/>
  <c r="H36" i="7"/>
  <c r="C37" i="7" s="1"/>
  <c r="C52" i="7" s="1"/>
  <c r="G11" i="3" s="1"/>
  <c r="N11" i="3" s="1"/>
  <c r="J39" i="3"/>
  <c r="J63" i="3" s="1"/>
  <c r="G27" i="3"/>
  <c r="G39" i="3" s="1"/>
  <c r="F63" i="3" s="1"/>
  <c r="D65" i="3"/>
  <c r="G67" i="3" l="1"/>
  <c r="E69" i="3"/>
  <c r="G66" i="3"/>
  <c r="D78" i="3"/>
  <c r="F78" i="3" s="1"/>
  <c r="D63" i="3"/>
  <c r="E33" i="3" l="1"/>
  <c r="E45" i="3" s="1"/>
  <c r="I33" i="3"/>
  <c r="I45" i="3" s="1"/>
  <c r="H69" i="3" s="1"/>
  <c r="J33" i="3"/>
  <c r="J45" i="3" s="1"/>
  <c r="J69" i="3" s="1"/>
  <c r="G33" i="3"/>
  <c r="G45" i="3" s="1"/>
  <c r="F69" i="3" s="1"/>
  <c r="D69" i="3" l="1"/>
  <c r="I66" i="3" l="1"/>
  <c r="L62" i="7" l="1"/>
  <c r="S61" i="7"/>
  <c r="L61" i="7"/>
  <c r="S62" i="7"/>
  <c r="H61" i="7"/>
  <c r="X62" i="7"/>
  <c r="P61" i="7"/>
  <c r="P62" i="7"/>
  <c r="O62" i="7"/>
  <c r="Y61" i="7"/>
  <c r="Y62" i="7"/>
  <c r="AA61" i="7"/>
  <c r="AA62" i="7"/>
  <c r="T62" i="7"/>
  <c r="T61" i="7"/>
  <c r="I62" i="7"/>
  <c r="J61" i="7"/>
  <c r="J62" i="7"/>
  <c r="W62" i="7"/>
  <c r="H62" i="7"/>
  <c r="K61" i="7"/>
  <c r="K62" i="7"/>
  <c r="Q62" i="7"/>
  <c r="M62" i="7"/>
  <c r="M61" i="7"/>
  <c r="N61" i="7"/>
  <c r="N62" i="7"/>
  <c r="Z61" i="7"/>
  <c r="U62" i="7"/>
  <c r="U61" i="7"/>
  <c r="R62" i="7"/>
  <c r="R61" i="7"/>
  <c r="V61" i="7"/>
  <c r="Z62" i="7" l="1"/>
  <c r="O61" i="7"/>
  <c r="Q61" i="7"/>
  <c r="V62" i="7"/>
  <c r="C63" i="7" s="1"/>
  <c r="C76" i="7" s="1"/>
  <c r="W61" i="7"/>
  <c r="I61" i="7"/>
  <c r="X61" i="7"/>
  <c r="T85" i="7"/>
  <c r="T84" i="7"/>
  <c r="H84" i="7"/>
  <c r="X84" i="7"/>
  <c r="X85" i="7"/>
  <c r="AA85" i="7"/>
  <c r="W84" i="7"/>
  <c r="W85" i="7"/>
  <c r="R84" i="7"/>
  <c r="R85" i="7"/>
  <c r="J85" i="7"/>
  <c r="J84" i="7"/>
  <c r="K85" i="7"/>
  <c r="Q84" i="7"/>
  <c r="Q85" i="7"/>
  <c r="V85" i="7"/>
  <c r="Y85" i="7"/>
  <c r="Y84" i="7"/>
  <c r="O85" i="7"/>
  <c r="Z84" i="7"/>
  <c r="Z85" i="7"/>
  <c r="I84" i="7"/>
  <c r="I85" i="7"/>
  <c r="M84" i="7"/>
  <c r="M85" i="7"/>
  <c r="L84" i="7"/>
  <c r="U85" i="7"/>
  <c r="U84" i="7"/>
  <c r="N85" i="7"/>
  <c r="N84" i="7"/>
  <c r="S84" i="7"/>
  <c r="S85" i="7"/>
  <c r="P85" i="7"/>
  <c r="P84" i="7"/>
  <c r="H85" i="7"/>
  <c r="AA84" i="7" l="1"/>
  <c r="O84" i="7"/>
  <c r="L85" i="7"/>
  <c r="C86" i="7" s="1"/>
  <c r="C99" i="7" s="1"/>
  <c r="K84" i="7"/>
  <c r="V84" i="7"/>
</calcChain>
</file>

<file path=xl/comments1.xml><?xml version="1.0" encoding="utf-8"?>
<comments xmlns="http://schemas.openxmlformats.org/spreadsheetml/2006/main">
  <authors>
    <author>Andres Popayan</author>
  </authors>
  <commentList>
    <comment ref="O26" authorId="0" shapeId="0">
      <text>
        <r>
          <rPr>
            <b/>
            <sz val="9"/>
            <color rgb="FF000000"/>
            <rFont val="Tahoma"/>
            <family val="2"/>
          </rPr>
          <t>Andres Popayan: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resta consumo de las termicas Termocentro, Termosierra, Termodorada y Merielectrica</t>
        </r>
      </text>
    </comment>
    <comment ref="O29" authorId="0" shapeId="0">
      <text>
        <r>
          <rPr>
            <b/>
            <sz val="9"/>
            <color indexed="81"/>
            <rFont val="Tahoma"/>
            <family val="2"/>
          </rPr>
          <t>Andres Popayan:</t>
        </r>
        <r>
          <rPr>
            <sz val="9"/>
            <color indexed="81"/>
            <rFont val="Tahoma"/>
            <family val="2"/>
          </rPr>
          <t xml:space="preserve">
Se resta consumo de las térmicas valle y cali</t>
        </r>
      </text>
    </comment>
  </commentList>
</comments>
</file>

<file path=xl/comments2.xml><?xml version="1.0" encoding="utf-8"?>
<comments xmlns="http://schemas.openxmlformats.org/spreadsheetml/2006/main">
  <authors>
    <author>Esteban Gómez Correa</author>
    <author>Andres Popayan</author>
  </authors>
  <commentList>
    <comment ref="K15" authorId="0" shapeId="0">
      <text>
        <r>
          <rPr>
            <b/>
            <sz val="9"/>
            <color rgb="FF000000"/>
            <rFont val="Tahoma"/>
            <family val="2"/>
          </rPr>
          <t>Esteban Gómez Correa:</t>
        </r>
        <r>
          <rPr>
            <sz val="9"/>
            <color rgb="FF000000"/>
            <rFont val="Tahoma"/>
            <family val="2"/>
          </rPr>
          <t xml:space="preserve">
Pagado solo por 10% de suroeste representa la demanda aguas abajo ramal Jamundi.</t>
        </r>
      </text>
    </comment>
    <comment ref="M26" authorId="1" shapeId="0">
      <text>
        <r>
          <rPr>
            <b/>
            <sz val="9"/>
            <color indexed="81"/>
            <rFont val="Tahoma"/>
            <family val="2"/>
          </rPr>
          <t xml:space="preserve">Fuente: </t>
        </r>
        <r>
          <rPr>
            <sz val="9"/>
            <color indexed="81"/>
            <rFont val="Tahoma"/>
            <family val="2"/>
          </rPr>
          <t xml:space="preserve">UPME
</t>
        </r>
        <r>
          <rPr>
            <b/>
            <sz val="9"/>
            <color indexed="81"/>
            <rFont val="Tahoma"/>
            <family val="2"/>
          </rPr>
          <t xml:space="preserve">Cálculos: </t>
        </r>
        <r>
          <rPr>
            <sz val="9"/>
            <color indexed="81"/>
            <rFont val="Tahoma"/>
            <family val="2"/>
          </rPr>
          <t xml:space="preserve">UPME
</t>
        </r>
      </text>
    </comment>
  </commentList>
</comments>
</file>

<file path=xl/sharedStrings.xml><?xml version="1.0" encoding="utf-8"?>
<sst xmlns="http://schemas.openxmlformats.org/spreadsheetml/2006/main" count="891" uniqueCount="142">
  <si>
    <t>CQR</t>
  </si>
  <si>
    <t>Barranquilla</t>
  </si>
  <si>
    <t>Centro</t>
  </si>
  <si>
    <t>Costa Atlántica</t>
  </si>
  <si>
    <t>Costa Interior</t>
  </si>
  <si>
    <t>Magdalena Medio</t>
  </si>
  <si>
    <t>NorEste</t>
  </si>
  <si>
    <t>NorOeste</t>
  </si>
  <si>
    <t>SurOeste</t>
  </si>
  <si>
    <t>Tolima Grande</t>
  </si>
  <si>
    <t>Total GBTUD</t>
  </si>
  <si>
    <t>Total (GBTUD)</t>
  </si>
  <si>
    <t>Bogotá</t>
  </si>
  <si>
    <t>Manizales</t>
  </si>
  <si>
    <t>Valledupar</t>
  </si>
  <si>
    <t>CIB</t>
  </si>
  <si>
    <t>Bucaramanga</t>
  </si>
  <si>
    <t>Medellín</t>
  </si>
  <si>
    <t>Cali</t>
  </si>
  <si>
    <t>Ibagué</t>
  </si>
  <si>
    <t>Beneficiario</t>
  </si>
  <si>
    <t>Opex</t>
  </si>
  <si>
    <t>Capex</t>
  </si>
  <si>
    <t>Planta Regasificación</t>
  </si>
  <si>
    <t>CAPEX</t>
  </si>
  <si>
    <t>Opex USD</t>
  </si>
  <si>
    <t>VPN opex + CAPEX</t>
  </si>
  <si>
    <t>Suma</t>
  </si>
  <si>
    <t>Demanda</t>
  </si>
  <si>
    <t>VPN</t>
  </si>
  <si>
    <t>TOTAL</t>
  </si>
  <si>
    <t>Valor en UDS/MBTU</t>
  </si>
  <si>
    <t>NorOriente</t>
  </si>
  <si>
    <t>NorOccidente</t>
  </si>
  <si>
    <t>SurOccidente</t>
  </si>
  <si>
    <t>WACC</t>
  </si>
  <si>
    <t>MBTU/Año</t>
  </si>
  <si>
    <t>Año</t>
  </si>
  <si>
    <t>Mes</t>
  </si>
  <si>
    <t>Ciudad</t>
  </si>
  <si>
    <t>Planta Buenaventura</t>
  </si>
  <si>
    <t>Estampilla</t>
  </si>
  <si>
    <t xml:space="preserve">Ciudad </t>
  </si>
  <si>
    <t>Region</t>
  </si>
  <si>
    <t>Buenaventura</t>
  </si>
  <si>
    <t>Actual</t>
  </si>
  <si>
    <t>Con Estampilla Regional</t>
  </si>
  <si>
    <t>Cartagena</t>
  </si>
  <si>
    <t>Barranquilla/Cartagena</t>
  </si>
  <si>
    <t>Total USD/MBTU</t>
  </si>
  <si>
    <t>Todo el pais</t>
  </si>
  <si>
    <t>Total pais</t>
  </si>
  <si>
    <t>vpn</t>
  </si>
  <si>
    <t>GBTUD</t>
  </si>
  <si>
    <t>Estampilla Cartagena - Ballena (USD/MBTU)</t>
  </si>
  <si>
    <t>Propuesta</t>
  </si>
  <si>
    <t>Neiva</t>
  </si>
  <si>
    <t>Región</t>
  </si>
  <si>
    <t>Cusiana (USD/MBTU)</t>
  </si>
  <si>
    <t>Ballena (USD/MBTU)</t>
  </si>
  <si>
    <t>VIM (USD/MBTU)</t>
  </si>
  <si>
    <t>B/tura (USD/MBTU)</t>
  </si>
  <si>
    <t>Estampillas Regionales</t>
  </si>
  <si>
    <t>Estampilla Nacional</t>
  </si>
  <si>
    <t>Con Estampilla Nacional</t>
  </si>
  <si>
    <t>Ampliación Capacidad Transporte Ramal Jamundí</t>
  </si>
  <si>
    <t>Ampliación capacidad de transporte Mariquita Gualanday</t>
  </si>
  <si>
    <t>Nacional</t>
  </si>
  <si>
    <t>10 % Suroccidente</t>
  </si>
  <si>
    <t>Tiene termica estocástica</t>
  </si>
  <si>
    <t>Interior</t>
  </si>
  <si>
    <t>Costa</t>
  </si>
  <si>
    <t>Demanda Costa</t>
  </si>
  <si>
    <t xml:space="preserve">Demanda Nacional </t>
  </si>
  <si>
    <t>TOTAL Dem Costa</t>
  </si>
  <si>
    <t xml:space="preserve">Total Dem Nacional </t>
  </si>
  <si>
    <t>Estampilla Dem Costa</t>
  </si>
  <si>
    <t xml:space="preserve">Estampilla Nacional </t>
  </si>
  <si>
    <t>Demanda Interior</t>
  </si>
  <si>
    <t xml:space="preserve">Total Dem Interior </t>
  </si>
  <si>
    <t xml:space="preserve">Estampilla Dem Interior </t>
  </si>
  <si>
    <t>Estampilla Dem Nacional</t>
  </si>
  <si>
    <t>Dem Tolima Grande</t>
  </si>
  <si>
    <t>Demanda Naciona</t>
  </si>
  <si>
    <t>Estampilla Dem Tolima Grande</t>
  </si>
  <si>
    <t xml:space="preserve">Estampilla Dem Nacional </t>
  </si>
  <si>
    <t xml:space="preserve">Dem Total </t>
  </si>
  <si>
    <t>Confiabilidad</t>
  </si>
  <si>
    <t>Abastecimiento</t>
  </si>
  <si>
    <t>Estampilla Planta Abastecimiento (USD/MBTU)</t>
  </si>
  <si>
    <t>Estampilla Planta Confiabilidad (USD/MBTU)</t>
  </si>
  <si>
    <t>Comparativo Estampillas</t>
  </si>
  <si>
    <t>Resto Demanda</t>
  </si>
  <si>
    <t>Sin termicos Abastecimiento</t>
  </si>
  <si>
    <t>Sin termicos Confiabilidad</t>
  </si>
  <si>
    <t>Ballena - Barranca</t>
  </si>
  <si>
    <t>Con Térmicos sin asumir porcentaje de estampilla por respaldo</t>
  </si>
  <si>
    <t>Con Térmicos asumiendo porcentaje de estampilla por respaldo</t>
  </si>
  <si>
    <t>Demanda Centro</t>
  </si>
  <si>
    <t>Demanda Costa Atlántica</t>
  </si>
  <si>
    <t>Demanda Costa Interior</t>
  </si>
  <si>
    <t>Demanda CQR</t>
  </si>
  <si>
    <t>Demanda Magdalena Medio</t>
  </si>
  <si>
    <t>Demanda NorEste</t>
  </si>
  <si>
    <t>Demanda NorOeste</t>
  </si>
  <si>
    <t>Demanda SurOeste</t>
  </si>
  <si>
    <t>Demanda Tolima Grande</t>
  </si>
  <si>
    <t>Demanda Nacional</t>
  </si>
  <si>
    <t>Demanda Costa Caribe</t>
  </si>
  <si>
    <t>Transporte actual</t>
  </si>
  <si>
    <t>Barranquilla/
Cartagena</t>
  </si>
  <si>
    <t>Magdalena Medio (sintermicos)</t>
  </si>
  <si>
    <t>SurOeste(sintermicos)</t>
  </si>
  <si>
    <t>Porcentaje que pagan termicos</t>
  </si>
  <si>
    <t>Magdalena medio</t>
  </si>
  <si>
    <t>Factor de utilización por Confiabilidad</t>
  </si>
  <si>
    <t>Factor de Utilización por Abastecimiento</t>
  </si>
  <si>
    <t>Partipación de los Térmicos del Interior</t>
  </si>
  <si>
    <t>Beneficio por Confiabilidad Infraestructura de Importación y obras asociadas</t>
  </si>
  <si>
    <t>Beneficio por Abastecimiento Infraestructura de Importación y obras asociadas</t>
  </si>
  <si>
    <t>Estampilla Infraestructura de Importación y obras asociadas Confiabilidad (USD/MBTU)</t>
  </si>
  <si>
    <t>Estampilla Infraestructura de Importación y obras asociadas Abastecimiento (USD/MBTU)</t>
  </si>
  <si>
    <t>Análisis remuneración Grupo Térmico</t>
  </si>
  <si>
    <t>Infraestructura de Importación y obras asociadas</t>
  </si>
  <si>
    <t>Inversión</t>
  </si>
  <si>
    <t>Inversion</t>
  </si>
  <si>
    <t>FPO</t>
  </si>
  <si>
    <t>Inteconexión Costa - Interior</t>
  </si>
  <si>
    <t>Costa Caribe</t>
  </si>
  <si>
    <t>Cartagena - Ballena</t>
  </si>
  <si>
    <t>Transporte Jamundi</t>
  </si>
  <si>
    <t>Demanda Ramal Jamundí</t>
  </si>
  <si>
    <t>Transporte Mariquita - Gualanday</t>
  </si>
  <si>
    <t>Consumos Max Grupo térmico interior GBTUD</t>
  </si>
  <si>
    <t>Transporte USD/Mbtu</t>
  </si>
  <si>
    <t>Cali - Mariquita</t>
  </si>
  <si>
    <t>Mariquita - Neiva</t>
  </si>
  <si>
    <t>Cali - Manizales</t>
  </si>
  <si>
    <t>Interconexión Costa - Interior</t>
  </si>
  <si>
    <t>Estampilla Ballena -Barranca (USD/MBTU)</t>
  </si>
  <si>
    <t xml:space="preserve">Impacto tarifario Estampillas Obras propuestas en el Estudio Técnico para el Plan de Abastecimiento de Gas Natural </t>
  </si>
  <si>
    <t>Demanda para estampilla térmicos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</si>
</sst>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&quot;$&quot;#,##0.00;[Red]\-&quot;$&quot;#,##0.00"/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  <numFmt numFmtId="166" formatCode="_-* #,##0.000000_-;\-* #,##0.000000_-;_-* &quot;-&quot;??_-;_-@_-"/>
    <numFmt numFmtId="167" formatCode="0.0000"/>
    <numFmt numFmtId="168" formatCode="0.000"/>
    <numFmt numFmtId="169" formatCode="0.000%"/>
    <numFmt numFmtId="170" formatCode="_-* #,##0.00000_-;\-* #,##0.00000_-;_-* &quot;-&quot;??_-;_-@_-"/>
    <numFmt numFmtId="171" formatCode="_-* #,##0.0_-;\-* #,##0.0_-;_-* &quot;-&quot;_-;_-@_-"/>
    <numFmt numFmtId="172" formatCode="_-* #,##0.000_-;\-* #,##0.000_-;_-* &quot;-&quot;_-;_-@_-"/>
    <numFmt numFmtId="173" formatCode="#,##0.0000"/>
    <numFmt numFmtId="174" formatCode="_-* #,##0.0000000_-;\-* #,##0.0000000_-;_-* &quot;-&quot;??_-;_-@_-"/>
    <numFmt numFmtId="175" formatCode="_-* #,##0.000_-;\-* #,##0.000_-;_-* &quot;-&quot;???_-;_-@_-"/>
    <numFmt numFmtId="17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5">
    <xf numFmtId="0" fontId="0" fillId="0" borderId="0" xfId="0"/>
    <xf numFmtId="17" fontId="0" fillId="0" borderId="0" xfId="0" applyNumberFormat="1"/>
    <xf numFmtId="9" fontId="0" fillId="0" borderId="0" xfId="0" applyNumberFormat="1"/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43" fontId="5" fillId="3" borderId="0" xfId="1" applyFont="1" applyFill="1"/>
    <xf numFmtId="0" fontId="6" fillId="2" borderId="0" xfId="0" applyFont="1" applyFill="1"/>
    <xf numFmtId="0" fontId="2" fillId="4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164" fontId="0" fillId="5" borderId="0" xfId="1" applyNumberFormat="1" applyFont="1" applyFill="1"/>
    <xf numFmtId="8" fontId="0" fillId="0" borderId="0" xfId="0" applyNumberFormat="1"/>
    <xf numFmtId="166" fontId="5" fillId="3" borderId="0" xfId="1" applyNumberFormat="1" applyFont="1" applyFill="1"/>
    <xf numFmtId="0" fontId="0" fillId="6" borderId="0" xfId="0" applyFill="1"/>
    <xf numFmtId="43" fontId="0" fillId="6" borderId="0" xfId="1" applyFont="1" applyFill="1"/>
    <xf numFmtId="43" fontId="0" fillId="0" borderId="0" xfId="1" applyFont="1" applyFill="1"/>
    <xf numFmtId="167" fontId="0" fillId="6" borderId="0" xfId="0" applyNumberForma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2" fillId="5" borderId="0" xfId="0" applyFont="1" applyFill="1"/>
    <xf numFmtId="168" fontId="0" fillId="0" borderId="0" xfId="0" applyNumberFormat="1"/>
    <xf numFmtId="0" fontId="2" fillId="0" borderId="0" xfId="0" applyFont="1" applyFill="1"/>
    <xf numFmtId="167" fontId="0" fillId="0" borderId="0" xfId="0" applyNumberFormat="1" applyFill="1"/>
    <xf numFmtId="0" fontId="0" fillId="0" borderId="0" xfId="0" applyBorder="1"/>
    <xf numFmtId="43" fontId="0" fillId="0" borderId="0" xfId="0" applyNumberFormat="1"/>
    <xf numFmtId="165" fontId="0" fillId="0" borderId="0" xfId="1" applyNumberFormat="1" applyFont="1"/>
    <xf numFmtId="41" fontId="0" fillId="0" borderId="0" xfId="0" applyNumberFormat="1"/>
    <xf numFmtId="0" fontId="3" fillId="8" borderId="0" xfId="0" applyFont="1" applyFill="1" applyAlignment="1">
      <alignment wrapText="1"/>
    </xf>
    <xf numFmtId="10" fontId="3" fillId="8" borderId="0" xfId="2" applyNumberFormat="1" applyFont="1" applyFill="1" applyAlignment="1">
      <alignment horizontal="center" wrapText="1"/>
    </xf>
    <xf numFmtId="172" fontId="0" fillId="0" borderId="0" xfId="3" applyNumberFormat="1" applyFont="1" applyAlignment="1">
      <alignment horizontal="center"/>
    </xf>
    <xf numFmtId="10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 applyBorder="1" applyAlignment="1">
      <alignment horizontal="center" vertical="center" wrapText="1"/>
    </xf>
    <xf numFmtId="168" fontId="7" fillId="0" borderId="0" xfId="0" applyNumberFormat="1" applyFont="1" applyFill="1" applyBorder="1" applyAlignment="1">
      <alignment horizontal="center" vertical="center" wrapText="1"/>
    </xf>
    <xf numFmtId="41" fontId="7" fillId="0" borderId="0" xfId="3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71" fontId="7" fillId="0" borderId="0" xfId="3" applyNumberFormat="1" applyFont="1" applyBorder="1" applyAlignment="1">
      <alignment horizontal="center" vertical="center" wrapText="1"/>
    </xf>
    <xf numFmtId="41" fontId="7" fillId="0" borderId="0" xfId="3" applyFont="1" applyBorder="1" applyAlignment="1">
      <alignment horizontal="center" vertical="center" wrapText="1"/>
    </xf>
    <xf numFmtId="165" fontId="0" fillId="0" borderId="0" xfId="1" applyNumberFormat="1" applyFont="1" applyBorder="1"/>
    <xf numFmtId="168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168" fontId="0" fillId="8" borderId="1" xfId="0" applyNumberForma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/>
    </xf>
    <xf numFmtId="168" fontId="0" fillId="3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8" fontId="0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68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9" fontId="0" fillId="0" borderId="1" xfId="0" applyNumberFormat="1" applyFont="1" applyBorder="1" applyAlignment="1">
      <alignment horizontal="center" vertical="center" wrapText="1"/>
    </xf>
    <xf numFmtId="168" fontId="0" fillId="13" borderId="1" xfId="2" applyNumberFormat="1" applyFont="1" applyFill="1" applyBorder="1" applyAlignment="1">
      <alignment horizontal="center" vertical="center" wrapText="1"/>
    </xf>
    <xf numFmtId="168" fontId="0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69" fontId="0" fillId="0" borderId="1" xfId="0" applyNumberFormat="1" applyFont="1" applyFill="1" applyBorder="1" applyAlignment="1">
      <alignment horizontal="center" vertical="center" wrapText="1"/>
    </xf>
    <xf numFmtId="168" fontId="0" fillId="0" borderId="1" xfId="2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73" fontId="0" fillId="6" borderId="0" xfId="0" applyNumberFormat="1" applyFill="1"/>
    <xf numFmtId="167" fontId="0" fillId="0" borderId="0" xfId="0" applyNumberFormat="1"/>
    <xf numFmtId="8" fontId="0" fillId="0" borderId="0" xfId="1" applyNumberFormat="1" applyFont="1"/>
    <xf numFmtId="10" fontId="2" fillId="0" borderId="0" xfId="0" applyNumberFormat="1" applyFont="1" applyAlignment="1">
      <alignment horizontal="center"/>
    </xf>
    <xf numFmtId="0" fontId="2" fillId="12" borderId="1" xfId="0" applyFont="1" applyFill="1" applyBorder="1" applyAlignment="1">
      <alignment horizontal="center" vertical="center" wrapText="1"/>
    </xf>
    <xf numFmtId="0" fontId="5" fillId="0" borderId="0" xfId="0" applyFont="1"/>
    <xf numFmtId="43" fontId="0" fillId="0" borderId="0" xfId="1" applyNumberFormat="1" applyFont="1"/>
    <xf numFmtId="164" fontId="5" fillId="3" borderId="0" xfId="1" applyNumberFormat="1" applyFont="1" applyFill="1"/>
    <xf numFmtId="170" fontId="5" fillId="3" borderId="0" xfId="1" applyNumberFormat="1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68" fontId="0" fillId="0" borderId="0" xfId="2" applyNumberFormat="1" applyFont="1" applyFill="1" applyBorder="1" applyAlignment="1">
      <alignment horizontal="center" vertical="center" wrapText="1"/>
    </xf>
    <xf numFmtId="174" fontId="5" fillId="3" borderId="0" xfId="1" applyNumberFormat="1" applyFont="1" applyFill="1"/>
    <xf numFmtId="0" fontId="5" fillId="0" borderId="0" xfId="0" applyFont="1" applyBorder="1"/>
    <xf numFmtId="0" fontId="13" fillId="0" borderId="0" xfId="0" applyFont="1"/>
    <xf numFmtId="0" fontId="5" fillId="0" borderId="0" xfId="0" applyFont="1" applyBorder="1" applyAlignment="1">
      <alignment horizontal="left" vertical="center"/>
    </xf>
    <xf numFmtId="43" fontId="0" fillId="13" borderId="0" xfId="1" applyFont="1" applyFill="1"/>
    <xf numFmtId="170" fontId="0" fillId="0" borderId="0" xfId="1" applyNumberFormat="1" applyFont="1" applyFill="1"/>
    <xf numFmtId="175" fontId="0" fillId="0" borderId="0" xfId="0" applyNumberFormat="1"/>
    <xf numFmtId="176" fontId="0" fillId="6" borderId="0" xfId="0" applyNumberFormat="1" applyFill="1"/>
    <xf numFmtId="10" fontId="0" fillId="0" borderId="0" xfId="2" applyNumberFormat="1" applyFont="1"/>
    <xf numFmtId="168" fontId="0" fillId="3" borderId="1" xfId="0" applyNumberFormat="1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168" fontId="0" fillId="3" borderId="1" xfId="2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0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7" fillId="13" borderId="0" xfId="0" applyFont="1" applyFill="1" applyAlignment="1">
      <alignment horizontal="center" vertical="center"/>
    </xf>
    <xf numFmtId="41" fontId="7" fillId="13" borderId="0" xfId="3" applyNumberFormat="1" applyFont="1" applyFill="1" applyAlignment="1">
      <alignment horizontal="center" vertical="center"/>
    </xf>
    <xf numFmtId="0" fontId="0" fillId="13" borderId="0" xfId="0" applyFill="1"/>
    <xf numFmtId="0" fontId="4" fillId="13" borderId="0" xfId="0" applyFont="1" applyFill="1"/>
    <xf numFmtId="0" fontId="0" fillId="6" borderId="0" xfId="0" applyFill="1" applyAlignment="1">
      <alignment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 vertical="center"/>
    </xf>
    <xf numFmtId="0" fontId="0" fillId="13" borderId="0" xfId="0" applyFill="1" applyAlignment="1">
      <alignment vertical="center"/>
    </xf>
    <xf numFmtId="0" fontId="6" fillId="13" borderId="0" xfId="0" applyFont="1" applyFill="1"/>
    <xf numFmtId="0" fontId="2" fillId="0" borderId="0" xfId="0" applyFont="1" applyAlignment="1">
      <alignment horizontal="right"/>
    </xf>
    <xf numFmtId="1" fontId="0" fillId="6" borderId="0" xfId="0" applyNumberFormat="1" applyFill="1" applyAlignment="1">
      <alignment horizontal="center"/>
    </xf>
    <xf numFmtId="2" fontId="0" fillId="6" borderId="0" xfId="0" applyNumberFormat="1" applyFill="1"/>
    <xf numFmtId="0" fontId="15" fillId="0" borderId="0" xfId="0" applyFont="1" applyBorder="1"/>
    <xf numFmtId="0" fontId="15" fillId="0" borderId="0" xfId="0" applyFont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8" fontId="0" fillId="3" borderId="1" xfId="0" applyNumberFormat="1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84"/>
  <sheetViews>
    <sheetView showGridLines="0" zoomScaleNormal="100" workbookViewId="0">
      <pane xSplit="3" ySplit="3" topLeftCell="J4" activePane="bottomRight" state="frozen"/>
      <selection pane="topRight" activeCell="C1" sqref="C1"/>
      <selection pane="bottomLeft" activeCell="A3" sqref="A3"/>
      <selection pane="bottomRight" activeCell="P33" sqref="P33"/>
    </sheetView>
  </sheetViews>
  <sheetFormatPr baseColWidth="10" defaultRowHeight="15" x14ac:dyDescent="0.25"/>
  <cols>
    <col min="1" max="1" width="7" customWidth="1"/>
    <col min="2" max="2" width="7.42578125" bestFit="1" customWidth="1"/>
    <col min="3" max="3" width="15.7109375" customWidth="1"/>
    <col min="4" max="4" width="12.42578125" customWidth="1"/>
    <col min="5" max="5" width="14" customWidth="1"/>
    <col min="6" max="6" width="13" bestFit="1" customWidth="1"/>
    <col min="7" max="7" width="11.42578125" customWidth="1"/>
    <col min="8" max="8" width="17" bestFit="1" customWidth="1"/>
    <col min="9" max="9" width="11.140625" customWidth="1"/>
    <col min="10" max="10" width="13.28515625" customWidth="1"/>
    <col min="11" max="11" width="13" customWidth="1"/>
    <col min="12" max="12" width="16.140625" customWidth="1"/>
    <col min="13" max="13" width="12.7109375" customWidth="1"/>
    <col min="15" max="16" width="19" customWidth="1"/>
    <col min="17" max="17" width="16.28515625" bestFit="1" customWidth="1"/>
    <col min="18" max="18" width="19.5703125" customWidth="1"/>
    <col min="19" max="42" width="16.28515625" bestFit="1" customWidth="1"/>
    <col min="43" max="43" width="15.140625" bestFit="1" customWidth="1"/>
  </cols>
  <sheetData>
    <row r="1" spans="1:42" ht="30.75" customHeight="1" x14ac:dyDescent="0.25">
      <c r="C1" s="36" t="s">
        <v>55</v>
      </c>
      <c r="D1" s="37">
        <v>0.34</v>
      </c>
      <c r="E1" s="37">
        <v>0.32</v>
      </c>
      <c r="F1" s="37">
        <v>0.04</v>
      </c>
      <c r="G1" s="37">
        <v>2.5000000000000001E-2</v>
      </c>
      <c r="H1" s="37">
        <v>0.12</v>
      </c>
      <c r="I1" s="37">
        <v>0.01</v>
      </c>
      <c r="J1" s="37">
        <v>0.05</v>
      </c>
      <c r="K1" s="37">
        <v>0.08</v>
      </c>
      <c r="L1" s="37">
        <v>1.4999999999999999E-2</v>
      </c>
      <c r="M1" s="39">
        <f>+SUM(D1:L1)</f>
        <v>1</v>
      </c>
    </row>
    <row r="2" spans="1:42" x14ac:dyDescent="0.25">
      <c r="C2" t="s">
        <v>69</v>
      </c>
      <c r="D2" s="3" t="s">
        <v>12</v>
      </c>
      <c r="E2" s="3" t="s">
        <v>1</v>
      </c>
      <c r="F2" s="3" t="s">
        <v>14</v>
      </c>
      <c r="G2" s="4" t="s">
        <v>13</v>
      </c>
      <c r="H2" s="3" t="s">
        <v>15</v>
      </c>
      <c r="I2" s="3" t="s">
        <v>16</v>
      </c>
      <c r="J2" s="3" t="s">
        <v>17</v>
      </c>
      <c r="K2" s="3" t="s">
        <v>18</v>
      </c>
      <c r="L2" s="3" t="s">
        <v>19</v>
      </c>
    </row>
    <row r="3" spans="1:42" ht="30" x14ac:dyDescent="0.25">
      <c r="A3" s="10" t="s">
        <v>37</v>
      </c>
      <c r="B3" s="10" t="s">
        <v>38</v>
      </c>
      <c r="C3" s="14" t="s">
        <v>10</v>
      </c>
      <c r="D3" s="17" t="s">
        <v>2</v>
      </c>
      <c r="E3" s="17" t="s">
        <v>3</v>
      </c>
      <c r="F3" s="17" t="s">
        <v>4</v>
      </c>
      <c r="G3" s="17" t="s">
        <v>0</v>
      </c>
      <c r="H3" s="17" t="s">
        <v>5</v>
      </c>
      <c r="I3" s="17" t="s">
        <v>6</v>
      </c>
      <c r="J3" s="17" t="s">
        <v>7</v>
      </c>
      <c r="K3" s="17" t="s">
        <v>8</v>
      </c>
      <c r="L3" s="17" t="s">
        <v>9</v>
      </c>
      <c r="M3" s="17" t="s">
        <v>11</v>
      </c>
      <c r="O3" s="17" t="s">
        <v>36</v>
      </c>
      <c r="P3" s="17" t="s">
        <v>39</v>
      </c>
      <c r="Q3" s="16">
        <v>2019</v>
      </c>
      <c r="R3" s="16">
        <v>2020</v>
      </c>
      <c r="S3" s="16">
        <v>2021</v>
      </c>
      <c r="T3" s="16">
        <v>2022</v>
      </c>
      <c r="U3" s="16">
        <v>2023</v>
      </c>
      <c r="V3" s="16">
        <v>2024</v>
      </c>
      <c r="W3" s="16">
        <v>2025</v>
      </c>
      <c r="X3" s="16">
        <v>2026</v>
      </c>
      <c r="Y3" s="16">
        <v>2027</v>
      </c>
      <c r="Z3" s="16">
        <v>2028</v>
      </c>
      <c r="AA3" s="16">
        <v>2029</v>
      </c>
      <c r="AB3" s="16">
        <v>2030</v>
      </c>
      <c r="AC3" s="16">
        <v>2031</v>
      </c>
      <c r="AD3" s="16">
        <v>2032</v>
      </c>
      <c r="AE3" s="16">
        <v>2033</v>
      </c>
      <c r="AF3" s="16">
        <v>2034</v>
      </c>
      <c r="AG3" s="16">
        <v>2035</v>
      </c>
      <c r="AH3" s="16">
        <v>2036</v>
      </c>
      <c r="AI3" s="16">
        <v>2037</v>
      </c>
      <c r="AJ3" s="16">
        <v>2038</v>
      </c>
      <c r="AK3" s="16">
        <v>2039</v>
      </c>
      <c r="AL3" s="16">
        <v>2040</v>
      </c>
      <c r="AM3" s="16">
        <v>2041</v>
      </c>
      <c r="AN3" s="16">
        <v>2042</v>
      </c>
      <c r="AO3" s="16">
        <v>2043</v>
      </c>
      <c r="AP3" s="16">
        <v>2044</v>
      </c>
    </row>
    <row r="4" spans="1:42" x14ac:dyDescent="0.25">
      <c r="A4">
        <f>+YEAR(B4)</f>
        <v>2019</v>
      </c>
      <c r="B4" s="1">
        <v>43466</v>
      </c>
      <c r="C4" s="6">
        <v>991.43529387400008</v>
      </c>
      <c r="D4" s="38">
        <f>+$C4*D$1</f>
        <v>337.08799991716006</v>
      </c>
      <c r="E4" s="38">
        <f>+$C4*E$1</f>
        <v>317.25929403968001</v>
      </c>
      <c r="F4" s="38">
        <f>+$C4*F$1</f>
        <v>39.657411754960002</v>
      </c>
      <c r="G4" s="38">
        <f>+$C4*G$1</f>
        <v>24.785882346850002</v>
      </c>
      <c r="H4" s="38">
        <f t="shared" ref="H4:L19" si="0">+$C4*H$1</f>
        <v>118.97223526488</v>
      </c>
      <c r="I4" s="38">
        <f t="shared" si="0"/>
        <v>9.9143529387400005</v>
      </c>
      <c r="J4" s="38">
        <f t="shared" si="0"/>
        <v>49.571764693700004</v>
      </c>
      <c r="K4" s="38">
        <f t="shared" si="0"/>
        <v>79.314823509920004</v>
      </c>
      <c r="L4" s="38">
        <f t="shared" si="0"/>
        <v>14.87152940811</v>
      </c>
      <c r="M4" s="38">
        <f>+SUM(D4:L4)</f>
        <v>991.43529387399997</v>
      </c>
      <c r="O4" s="18" t="s">
        <v>2</v>
      </c>
      <c r="P4" s="3" t="s">
        <v>12</v>
      </c>
      <c r="Q4" s="6">
        <f>+AVERAGEIFS($D$4:$D$183,$A$4:$A$183,Q$3)*365*1000</f>
        <v>117428665.59617944</v>
      </c>
      <c r="R4" s="6">
        <f t="shared" ref="R4:AE4" si="1">+AVERAGEIFS($D$4:$D$183,$A$4:$A$183,R$3)*365*1000</f>
        <v>121327407.06407624</v>
      </c>
      <c r="S4" s="6">
        <f t="shared" si="1"/>
        <v>144115318.54827371</v>
      </c>
      <c r="T4" s="6">
        <f t="shared" si="1"/>
        <v>143009458.44340685</v>
      </c>
      <c r="U4" s="6">
        <f t="shared" si="1"/>
        <v>127516556.95612541</v>
      </c>
      <c r="V4" s="6">
        <f t="shared" si="1"/>
        <v>141464328.15402311</v>
      </c>
      <c r="W4" s="6">
        <f t="shared" si="1"/>
        <v>146540779.51167634</v>
      </c>
      <c r="X4" s="6">
        <f t="shared" si="1"/>
        <v>151271760.91059208</v>
      </c>
      <c r="Y4" s="6">
        <f t="shared" si="1"/>
        <v>160471178.53703284</v>
      </c>
      <c r="Z4" s="6">
        <f t="shared" si="1"/>
        <v>163042061.35426506</v>
      </c>
      <c r="AA4" s="6">
        <f t="shared" si="1"/>
        <v>162537199.88629726</v>
      </c>
      <c r="AB4" s="6">
        <f t="shared" si="1"/>
        <v>175109299.042229</v>
      </c>
      <c r="AC4" s="6">
        <f t="shared" si="1"/>
        <v>175118329.9539856</v>
      </c>
      <c r="AD4" s="6">
        <f t="shared" si="1"/>
        <v>172360425.66469723</v>
      </c>
      <c r="AE4" s="6">
        <f t="shared" si="1"/>
        <v>179314459.09923404</v>
      </c>
      <c r="AF4" s="19">
        <f>+AE4</f>
        <v>179314459.09923404</v>
      </c>
      <c r="AG4" s="19">
        <f t="shared" ref="AG4:AP4" si="2">+AF4</f>
        <v>179314459.09923404</v>
      </c>
      <c r="AH4" s="19">
        <f t="shared" si="2"/>
        <v>179314459.09923404</v>
      </c>
      <c r="AI4" s="19">
        <f t="shared" si="2"/>
        <v>179314459.09923404</v>
      </c>
      <c r="AJ4" s="19">
        <f t="shared" si="2"/>
        <v>179314459.09923404</v>
      </c>
      <c r="AK4" s="19">
        <f t="shared" si="2"/>
        <v>179314459.09923404</v>
      </c>
      <c r="AL4" s="19">
        <f t="shared" si="2"/>
        <v>179314459.09923404</v>
      </c>
      <c r="AM4" s="19">
        <f t="shared" si="2"/>
        <v>179314459.09923404</v>
      </c>
      <c r="AN4" s="19">
        <f t="shared" si="2"/>
        <v>179314459.09923404</v>
      </c>
      <c r="AO4" s="19">
        <f t="shared" si="2"/>
        <v>179314459.09923404</v>
      </c>
      <c r="AP4" s="19">
        <f t="shared" si="2"/>
        <v>179314459.09923404</v>
      </c>
    </row>
    <row r="5" spans="1:42" x14ac:dyDescent="0.25">
      <c r="A5">
        <f t="shared" ref="A5:A68" si="3">+YEAR(B5)</f>
        <v>2019</v>
      </c>
      <c r="B5" s="1">
        <v>43497</v>
      </c>
      <c r="C5" s="6">
        <v>986.25305823300016</v>
      </c>
      <c r="D5" s="38">
        <f t="shared" ref="D5:L36" si="4">+$C5*D$1</f>
        <v>335.3260397992201</v>
      </c>
      <c r="E5" s="38">
        <f t="shared" si="4"/>
        <v>315.60097863456008</v>
      </c>
      <c r="F5" s="38">
        <f t="shared" si="4"/>
        <v>39.45012232932001</v>
      </c>
      <c r="G5" s="38">
        <f t="shared" si="4"/>
        <v>24.656326455825006</v>
      </c>
      <c r="H5" s="38">
        <f t="shared" si="0"/>
        <v>118.35036698796002</v>
      </c>
      <c r="I5" s="38">
        <f t="shared" si="0"/>
        <v>9.8625305823300025</v>
      </c>
      <c r="J5" s="38">
        <f t="shared" si="0"/>
        <v>49.312652911650012</v>
      </c>
      <c r="K5" s="38">
        <f t="shared" si="0"/>
        <v>78.90024465864002</v>
      </c>
      <c r="L5" s="38">
        <f t="shared" si="0"/>
        <v>14.793795873495002</v>
      </c>
      <c r="M5" s="38">
        <f t="shared" ref="M5:M68" si="5">+SUM(D5:L5)</f>
        <v>986.25305823300039</v>
      </c>
      <c r="O5" s="18" t="s">
        <v>3</v>
      </c>
      <c r="P5" s="3" t="s">
        <v>1</v>
      </c>
      <c r="Q5" s="6">
        <f>+AVERAGEIFS($E$4:$E$183,$A$4:$A$183,Q$3)*365*1000</f>
        <v>110521097.0316983</v>
      </c>
      <c r="R5" s="6">
        <f t="shared" ref="R5:AE5" si="6">+AVERAGEIFS($E$4:$E$183,$A$4:$A$183,R$3)*365*1000</f>
        <v>114190500.76618938</v>
      </c>
      <c r="S5" s="6">
        <f t="shared" si="6"/>
        <v>135637946.86896342</v>
      </c>
      <c r="T5" s="6">
        <f t="shared" si="6"/>
        <v>134597137.35850054</v>
      </c>
      <c r="U5" s="6">
        <f t="shared" si="6"/>
        <v>120015583.01752979</v>
      </c>
      <c r="V5" s="6">
        <f t="shared" si="6"/>
        <v>133142897.0861394</v>
      </c>
      <c r="W5" s="6">
        <f t="shared" si="6"/>
        <v>137920733.65804839</v>
      </c>
      <c r="X5" s="6">
        <f t="shared" si="6"/>
        <v>142373422.03349841</v>
      </c>
      <c r="Y5" s="6">
        <f t="shared" si="6"/>
        <v>151031697.44661915</v>
      </c>
      <c r="Z5" s="6">
        <f t="shared" si="6"/>
        <v>153451351.8628377</v>
      </c>
      <c r="AA5" s="6">
        <f t="shared" si="6"/>
        <v>152976188.12827978</v>
      </c>
      <c r="AB5" s="6">
        <f t="shared" si="6"/>
        <v>164808752.03974497</v>
      </c>
      <c r="AC5" s="6">
        <f t="shared" si="6"/>
        <v>164817251.7213982</v>
      </c>
      <c r="AD5" s="6">
        <f t="shared" si="6"/>
        <v>162221577.09618559</v>
      </c>
      <c r="AE5" s="6">
        <f t="shared" si="6"/>
        <v>168766549.74045557</v>
      </c>
      <c r="AF5" s="19">
        <f t="shared" ref="AF5:AP12" si="7">+AE5</f>
        <v>168766549.74045557</v>
      </c>
      <c r="AG5" s="19">
        <f t="shared" si="7"/>
        <v>168766549.74045557</v>
      </c>
      <c r="AH5" s="19">
        <f t="shared" si="7"/>
        <v>168766549.74045557</v>
      </c>
      <c r="AI5" s="19">
        <f t="shared" si="7"/>
        <v>168766549.74045557</v>
      </c>
      <c r="AJ5" s="19">
        <f t="shared" si="7"/>
        <v>168766549.74045557</v>
      </c>
      <c r="AK5" s="19">
        <f t="shared" si="7"/>
        <v>168766549.74045557</v>
      </c>
      <c r="AL5" s="19">
        <f t="shared" si="7"/>
        <v>168766549.74045557</v>
      </c>
      <c r="AM5" s="19">
        <f t="shared" si="7"/>
        <v>168766549.74045557</v>
      </c>
      <c r="AN5" s="19">
        <f t="shared" si="7"/>
        <v>168766549.74045557</v>
      </c>
      <c r="AO5" s="19">
        <f t="shared" si="7"/>
        <v>168766549.74045557</v>
      </c>
      <c r="AP5" s="19">
        <f t="shared" si="7"/>
        <v>168766549.74045557</v>
      </c>
    </row>
    <row r="6" spans="1:42" x14ac:dyDescent="0.25">
      <c r="A6">
        <f t="shared" si="3"/>
        <v>2019</v>
      </c>
      <c r="B6" s="1">
        <v>43525</v>
      </c>
      <c r="C6" s="6">
        <v>924.71079909299999</v>
      </c>
      <c r="D6" s="38">
        <f t="shared" si="4"/>
        <v>314.40167169162004</v>
      </c>
      <c r="E6" s="38">
        <f t="shared" si="4"/>
        <v>295.90745570976003</v>
      </c>
      <c r="F6" s="38">
        <f t="shared" si="4"/>
        <v>36.988431963720004</v>
      </c>
      <c r="G6" s="38">
        <f t="shared" si="4"/>
        <v>23.117769977325</v>
      </c>
      <c r="H6" s="38">
        <f t="shared" si="0"/>
        <v>110.96529589116</v>
      </c>
      <c r="I6" s="38">
        <f t="shared" si="0"/>
        <v>9.2471079909300009</v>
      </c>
      <c r="J6" s="38">
        <f t="shared" si="0"/>
        <v>46.235539954650001</v>
      </c>
      <c r="K6" s="38">
        <f t="shared" si="0"/>
        <v>73.976863927440007</v>
      </c>
      <c r="L6" s="38">
        <f t="shared" si="0"/>
        <v>13.870661986395</v>
      </c>
      <c r="M6" s="38">
        <f t="shared" si="5"/>
        <v>924.71079909300011</v>
      </c>
      <c r="O6" s="18" t="s">
        <v>4</v>
      </c>
      <c r="P6" s="3" t="s">
        <v>14</v>
      </c>
      <c r="Q6" s="6">
        <f>+AVERAGEIFS($F$4:$F$183,$A$4:$A$183,Q$3)*365*1000</f>
        <v>13815137.128962288</v>
      </c>
      <c r="R6" s="6">
        <f t="shared" ref="R6:AE6" si="8">+AVERAGEIFS($F$4:$F$183,$A$4:$A$183,R$3)*365*1000</f>
        <v>14273812.595773673</v>
      </c>
      <c r="S6" s="6">
        <f t="shared" si="8"/>
        <v>16954743.358620428</v>
      </c>
      <c r="T6" s="6">
        <f t="shared" si="8"/>
        <v>16824642.169812568</v>
      </c>
      <c r="U6" s="6">
        <f t="shared" si="8"/>
        <v>15001947.877191223</v>
      </c>
      <c r="V6" s="6">
        <f t="shared" si="8"/>
        <v>16642862.135767424</v>
      </c>
      <c r="W6" s="6">
        <f t="shared" si="8"/>
        <v>17240091.707256049</v>
      </c>
      <c r="X6" s="6">
        <f t="shared" si="8"/>
        <v>17796677.754187301</v>
      </c>
      <c r="Y6" s="6">
        <f t="shared" si="8"/>
        <v>18878962.180827394</v>
      </c>
      <c r="Z6" s="6">
        <f t="shared" si="8"/>
        <v>19181418.982854713</v>
      </c>
      <c r="AA6" s="6">
        <f t="shared" si="8"/>
        <v>19122023.516034972</v>
      </c>
      <c r="AB6" s="6">
        <f t="shared" si="8"/>
        <v>20601094.004968122</v>
      </c>
      <c r="AC6" s="6">
        <f t="shared" si="8"/>
        <v>20602156.465174776</v>
      </c>
      <c r="AD6" s="6">
        <f t="shared" si="8"/>
        <v>20277697.137023199</v>
      </c>
      <c r="AE6" s="6">
        <f t="shared" si="8"/>
        <v>21095818.717556946</v>
      </c>
      <c r="AF6" s="19">
        <f t="shared" si="7"/>
        <v>21095818.717556946</v>
      </c>
      <c r="AG6" s="19">
        <f t="shared" si="7"/>
        <v>21095818.717556946</v>
      </c>
      <c r="AH6" s="19">
        <f t="shared" si="7"/>
        <v>21095818.717556946</v>
      </c>
      <c r="AI6" s="19">
        <f t="shared" si="7"/>
        <v>21095818.717556946</v>
      </c>
      <c r="AJ6" s="19">
        <f t="shared" si="7"/>
        <v>21095818.717556946</v>
      </c>
      <c r="AK6" s="19">
        <f t="shared" si="7"/>
        <v>21095818.717556946</v>
      </c>
      <c r="AL6" s="19">
        <f t="shared" si="7"/>
        <v>21095818.717556946</v>
      </c>
      <c r="AM6" s="19">
        <f t="shared" si="7"/>
        <v>21095818.717556946</v>
      </c>
      <c r="AN6" s="19">
        <f t="shared" si="7"/>
        <v>21095818.717556946</v>
      </c>
      <c r="AO6" s="19">
        <f t="shared" si="7"/>
        <v>21095818.717556946</v>
      </c>
      <c r="AP6" s="19">
        <f t="shared" si="7"/>
        <v>21095818.717556946</v>
      </c>
    </row>
    <row r="7" spans="1:42" x14ac:dyDescent="0.25">
      <c r="A7">
        <f t="shared" si="3"/>
        <v>2019</v>
      </c>
      <c r="B7" s="1">
        <v>43556</v>
      </c>
      <c r="C7" s="6">
        <v>918.34254415725218</v>
      </c>
      <c r="D7" s="38">
        <f t="shared" si="4"/>
        <v>312.23646501346576</v>
      </c>
      <c r="E7" s="38">
        <f t="shared" si="4"/>
        <v>293.86961413032071</v>
      </c>
      <c r="F7" s="38">
        <f t="shared" si="4"/>
        <v>36.733701766290089</v>
      </c>
      <c r="G7" s="38">
        <f t="shared" si="4"/>
        <v>22.958563603931307</v>
      </c>
      <c r="H7" s="38">
        <f t="shared" si="0"/>
        <v>110.20110529887026</v>
      </c>
      <c r="I7" s="38">
        <f t="shared" si="0"/>
        <v>9.1834254415725223</v>
      </c>
      <c r="J7" s="38">
        <f t="shared" si="0"/>
        <v>45.917127207862613</v>
      </c>
      <c r="K7" s="38">
        <f t="shared" si="0"/>
        <v>73.467403532580178</v>
      </c>
      <c r="L7" s="38">
        <f t="shared" si="0"/>
        <v>13.775138162358783</v>
      </c>
      <c r="M7" s="38">
        <f t="shared" si="5"/>
        <v>918.34254415725218</v>
      </c>
      <c r="O7" s="18" t="s">
        <v>0</v>
      </c>
      <c r="P7" s="4" t="s">
        <v>13</v>
      </c>
      <c r="Q7" s="6">
        <f>+AVERAGEIFS($G$4:$G$183,$A$4:$A$183,Q$3)*365*1000</f>
        <v>8634460.7056014277</v>
      </c>
      <c r="R7" s="6">
        <f t="shared" ref="R7:AE7" si="9">+AVERAGEIFS($G$4:$G$183,$A$4:$A$183,R$3)*365*1000</f>
        <v>8921132.8723585457</v>
      </c>
      <c r="S7" s="6">
        <f t="shared" si="9"/>
        <v>10596714.599137772</v>
      </c>
      <c r="T7" s="6">
        <f t="shared" si="9"/>
        <v>10515401.356132856</v>
      </c>
      <c r="U7" s="6">
        <f t="shared" si="9"/>
        <v>9376217.4232445154</v>
      </c>
      <c r="V7" s="6">
        <f t="shared" si="9"/>
        <v>10401788.834854642</v>
      </c>
      <c r="W7" s="6">
        <f t="shared" si="9"/>
        <v>10775057.317035029</v>
      </c>
      <c r="X7" s="6">
        <f t="shared" si="9"/>
        <v>11122923.596367063</v>
      </c>
      <c r="Y7" s="6">
        <f t="shared" si="9"/>
        <v>11799351.363017118</v>
      </c>
      <c r="Z7" s="6">
        <f t="shared" si="9"/>
        <v>11988386.864284195</v>
      </c>
      <c r="AA7" s="6">
        <f t="shared" si="9"/>
        <v>11951264.697521858</v>
      </c>
      <c r="AB7" s="6">
        <f t="shared" si="9"/>
        <v>12875683.753105074</v>
      </c>
      <c r="AC7" s="6">
        <f t="shared" si="9"/>
        <v>12876347.790734237</v>
      </c>
      <c r="AD7" s="6">
        <f t="shared" si="9"/>
        <v>12673560.710639501</v>
      </c>
      <c r="AE7" s="6">
        <f t="shared" si="9"/>
        <v>13184886.698473096</v>
      </c>
      <c r="AF7" s="19">
        <f t="shared" si="7"/>
        <v>13184886.698473096</v>
      </c>
      <c r="AG7" s="19">
        <f t="shared" si="7"/>
        <v>13184886.698473096</v>
      </c>
      <c r="AH7" s="19">
        <f t="shared" si="7"/>
        <v>13184886.698473096</v>
      </c>
      <c r="AI7" s="19">
        <f t="shared" si="7"/>
        <v>13184886.698473096</v>
      </c>
      <c r="AJ7" s="19">
        <f t="shared" si="7"/>
        <v>13184886.698473096</v>
      </c>
      <c r="AK7" s="19">
        <f t="shared" si="7"/>
        <v>13184886.698473096</v>
      </c>
      <c r="AL7" s="19">
        <f t="shared" si="7"/>
        <v>13184886.698473096</v>
      </c>
      <c r="AM7" s="19">
        <f t="shared" si="7"/>
        <v>13184886.698473096</v>
      </c>
      <c r="AN7" s="19">
        <f t="shared" si="7"/>
        <v>13184886.698473096</v>
      </c>
      <c r="AO7" s="19">
        <f t="shared" si="7"/>
        <v>13184886.698473096</v>
      </c>
      <c r="AP7" s="19">
        <f t="shared" si="7"/>
        <v>13184886.698473096</v>
      </c>
    </row>
    <row r="8" spans="1:42" x14ac:dyDescent="0.25">
      <c r="A8">
        <f t="shared" si="3"/>
        <v>2019</v>
      </c>
      <c r="B8" s="1">
        <v>43586</v>
      </c>
      <c r="C8" s="6">
        <v>913.66938973554352</v>
      </c>
      <c r="D8" s="38">
        <f t="shared" si="4"/>
        <v>310.64759251008479</v>
      </c>
      <c r="E8" s="38">
        <f t="shared" si="4"/>
        <v>292.37420471537393</v>
      </c>
      <c r="F8" s="38">
        <f t="shared" si="4"/>
        <v>36.546775589421742</v>
      </c>
      <c r="G8" s="38">
        <f t="shared" si="4"/>
        <v>22.841734743388589</v>
      </c>
      <c r="H8" s="38">
        <f t="shared" si="0"/>
        <v>109.64032676826521</v>
      </c>
      <c r="I8" s="38">
        <f t="shared" si="0"/>
        <v>9.1366938973554355</v>
      </c>
      <c r="J8" s="38">
        <f t="shared" si="0"/>
        <v>45.683469486777177</v>
      </c>
      <c r="K8" s="38">
        <f t="shared" si="0"/>
        <v>73.093551178843484</v>
      </c>
      <c r="L8" s="38">
        <f t="shared" si="0"/>
        <v>13.705040846033151</v>
      </c>
      <c r="M8" s="38">
        <f t="shared" si="5"/>
        <v>913.66938973554352</v>
      </c>
      <c r="O8" s="18" t="s">
        <v>5</v>
      </c>
      <c r="P8" s="3" t="s">
        <v>15</v>
      </c>
      <c r="Q8" s="6">
        <f>+AVERAGEIFS($H$4:$H$183,$A$4:$A$183,Q$3)*365*1000</f>
        <v>41445411.386886857</v>
      </c>
      <c r="R8" s="6">
        <f t="shared" ref="R8:AE8" si="10">+AVERAGEIFS($H$4:$H$183,$A$4:$A$183,R$3)*365*1000</f>
        <v>42821437.787321009</v>
      </c>
      <c r="S8" s="6">
        <f t="shared" si="10"/>
        <v>50864230.075861283</v>
      </c>
      <c r="T8" s="6">
        <f t="shared" si="10"/>
        <v>50473926.509437703</v>
      </c>
      <c r="U8" s="6">
        <f t="shared" si="10"/>
        <v>45005843.631573677</v>
      </c>
      <c r="V8" s="6">
        <f t="shared" si="10"/>
        <v>49928586.407302275</v>
      </c>
      <c r="W8" s="6">
        <f t="shared" si="10"/>
        <v>51720275.121768147</v>
      </c>
      <c r="X8" s="6">
        <f t="shared" si="10"/>
        <v>53390033.262561895</v>
      </c>
      <c r="Y8" s="6">
        <f t="shared" si="10"/>
        <v>56636886.542482175</v>
      </c>
      <c r="Z8" s="6">
        <f t="shared" si="10"/>
        <v>57544256.948564127</v>
      </c>
      <c r="AA8" s="6">
        <f t="shared" si="10"/>
        <v>57366070.548104912</v>
      </c>
      <c r="AB8" s="6">
        <f t="shared" si="10"/>
        <v>61803282.014904343</v>
      </c>
      <c r="AC8" s="6">
        <f t="shared" si="10"/>
        <v>61806469.395524338</v>
      </c>
      <c r="AD8" s="6">
        <f t="shared" si="10"/>
        <v>60833091.411069594</v>
      </c>
      <c r="AE8" s="6">
        <f t="shared" si="10"/>
        <v>63287456.152670838</v>
      </c>
      <c r="AF8" s="19">
        <f t="shared" si="7"/>
        <v>63287456.152670838</v>
      </c>
      <c r="AG8" s="19">
        <f t="shared" si="7"/>
        <v>63287456.152670838</v>
      </c>
      <c r="AH8" s="19">
        <f t="shared" si="7"/>
        <v>63287456.152670838</v>
      </c>
      <c r="AI8" s="19">
        <f t="shared" si="7"/>
        <v>63287456.152670838</v>
      </c>
      <c r="AJ8" s="19">
        <f t="shared" si="7"/>
        <v>63287456.152670838</v>
      </c>
      <c r="AK8" s="19">
        <f t="shared" si="7"/>
        <v>63287456.152670838</v>
      </c>
      <c r="AL8" s="19">
        <f t="shared" si="7"/>
        <v>63287456.152670838</v>
      </c>
      <c r="AM8" s="19">
        <f t="shared" si="7"/>
        <v>63287456.152670838</v>
      </c>
      <c r="AN8" s="19">
        <f t="shared" si="7"/>
        <v>63287456.152670838</v>
      </c>
      <c r="AO8" s="19">
        <f t="shared" si="7"/>
        <v>63287456.152670838</v>
      </c>
      <c r="AP8" s="19">
        <f t="shared" si="7"/>
        <v>63287456.152670838</v>
      </c>
    </row>
    <row r="9" spans="1:42" x14ac:dyDescent="0.25">
      <c r="A9">
        <f t="shared" si="3"/>
        <v>2019</v>
      </c>
      <c r="B9" s="1">
        <v>43617</v>
      </c>
      <c r="C9" s="6">
        <v>942.36110403264308</v>
      </c>
      <c r="D9" s="38">
        <f t="shared" si="4"/>
        <v>320.4027753710987</v>
      </c>
      <c r="E9" s="38">
        <f t="shared" si="4"/>
        <v>301.5555532904458</v>
      </c>
      <c r="F9" s="38">
        <f t="shared" si="4"/>
        <v>37.694444161305725</v>
      </c>
      <c r="G9" s="38">
        <f t="shared" si="4"/>
        <v>23.55902760081608</v>
      </c>
      <c r="H9" s="38">
        <f t="shared" si="0"/>
        <v>113.08333248391716</v>
      </c>
      <c r="I9" s="38">
        <f t="shared" si="0"/>
        <v>9.4236110403264313</v>
      </c>
      <c r="J9" s="38">
        <f t="shared" si="0"/>
        <v>47.11805520163216</v>
      </c>
      <c r="K9" s="38">
        <f t="shared" si="0"/>
        <v>75.38888832261145</v>
      </c>
      <c r="L9" s="38">
        <f t="shared" si="0"/>
        <v>14.135416560489645</v>
      </c>
      <c r="M9" s="38">
        <f t="shared" si="5"/>
        <v>942.3611040326432</v>
      </c>
      <c r="O9" s="18" t="s">
        <v>6</v>
      </c>
      <c r="P9" s="3" t="s">
        <v>16</v>
      </c>
      <c r="Q9" s="6">
        <f>+AVERAGEIFS($I$4:$I$183,$A$4:$A$183,Q$3)*365*1000</f>
        <v>3453784.2822405719</v>
      </c>
      <c r="R9" s="6">
        <f t="shared" ref="R9:AE9" si="11">+AVERAGEIFS($I$4:$I$183,$A$4:$A$183,R$3)*365*1000</f>
        <v>3568453.1489434182</v>
      </c>
      <c r="S9" s="6">
        <f t="shared" si="11"/>
        <v>4238685.8396551069</v>
      </c>
      <c r="T9" s="6">
        <f t="shared" si="11"/>
        <v>4206160.5424531419</v>
      </c>
      <c r="U9" s="6">
        <f t="shared" si="11"/>
        <v>3750486.9692978058</v>
      </c>
      <c r="V9" s="6">
        <f t="shared" si="11"/>
        <v>4160715.5339418561</v>
      </c>
      <c r="W9" s="6">
        <f t="shared" si="11"/>
        <v>4310022.9268140122</v>
      </c>
      <c r="X9" s="6">
        <f t="shared" si="11"/>
        <v>4449169.4385468252</v>
      </c>
      <c r="Y9" s="6">
        <f t="shared" si="11"/>
        <v>4719740.5452068485</v>
      </c>
      <c r="Z9" s="6">
        <f t="shared" si="11"/>
        <v>4795354.7457136782</v>
      </c>
      <c r="AA9" s="6">
        <f t="shared" si="11"/>
        <v>4780505.879008743</v>
      </c>
      <c r="AB9" s="6">
        <f t="shared" si="11"/>
        <v>5150273.5012420304</v>
      </c>
      <c r="AC9" s="6">
        <f t="shared" si="11"/>
        <v>5150539.1162936939</v>
      </c>
      <c r="AD9" s="6">
        <f t="shared" si="11"/>
        <v>5069424.2842557998</v>
      </c>
      <c r="AE9" s="6">
        <f t="shared" si="11"/>
        <v>5273954.6793892365</v>
      </c>
      <c r="AF9" s="19">
        <f t="shared" si="7"/>
        <v>5273954.6793892365</v>
      </c>
      <c r="AG9" s="19">
        <f t="shared" si="7"/>
        <v>5273954.6793892365</v>
      </c>
      <c r="AH9" s="19">
        <f t="shared" si="7"/>
        <v>5273954.6793892365</v>
      </c>
      <c r="AI9" s="19">
        <f t="shared" si="7"/>
        <v>5273954.6793892365</v>
      </c>
      <c r="AJ9" s="19">
        <f t="shared" si="7"/>
        <v>5273954.6793892365</v>
      </c>
      <c r="AK9" s="19">
        <f t="shared" si="7"/>
        <v>5273954.6793892365</v>
      </c>
      <c r="AL9" s="19">
        <f t="shared" si="7"/>
        <v>5273954.6793892365</v>
      </c>
      <c r="AM9" s="19">
        <f t="shared" si="7"/>
        <v>5273954.6793892365</v>
      </c>
      <c r="AN9" s="19">
        <f t="shared" si="7"/>
        <v>5273954.6793892365</v>
      </c>
      <c r="AO9" s="19">
        <f t="shared" si="7"/>
        <v>5273954.6793892365</v>
      </c>
      <c r="AP9" s="19">
        <f t="shared" si="7"/>
        <v>5273954.6793892365</v>
      </c>
    </row>
    <row r="10" spans="1:42" x14ac:dyDescent="0.25">
      <c r="A10">
        <f t="shared" si="3"/>
        <v>2019</v>
      </c>
      <c r="B10" s="1">
        <v>43647</v>
      </c>
      <c r="C10" s="6">
        <v>955.09514380525411</v>
      </c>
      <c r="D10" s="38">
        <f t="shared" si="4"/>
        <v>324.73234889378642</v>
      </c>
      <c r="E10" s="38">
        <f t="shared" si="4"/>
        <v>305.63044601768132</v>
      </c>
      <c r="F10" s="38">
        <f t="shared" si="4"/>
        <v>38.203805752210165</v>
      </c>
      <c r="G10" s="38">
        <f t="shared" si="4"/>
        <v>23.877378595131354</v>
      </c>
      <c r="H10" s="38">
        <f t="shared" si="0"/>
        <v>114.61141725663049</v>
      </c>
      <c r="I10" s="38">
        <f t="shared" si="0"/>
        <v>9.5509514380525413</v>
      </c>
      <c r="J10" s="38">
        <f t="shared" si="0"/>
        <v>47.754757190262708</v>
      </c>
      <c r="K10" s="38">
        <f t="shared" si="0"/>
        <v>76.407611504420331</v>
      </c>
      <c r="L10" s="38">
        <f t="shared" si="0"/>
        <v>14.326427157078811</v>
      </c>
      <c r="M10" s="38">
        <f t="shared" si="5"/>
        <v>955.09514380525411</v>
      </c>
      <c r="O10" s="18" t="s">
        <v>7</v>
      </c>
      <c r="P10" s="3" t="s">
        <v>17</v>
      </c>
      <c r="Q10" s="6">
        <f>+AVERAGEIFS($J$4:$J$183,$A$4:$A$183,Q$3)*365*1000</f>
        <v>17268921.411202855</v>
      </c>
      <c r="R10" s="6">
        <f t="shared" ref="R10:AE10" si="12">+AVERAGEIFS($J$4:$J$183,$A$4:$A$183,R$3)*365*1000</f>
        <v>17842265.744717091</v>
      </c>
      <c r="S10" s="6">
        <f t="shared" si="12"/>
        <v>21193429.198275544</v>
      </c>
      <c r="T10" s="6">
        <f t="shared" si="12"/>
        <v>21030802.712265711</v>
      </c>
      <c r="U10" s="6">
        <f t="shared" si="12"/>
        <v>18752434.846489031</v>
      </c>
      <c r="V10" s="6">
        <f t="shared" si="12"/>
        <v>20803577.669709284</v>
      </c>
      <c r="W10" s="6">
        <f t="shared" si="12"/>
        <v>21550114.634070057</v>
      </c>
      <c r="X10" s="6">
        <f t="shared" si="12"/>
        <v>22245847.192734126</v>
      </c>
      <c r="Y10" s="6">
        <f t="shared" si="12"/>
        <v>23598702.726034235</v>
      </c>
      <c r="Z10" s="6">
        <f t="shared" si="12"/>
        <v>23976773.72856839</v>
      </c>
      <c r="AA10" s="6">
        <f t="shared" si="12"/>
        <v>23902529.395043716</v>
      </c>
      <c r="AB10" s="6">
        <f t="shared" si="12"/>
        <v>25751367.506210148</v>
      </c>
      <c r="AC10" s="6">
        <f t="shared" si="12"/>
        <v>25752695.581468474</v>
      </c>
      <c r="AD10" s="6">
        <f t="shared" si="12"/>
        <v>25347121.421279002</v>
      </c>
      <c r="AE10" s="6">
        <f t="shared" si="12"/>
        <v>26369773.396946192</v>
      </c>
      <c r="AF10" s="19">
        <f t="shared" si="7"/>
        <v>26369773.396946192</v>
      </c>
      <c r="AG10" s="19">
        <f t="shared" si="7"/>
        <v>26369773.396946192</v>
      </c>
      <c r="AH10" s="19">
        <f t="shared" si="7"/>
        <v>26369773.396946192</v>
      </c>
      <c r="AI10" s="19">
        <f t="shared" si="7"/>
        <v>26369773.396946192</v>
      </c>
      <c r="AJ10" s="19">
        <f t="shared" si="7"/>
        <v>26369773.396946192</v>
      </c>
      <c r="AK10" s="19">
        <f t="shared" si="7"/>
        <v>26369773.396946192</v>
      </c>
      <c r="AL10" s="19">
        <f t="shared" si="7"/>
        <v>26369773.396946192</v>
      </c>
      <c r="AM10" s="19">
        <f t="shared" si="7"/>
        <v>26369773.396946192</v>
      </c>
      <c r="AN10" s="19">
        <f t="shared" si="7"/>
        <v>26369773.396946192</v>
      </c>
      <c r="AO10" s="19">
        <f t="shared" si="7"/>
        <v>26369773.396946192</v>
      </c>
      <c r="AP10" s="19">
        <f t="shared" si="7"/>
        <v>26369773.396946192</v>
      </c>
    </row>
    <row r="11" spans="1:42" x14ac:dyDescent="0.25">
      <c r="A11">
        <f t="shared" si="3"/>
        <v>2019</v>
      </c>
      <c r="B11" s="1">
        <v>43678</v>
      </c>
      <c r="C11" s="6">
        <v>945.12125707890254</v>
      </c>
      <c r="D11" s="38">
        <f t="shared" si="4"/>
        <v>321.34122740682687</v>
      </c>
      <c r="E11" s="38">
        <f t="shared" si="4"/>
        <v>302.4388022652488</v>
      </c>
      <c r="F11" s="38">
        <f t="shared" si="4"/>
        <v>37.8048502831561</v>
      </c>
      <c r="G11" s="38">
        <f t="shared" si="4"/>
        <v>23.628031426972566</v>
      </c>
      <c r="H11" s="38">
        <f t="shared" si="0"/>
        <v>113.4145508494683</v>
      </c>
      <c r="I11" s="38">
        <f t="shared" si="0"/>
        <v>9.4512125707890249</v>
      </c>
      <c r="J11" s="38">
        <f t="shared" si="0"/>
        <v>47.256062853945132</v>
      </c>
      <c r="K11" s="38">
        <f t="shared" si="0"/>
        <v>75.609700566312199</v>
      </c>
      <c r="L11" s="38">
        <f t="shared" si="0"/>
        <v>14.176818856183537</v>
      </c>
      <c r="M11" s="38">
        <f t="shared" si="5"/>
        <v>945.12125707890266</v>
      </c>
      <c r="O11" s="18" t="s">
        <v>8</v>
      </c>
      <c r="P11" s="3" t="s">
        <v>18</v>
      </c>
      <c r="Q11" s="6">
        <f>+AVERAGEIFS($K$4:$K$183,$A$4:$A$183,Q$3)*365*1000</f>
        <v>27630274.257924575</v>
      </c>
      <c r="R11" s="6">
        <f t="shared" ref="R11:AE11" si="13">+AVERAGEIFS($K$4:$K$183,$A$4:$A$183,R$3)*365*1000</f>
        <v>28547625.191547345</v>
      </c>
      <c r="S11" s="6">
        <f t="shared" si="13"/>
        <v>33909486.717240855</v>
      </c>
      <c r="T11" s="6">
        <f t="shared" si="13"/>
        <v>33649284.339625135</v>
      </c>
      <c r="U11" s="6">
        <f t="shared" si="13"/>
        <v>30003895.754382446</v>
      </c>
      <c r="V11" s="6">
        <f t="shared" si="13"/>
        <v>33285724.271534849</v>
      </c>
      <c r="W11" s="6">
        <f t="shared" si="13"/>
        <v>34480183.414512098</v>
      </c>
      <c r="X11" s="6">
        <f t="shared" si="13"/>
        <v>35593355.508374602</v>
      </c>
      <c r="Y11" s="6">
        <f t="shared" si="13"/>
        <v>37757924.361654788</v>
      </c>
      <c r="Z11" s="6">
        <f t="shared" si="13"/>
        <v>38362837.965709426</v>
      </c>
      <c r="AA11" s="6">
        <f t="shared" si="13"/>
        <v>38244047.032069944</v>
      </c>
      <c r="AB11" s="6">
        <f t="shared" si="13"/>
        <v>41202188.009936243</v>
      </c>
      <c r="AC11" s="6">
        <f t="shared" si="13"/>
        <v>41204312.930349551</v>
      </c>
      <c r="AD11" s="6">
        <f t="shared" si="13"/>
        <v>40555394.274046399</v>
      </c>
      <c r="AE11" s="6">
        <f t="shared" si="13"/>
        <v>42191637.435113892</v>
      </c>
      <c r="AF11" s="19">
        <f t="shared" si="7"/>
        <v>42191637.435113892</v>
      </c>
      <c r="AG11" s="19">
        <f t="shared" si="7"/>
        <v>42191637.435113892</v>
      </c>
      <c r="AH11" s="19">
        <f t="shared" si="7"/>
        <v>42191637.435113892</v>
      </c>
      <c r="AI11" s="19">
        <f t="shared" si="7"/>
        <v>42191637.435113892</v>
      </c>
      <c r="AJ11" s="19">
        <f t="shared" si="7"/>
        <v>42191637.435113892</v>
      </c>
      <c r="AK11" s="19">
        <f t="shared" si="7"/>
        <v>42191637.435113892</v>
      </c>
      <c r="AL11" s="19">
        <f t="shared" si="7"/>
        <v>42191637.435113892</v>
      </c>
      <c r="AM11" s="19">
        <f t="shared" si="7"/>
        <v>42191637.435113892</v>
      </c>
      <c r="AN11" s="19">
        <f t="shared" si="7"/>
        <v>42191637.435113892</v>
      </c>
      <c r="AO11" s="19">
        <f t="shared" si="7"/>
        <v>42191637.435113892</v>
      </c>
      <c r="AP11" s="19">
        <f t="shared" si="7"/>
        <v>42191637.435113892</v>
      </c>
    </row>
    <row r="12" spans="1:42" x14ac:dyDescent="0.25">
      <c r="A12">
        <f t="shared" si="3"/>
        <v>2019</v>
      </c>
      <c r="B12" s="1">
        <v>43709</v>
      </c>
      <c r="C12" s="6">
        <v>931.34898363924003</v>
      </c>
      <c r="D12" s="38">
        <f t="shared" si="4"/>
        <v>316.65865443734162</v>
      </c>
      <c r="E12" s="38">
        <f t="shared" si="4"/>
        <v>298.03167476455684</v>
      </c>
      <c r="F12" s="38">
        <f t="shared" si="4"/>
        <v>37.253959345569605</v>
      </c>
      <c r="G12" s="38">
        <f t="shared" si="4"/>
        <v>23.283724590981002</v>
      </c>
      <c r="H12" s="38">
        <f t="shared" si="0"/>
        <v>111.76187803670879</v>
      </c>
      <c r="I12" s="38">
        <f t="shared" si="0"/>
        <v>9.3134898363924012</v>
      </c>
      <c r="J12" s="38">
        <f t="shared" si="0"/>
        <v>46.567449181962004</v>
      </c>
      <c r="K12" s="38">
        <f t="shared" si="0"/>
        <v>74.50791869113921</v>
      </c>
      <c r="L12" s="38">
        <f t="shared" si="0"/>
        <v>13.970234754588599</v>
      </c>
      <c r="M12" s="38">
        <f t="shared" si="5"/>
        <v>931.34898363924015</v>
      </c>
      <c r="O12" s="18" t="s">
        <v>9</v>
      </c>
      <c r="P12" s="3" t="s">
        <v>19</v>
      </c>
      <c r="Q12" s="6">
        <f>+AVERAGEIFS($L$4:$L$183,$A$4:$A$183,Q$3)*365*1000</f>
        <v>5180676.4233608572</v>
      </c>
      <c r="R12" s="6">
        <f t="shared" ref="R12:AE12" si="14">+AVERAGEIFS($L$4:$L$183,$A$4:$A$183,R$3)*365*1000</f>
        <v>5352679.7234151261</v>
      </c>
      <c r="S12" s="6">
        <f t="shared" si="14"/>
        <v>6358028.7594826603</v>
      </c>
      <c r="T12" s="6">
        <f t="shared" si="14"/>
        <v>6309240.8136797128</v>
      </c>
      <c r="U12" s="6">
        <f t="shared" si="14"/>
        <v>5625730.4539467096</v>
      </c>
      <c r="V12" s="6">
        <f t="shared" si="14"/>
        <v>6241073.3009127844</v>
      </c>
      <c r="W12" s="6">
        <f t="shared" si="14"/>
        <v>6465034.3902210183</v>
      </c>
      <c r="X12" s="6">
        <f t="shared" si="14"/>
        <v>6673754.1578202369</v>
      </c>
      <c r="Y12" s="6">
        <f t="shared" si="14"/>
        <v>7079610.8178102719</v>
      </c>
      <c r="Z12" s="6">
        <f t="shared" si="14"/>
        <v>7193032.1185705159</v>
      </c>
      <c r="AA12" s="6">
        <f t="shared" si="14"/>
        <v>7170758.818513114</v>
      </c>
      <c r="AB12" s="6">
        <f t="shared" si="14"/>
        <v>7725410.2518630428</v>
      </c>
      <c r="AC12" s="6">
        <f t="shared" si="14"/>
        <v>7725808.6744405422</v>
      </c>
      <c r="AD12" s="6">
        <f t="shared" si="14"/>
        <v>7604136.4263836993</v>
      </c>
      <c r="AE12" s="6">
        <f t="shared" si="14"/>
        <v>7910932.0190838547</v>
      </c>
      <c r="AF12" s="19">
        <f t="shared" si="7"/>
        <v>7910932.0190838547</v>
      </c>
      <c r="AG12" s="19">
        <f t="shared" si="7"/>
        <v>7910932.0190838547</v>
      </c>
      <c r="AH12" s="19">
        <f t="shared" si="7"/>
        <v>7910932.0190838547</v>
      </c>
      <c r="AI12" s="19">
        <f t="shared" si="7"/>
        <v>7910932.0190838547</v>
      </c>
      <c r="AJ12" s="19">
        <f t="shared" si="7"/>
        <v>7910932.0190838547</v>
      </c>
      <c r="AK12" s="19">
        <f t="shared" si="7"/>
        <v>7910932.0190838547</v>
      </c>
      <c r="AL12" s="19">
        <f t="shared" si="7"/>
        <v>7910932.0190838547</v>
      </c>
      <c r="AM12" s="19">
        <f t="shared" si="7"/>
        <v>7910932.0190838547</v>
      </c>
      <c r="AN12" s="19">
        <f t="shared" si="7"/>
        <v>7910932.0190838547</v>
      </c>
      <c r="AO12" s="19">
        <f t="shared" si="7"/>
        <v>7910932.0190838547</v>
      </c>
      <c r="AP12" s="19">
        <f t="shared" si="7"/>
        <v>7910932.0190838547</v>
      </c>
    </row>
    <row r="13" spans="1:42" x14ac:dyDescent="0.25">
      <c r="A13">
        <f t="shared" si="3"/>
        <v>2019</v>
      </c>
      <c r="B13" s="1">
        <v>43739</v>
      </c>
      <c r="C13" s="6">
        <v>958.96043951186687</v>
      </c>
      <c r="D13" s="38">
        <f t="shared" si="4"/>
        <v>326.04654943403477</v>
      </c>
      <c r="E13" s="38">
        <f t="shared" si="4"/>
        <v>306.86734064379738</v>
      </c>
      <c r="F13" s="38">
        <f t="shared" si="4"/>
        <v>38.358417580474672</v>
      </c>
      <c r="G13" s="38">
        <f t="shared" si="4"/>
        <v>23.974010987796674</v>
      </c>
      <c r="H13" s="38">
        <f t="shared" si="0"/>
        <v>115.07525274142402</v>
      </c>
      <c r="I13" s="38">
        <f t="shared" si="0"/>
        <v>9.589604395118668</v>
      </c>
      <c r="J13" s="38">
        <f t="shared" si="0"/>
        <v>47.948021975593349</v>
      </c>
      <c r="K13" s="38">
        <f t="shared" si="0"/>
        <v>76.716835160949344</v>
      </c>
      <c r="L13" s="38">
        <f t="shared" si="0"/>
        <v>14.384406592678003</v>
      </c>
      <c r="M13" s="38">
        <f t="shared" si="5"/>
        <v>958.96043951186675</v>
      </c>
    </row>
    <row r="14" spans="1:42" x14ac:dyDescent="0.25">
      <c r="A14">
        <f t="shared" si="3"/>
        <v>2019</v>
      </c>
      <c r="B14" s="1">
        <v>43770</v>
      </c>
      <c r="C14" s="6">
        <v>958.11280335228753</v>
      </c>
      <c r="D14" s="38">
        <f t="shared" si="4"/>
        <v>325.7583531397778</v>
      </c>
      <c r="E14" s="38">
        <f t="shared" si="4"/>
        <v>306.59609707273199</v>
      </c>
      <c r="F14" s="38">
        <f t="shared" si="4"/>
        <v>38.324512134091499</v>
      </c>
      <c r="G14" s="38">
        <f t="shared" si="4"/>
        <v>23.95282008380719</v>
      </c>
      <c r="H14" s="38">
        <f t="shared" si="0"/>
        <v>114.9735364022745</v>
      </c>
      <c r="I14" s="38">
        <f t="shared" si="0"/>
        <v>9.5811280335228748</v>
      </c>
      <c r="J14" s="38">
        <f t="shared" si="0"/>
        <v>47.905640167614379</v>
      </c>
      <c r="K14" s="38">
        <f t="shared" si="0"/>
        <v>76.649024268182998</v>
      </c>
      <c r="L14" s="38">
        <f t="shared" si="0"/>
        <v>14.371692050284313</v>
      </c>
      <c r="M14" s="38">
        <f t="shared" si="5"/>
        <v>958.11280335228753</v>
      </c>
      <c r="P14" s="111" t="s">
        <v>86</v>
      </c>
      <c r="Q14" s="7">
        <f>+SUM(Q4:Q12)</f>
        <v>345378428.22405714</v>
      </c>
      <c r="R14" s="7">
        <f t="shared" ref="R14:AP14" si="15">+SUM(R4:R12)</f>
        <v>356845314.89434189</v>
      </c>
      <c r="S14" s="7">
        <f t="shared" si="15"/>
        <v>423868583.96551085</v>
      </c>
      <c r="T14" s="7">
        <f t="shared" si="15"/>
        <v>420616054.24531424</v>
      </c>
      <c r="U14" s="7">
        <f t="shared" si="15"/>
        <v>375048696.9297806</v>
      </c>
      <c r="V14" s="7">
        <f t="shared" si="15"/>
        <v>416071553.3941856</v>
      </c>
      <c r="W14" s="7">
        <f t="shared" si="15"/>
        <v>431002292.68140113</v>
      </c>
      <c r="X14" s="7">
        <f t="shared" si="15"/>
        <v>444916943.85468256</v>
      </c>
      <c r="Y14" s="7">
        <f t="shared" si="15"/>
        <v>471974054.52068484</v>
      </c>
      <c r="Z14" s="7">
        <f t="shared" si="15"/>
        <v>479535474.5713678</v>
      </c>
      <c r="AA14" s="7">
        <f t="shared" si="15"/>
        <v>478050587.90087432</v>
      </c>
      <c r="AB14" s="7">
        <f t="shared" si="15"/>
        <v>515027350.12420291</v>
      </c>
      <c r="AC14" s="7">
        <f t="shared" si="15"/>
        <v>515053911.62936938</v>
      </c>
      <c r="AD14" s="7">
        <f t="shared" si="15"/>
        <v>506942428.42558002</v>
      </c>
      <c r="AE14" s="7">
        <f t="shared" si="15"/>
        <v>527395467.93892372</v>
      </c>
      <c r="AF14" s="7">
        <f t="shared" si="15"/>
        <v>527395467.93892372</v>
      </c>
      <c r="AG14" s="7">
        <f t="shared" si="15"/>
        <v>527395467.93892372</v>
      </c>
      <c r="AH14" s="7">
        <f t="shared" si="15"/>
        <v>527395467.93892372</v>
      </c>
      <c r="AI14" s="7">
        <f t="shared" si="15"/>
        <v>527395467.93892372</v>
      </c>
      <c r="AJ14" s="7">
        <f t="shared" si="15"/>
        <v>527395467.93892372</v>
      </c>
      <c r="AK14" s="7">
        <f t="shared" si="15"/>
        <v>527395467.93892372</v>
      </c>
      <c r="AL14" s="7">
        <f t="shared" si="15"/>
        <v>527395467.93892372</v>
      </c>
      <c r="AM14" s="7">
        <f t="shared" si="15"/>
        <v>527395467.93892372</v>
      </c>
      <c r="AN14" s="7">
        <f t="shared" si="15"/>
        <v>527395467.93892372</v>
      </c>
      <c r="AO14" s="7">
        <f t="shared" si="15"/>
        <v>527395467.93892372</v>
      </c>
      <c r="AP14" s="7">
        <f t="shared" si="15"/>
        <v>527395467.93892372</v>
      </c>
    </row>
    <row r="15" spans="1:42" x14ac:dyDescent="0.25">
      <c r="A15">
        <f t="shared" si="3"/>
        <v>2019</v>
      </c>
      <c r="B15" s="1">
        <v>43800</v>
      </c>
      <c r="C15" s="6">
        <v>929.49641277108049</v>
      </c>
      <c r="D15" s="38">
        <f t="shared" si="4"/>
        <v>316.02878034216741</v>
      </c>
      <c r="E15" s="38">
        <f t="shared" si="4"/>
        <v>297.43885208674578</v>
      </c>
      <c r="F15" s="38">
        <f t="shared" si="4"/>
        <v>37.179856510843223</v>
      </c>
      <c r="G15" s="38">
        <f t="shared" si="4"/>
        <v>23.237410319277014</v>
      </c>
      <c r="H15" s="38">
        <f t="shared" si="0"/>
        <v>111.53956953252965</v>
      </c>
      <c r="I15" s="38">
        <f t="shared" si="0"/>
        <v>9.2949641277108057</v>
      </c>
      <c r="J15" s="38">
        <f t="shared" si="0"/>
        <v>46.474820638554029</v>
      </c>
      <c r="K15" s="38">
        <f t="shared" si="0"/>
        <v>74.359713021686446</v>
      </c>
      <c r="L15" s="38">
        <f t="shared" si="0"/>
        <v>13.942446191566207</v>
      </c>
      <c r="M15" s="38">
        <f t="shared" si="5"/>
        <v>929.49641277108071</v>
      </c>
    </row>
    <row r="16" spans="1:42" x14ac:dyDescent="0.25">
      <c r="A16">
        <f t="shared" si="3"/>
        <v>2020</v>
      </c>
      <c r="B16" s="1">
        <v>43831</v>
      </c>
      <c r="C16" s="6">
        <v>998.68553120786976</v>
      </c>
      <c r="D16" s="38">
        <f t="shared" si="4"/>
        <v>339.55308061067575</v>
      </c>
      <c r="E16" s="38">
        <f t="shared" si="4"/>
        <v>319.57936998651832</v>
      </c>
      <c r="F16" s="38">
        <f t="shared" si="4"/>
        <v>39.947421248314789</v>
      </c>
      <c r="G16" s="38">
        <f t="shared" si="4"/>
        <v>24.967138280196746</v>
      </c>
      <c r="H16" s="38">
        <f t="shared" si="0"/>
        <v>119.84226374494436</v>
      </c>
      <c r="I16" s="38">
        <f t="shared" si="0"/>
        <v>9.9868553120786974</v>
      </c>
      <c r="J16" s="38">
        <f t="shared" si="0"/>
        <v>49.934276560393492</v>
      </c>
      <c r="K16" s="38">
        <f t="shared" si="0"/>
        <v>79.894842496629579</v>
      </c>
      <c r="L16" s="38">
        <f t="shared" si="0"/>
        <v>14.980282968118045</v>
      </c>
      <c r="M16" s="38">
        <f t="shared" si="5"/>
        <v>998.68553120786976</v>
      </c>
      <c r="O16" s="10" t="s">
        <v>131</v>
      </c>
      <c r="Q16" s="7">
        <f>+Q11*0.1</f>
        <v>2763027.4257924575</v>
      </c>
      <c r="R16" s="7">
        <f t="shared" ref="R16:AP16" si="16">+R11*0.1</f>
        <v>2854762.5191547349</v>
      </c>
      <c r="S16" s="7">
        <f t="shared" si="16"/>
        <v>3390948.6717240857</v>
      </c>
      <c r="T16" s="7">
        <f t="shared" si="16"/>
        <v>3364928.4339625137</v>
      </c>
      <c r="U16" s="7">
        <f t="shared" si="16"/>
        <v>3000389.5754382447</v>
      </c>
      <c r="V16" s="7">
        <f t="shared" si="16"/>
        <v>3328572.4271534849</v>
      </c>
      <c r="W16" s="7">
        <f t="shared" si="16"/>
        <v>3448018.34145121</v>
      </c>
      <c r="X16" s="7">
        <f t="shared" si="16"/>
        <v>3559335.5508374604</v>
      </c>
      <c r="Y16" s="7">
        <f t="shared" si="16"/>
        <v>3775792.436165479</v>
      </c>
      <c r="Z16" s="7">
        <f t="shared" si="16"/>
        <v>3836283.7965709427</v>
      </c>
      <c r="AA16" s="7">
        <f t="shared" si="16"/>
        <v>3824404.7032069946</v>
      </c>
      <c r="AB16" s="7">
        <f t="shared" si="16"/>
        <v>4120218.8009936246</v>
      </c>
      <c r="AC16" s="7">
        <f t="shared" si="16"/>
        <v>4120431.2930349554</v>
      </c>
      <c r="AD16" s="7">
        <f t="shared" si="16"/>
        <v>4055539.4274046402</v>
      </c>
      <c r="AE16" s="7">
        <f t="shared" si="16"/>
        <v>4219163.743511389</v>
      </c>
      <c r="AF16" s="7">
        <f t="shared" si="16"/>
        <v>4219163.743511389</v>
      </c>
      <c r="AG16" s="7">
        <f t="shared" si="16"/>
        <v>4219163.743511389</v>
      </c>
      <c r="AH16" s="7">
        <f t="shared" si="16"/>
        <v>4219163.743511389</v>
      </c>
      <c r="AI16" s="7">
        <f t="shared" si="16"/>
        <v>4219163.743511389</v>
      </c>
      <c r="AJ16" s="7">
        <f t="shared" si="16"/>
        <v>4219163.743511389</v>
      </c>
      <c r="AK16" s="7">
        <f t="shared" si="16"/>
        <v>4219163.743511389</v>
      </c>
      <c r="AL16" s="7">
        <f t="shared" si="16"/>
        <v>4219163.743511389</v>
      </c>
      <c r="AM16" s="7">
        <f t="shared" si="16"/>
        <v>4219163.743511389</v>
      </c>
      <c r="AN16" s="7">
        <f t="shared" si="16"/>
        <v>4219163.743511389</v>
      </c>
      <c r="AO16" s="7">
        <f t="shared" si="16"/>
        <v>4219163.743511389</v>
      </c>
      <c r="AP16" s="7">
        <f t="shared" si="16"/>
        <v>4219163.743511389</v>
      </c>
    </row>
    <row r="17" spans="1:42" x14ac:dyDescent="0.25">
      <c r="A17">
        <f t="shared" si="3"/>
        <v>2020</v>
      </c>
      <c r="B17" s="1">
        <v>43862</v>
      </c>
      <c r="C17" s="6">
        <v>1099.448088455548</v>
      </c>
      <c r="D17" s="38">
        <f t="shared" si="4"/>
        <v>373.81235007488635</v>
      </c>
      <c r="E17" s="38">
        <f t="shared" si="4"/>
        <v>351.82338830577538</v>
      </c>
      <c r="F17" s="38">
        <f t="shared" si="4"/>
        <v>43.977923538221923</v>
      </c>
      <c r="G17" s="38">
        <f t="shared" si="4"/>
        <v>27.486202211388701</v>
      </c>
      <c r="H17" s="38">
        <f t="shared" si="0"/>
        <v>131.93377061466575</v>
      </c>
      <c r="I17" s="38">
        <f t="shared" si="0"/>
        <v>10.994480884555481</v>
      </c>
      <c r="J17" s="38">
        <f t="shared" si="0"/>
        <v>54.972404422777402</v>
      </c>
      <c r="K17" s="38">
        <f t="shared" si="0"/>
        <v>87.955847076443845</v>
      </c>
      <c r="L17" s="38">
        <f t="shared" si="0"/>
        <v>16.491721326833218</v>
      </c>
      <c r="M17" s="38">
        <f t="shared" si="5"/>
        <v>1099.448088455548</v>
      </c>
      <c r="O17" s="10" t="s">
        <v>70</v>
      </c>
      <c r="Q17" s="7">
        <f t="shared" ref="Q17:AP17" si="17">+Q4+Q6+Q7+Q8+Q9+Q10+Q11+Q12</f>
        <v>234857331.19235888</v>
      </c>
      <c r="R17" s="7">
        <f t="shared" si="17"/>
        <v>242654814.12815243</v>
      </c>
      <c r="S17" s="7">
        <f t="shared" si="17"/>
        <v>288230637.09654737</v>
      </c>
      <c r="T17" s="7">
        <f t="shared" si="17"/>
        <v>286018916.88681364</v>
      </c>
      <c r="U17" s="7">
        <f t="shared" si="17"/>
        <v>255033113.91225082</v>
      </c>
      <c r="V17" s="7">
        <f t="shared" si="17"/>
        <v>282928656.30804622</v>
      </c>
      <c r="W17" s="7">
        <f t="shared" si="17"/>
        <v>293081559.02335274</v>
      </c>
      <c r="X17" s="7">
        <f t="shared" si="17"/>
        <v>302543521.8211841</v>
      </c>
      <c r="Y17" s="7">
        <f t="shared" si="17"/>
        <v>320942357.07406569</v>
      </c>
      <c r="Z17" s="7">
        <f t="shared" si="17"/>
        <v>326084122.70853013</v>
      </c>
      <c r="AA17" s="7">
        <f t="shared" si="17"/>
        <v>325074399.77259445</v>
      </c>
      <c r="AB17" s="7">
        <f t="shared" si="17"/>
        <v>350218598.08445805</v>
      </c>
      <c r="AC17" s="7">
        <f t="shared" si="17"/>
        <v>350236659.90797114</v>
      </c>
      <c r="AD17" s="7">
        <f t="shared" si="17"/>
        <v>344720851.32939446</v>
      </c>
      <c r="AE17" s="7">
        <f t="shared" si="17"/>
        <v>358628918.19846815</v>
      </c>
      <c r="AF17" s="7">
        <f t="shared" si="17"/>
        <v>358628918.19846815</v>
      </c>
      <c r="AG17" s="7">
        <f t="shared" si="17"/>
        <v>358628918.19846815</v>
      </c>
      <c r="AH17" s="7">
        <f t="shared" si="17"/>
        <v>358628918.19846815</v>
      </c>
      <c r="AI17" s="7">
        <f t="shared" si="17"/>
        <v>358628918.19846815</v>
      </c>
      <c r="AJ17" s="7">
        <f t="shared" si="17"/>
        <v>358628918.19846815</v>
      </c>
      <c r="AK17" s="7">
        <f t="shared" si="17"/>
        <v>358628918.19846815</v>
      </c>
      <c r="AL17" s="7">
        <f t="shared" si="17"/>
        <v>358628918.19846815</v>
      </c>
      <c r="AM17" s="7">
        <f t="shared" si="17"/>
        <v>358628918.19846815</v>
      </c>
      <c r="AN17" s="7">
        <f t="shared" si="17"/>
        <v>358628918.19846815</v>
      </c>
      <c r="AO17" s="7">
        <f t="shared" si="17"/>
        <v>358628918.19846815</v>
      </c>
      <c r="AP17" s="7">
        <f t="shared" si="17"/>
        <v>358628918.19846815</v>
      </c>
    </row>
    <row r="18" spans="1:42" x14ac:dyDescent="0.25">
      <c r="A18">
        <f t="shared" si="3"/>
        <v>2020</v>
      </c>
      <c r="B18" s="1">
        <v>43891</v>
      </c>
      <c r="C18" s="6">
        <v>1025.5153739478158</v>
      </c>
      <c r="D18" s="38">
        <f t="shared" si="4"/>
        <v>348.67522714225737</v>
      </c>
      <c r="E18" s="38">
        <f t="shared" si="4"/>
        <v>328.16491966330108</v>
      </c>
      <c r="F18" s="38">
        <f t="shared" si="4"/>
        <v>41.020614957912635</v>
      </c>
      <c r="G18" s="38">
        <f t="shared" si="4"/>
        <v>25.637884348695394</v>
      </c>
      <c r="H18" s="38">
        <f t="shared" si="0"/>
        <v>123.06184487373788</v>
      </c>
      <c r="I18" s="38">
        <f t="shared" si="0"/>
        <v>10.255153739478159</v>
      </c>
      <c r="J18" s="38">
        <f t="shared" si="0"/>
        <v>51.275768697390788</v>
      </c>
      <c r="K18" s="38">
        <f t="shared" si="0"/>
        <v>82.041229915825269</v>
      </c>
      <c r="L18" s="38">
        <f t="shared" si="0"/>
        <v>15.382730609217235</v>
      </c>
      <c r="M18" s="38">
        <f t="shared" si="5"/>
        <v>1025.5153739478158</v>
      </c>
      <c r="O18" s="10" t="s">
        <v>71</v>
      </c>
      <c r="Q18" s="7">
        <f t="shared" ref="Q18:AP18" si="18">+Q5</f>
        <v>110521097.0316983</v>
      </c>
      <c r="R18" s="7">
        <f t="shared" si="18"/>
        <v>114190500.76618938</v>
      </c>
      <c r="S18" s="7">
        <f t="shared" si="18"/>
        <v>135637946.86896342</v>
      </c>
      <c r="T18" s="7">
        <f t="shared" si="18"/>
        <v>134597137.35850054</v>
      </c>
      <c r="U18" s="7">
        <f t="shared" si="18"/>
        <v>120015583.01752979</v>
      </c>
      <c r="V18" s="7">
        <f t="shared" si="18"/>
        <v>133142897.0861394</v>
      </c>
      <c r="W18" s="7">
        <f t="shared" si="18"/>
        <v>137920733.65804839</v>
      </c>
      <c r="X18" s="7">
        <f t="shared" si="18"/>
        <v>142373422.03349841</v>
      </c>
      <c r="Y18" s="7">
        <f t="shared" si="18"/>
        <v>151031697.44661915</v>
      </c>
      <c r="Z18" s="7">
        <f t="shared" si="18"/>
        <v>153451351.8628377</v>
      </c>
      <c r="AA18" s="7">
        <f t="shared" si="18"/>
        <v>152976188.12827978</v>
      </c>
      <c r="AB18" s="7">
        <f t="shared" si="18"/>
        <v>164808752.03974497</v>
      </c>
      <c r="AC18" s="7">
        <f t="shared" si="18"/>
        <v>164817251.7213982</v>
      </c>
      <c r="AD18" s="7">
        <f t="shared" si="18"/>
        <v>162221577.09618559</v>
      </c>
      <c r="AE18" s="7">
        <f t="shared" si="18"/>
        <v>168766549.74045557</v>
      </c>
      <c r="AF18" s="7">
        <f t="shared" si="18"/>
        <v>168766549.74045557</v>
      </c>
      <c r="AG18" s="7">
        <f t="shared" si="18"/>
        <v>168766549.74045557</v>
      </c>
      <c r="AH18" s="7">
        <f t="shared" si="18"/>
        <v>168766549.74045557</v>
      </c>
      <c r="AI18" s="7">
        <f t="shared" si="18"/>
        <v>168766549.74045557</v>
      </c>
      <c r="AJ18" s="7">
        <f t="shared" si="18"/>
        <v>168766549.74045557</v>
      </c>
      <c r="AK18" s="7">
        <f t="shared" si="18"/>
        <v>168766549.74045557</v>
      </c>
      <c r="AL18" s="7">
        <f t="shared" si="18"/>
        <v>168766549.74045557</v>
      </c>
      <c r="AM18" s="7">
        <f t="shared" si="18"/>
        <v>168766549.74045557</v>
      </c>
      <c r="AN18" s="7">
        <f t="shared" si="18"/>
        <v>168766549.74045557</v>
      </c>
      <c r="AO18" s="7">
        <f t="shared" si="18"/>
        <v>168766549.74045557</v>
      </c>
      <c r="AP18" s="7">
        <f t="shared" si="18"/>
        <v>168766549.74045557</v>
      </c>
    </row>
    <row r="19" spans="1:42" x14ac:dyDescent="0.25">
      <c r="A19">
        <f t="shared" si="3"/>
        <v>2020</v>
      </c>
      <c r="B19" s="1">
        <v>43922</v>
      </c>
      <c r="C19" s="6">
        <v>999.99360846103855</v>
      </c>
      <c r="D19" s="38">
        <f t="shared" si="4"/>
        <v>339.99782687675315</v>
      </c>
      <c r="E19" s="38">
        <f t="shared" si="4"/>
        <v>319.99795470753236</v>
      </c>
      <c r="F19" s="38">
        <f t="shared" si="4"/>
        <v>39.999744338441545</v>
      </c>
      <c r="G19" s="38">
        <f t="shared" si="4"/>
        <v>24.999840211525964</v>
      </c>
      <c r="H19" s="38">
        <f t="shared" si="0"/>
        <v>119.99923301532462</v>
      </c>
      <c r="I19" s="38">
        <f t="shared" si="0"/>
        <v>9.9999360846103862</v>
      </c>
      <c r="J19" s="38">
        <f t="shared" si="0"/>
        <v>49.999680423051927</v>
      </c>
      <c r="K19" s="38">
        <f t="shared" si="0"/>
        <v>79.99948867688309</v>
      </c>
      <c r="L19" s="38">
        <f t="shared" si="0"/>
        <v>14.999904126915578</v>
      </c>
      <c r="M19" s="38">
        <f t="shared" si="5"/>
        <v>999.99360846103866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x14ac:dyDescent="0.25">
      <c r="A20">
        <f t="shared" si="3"/>
        <v>2020</v>
      </c>
      <c r="B20" s="1">
        <v>43952</v>
      </c>
      <c r="C20" s="6">
        <v>1002.9613848348718</v>
      </c>
      <c r="D20" s="38">
        <f t="shared" si="4"/>
        <v>341.0068708438564</v>
      </c>
      <c r="E20" s="38">
        <f t="shared" si="4"/>
        <v>320.94764314715894</v>
      </c>
      <c r="F20" s="38">
        <f t="shared" si="4"/>
        <v>40.118455393394868</v>
      </c>
      <c r="G20" s="38">
        <f t="shared" si="4"/>
        <v>25.074034620871796</v>
      </c>
      <c r="H20" s="38">
        <f t="shared" si="4"/>
        <v>120.3553661801846</v>
      </c>
      <c r="I20" s="38">
        <f t="shared" si="4"/>
        <v>10.029613848348717</v>
      </c>
      <c r="J20" s="38">
        <f t="shared" si="4"/>
        <v>50.148069241743592</v>
      </c>
      <c r="K20" s="38">
        <f t="shared" si="4"/>
        <v>80.236910786789736</v>
      </c>
      <c r="L20" s="38">
        <f t="shared" si="4"/>
        <v>15.044420772523075</v>
      </c>
      <c r="M20" s="38">
        <f t="shared" si="5"/>
        <v>1002.9613848348716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21" x14ac:dyDescent="0.35">
      <c r="A21">
        <f t="shared" si="3"/>
        <v>2020</v>
      </c>
      <c r="B21" s="1">
        <v>43983</v>
      </c>
      <c r="C21" s="6">
        <v>1024.8054902138902</v>
      </c>
      <c r="D21" s="38">
        <f t="shared" si="4"/>
        <v>348.43386667272267</v>
      </c>
      <c r="E21" s="38">
        <f t="shared" si="4"/>
        <v>327.93775686844486</v>
      </c>
      <c r="F21" s="38">
        <f t="shared" si="4"/>
        <v>40.992219608555608</v>
      </c>
      <c r="G21" s="38">
        <f t="shared" si="4"/>
        <v>25.620137255347256</v>
      </c>
      <c r="H21" s="38">
        <f t="shared" si="4"/>
        <v>122.97665882566682</v>
      </c>
      <c r="I21" s="38">
        <f t="shared" si="4"/>
        <v>10.248054902138902</v>
      </c>
      <c r="J21" s="38">
        <f t="shared" si="4"/>
        <v>51.240274510694512</v>
      </c>
      <c r="K21" s="38">
        <f t="shared" si="4"/>
        <v>81.984439217111216</v>
      </c>
      <c r="L21" s="38">
        <f t="shared" si="4"/>
        <v>15.372082353208352</v>
      </c>
      <c r="M21" s="38">
        <f t="shared" si="5"/>
        <v>1024.8054902138902</v>
      </c>
      <c r="O21" s="152" t="s">
        <v>141</v>
      </c>
    </row>
    <row r="22" spans="1:42" x14ac:dyDescent="0.25">
      <c r="A22">
        <f t="shared" si="3"/>
        <v>2020</v>
      </c>
      <c r="B22" s="1">
        <v>44013</v>
      </c>
      <c r="C22" s="6">
        <v>897.2848426646367</v>
      </c>
      <c r="D22" s="38">
        <f t="shared" si="4"/>
        <v>305.0768465059765</v>
      </c>
      <c r="E22" s="38">
        <f t="shared" si="4"/>
        <v>287.13114965268375</v>
      </c>
      <c r="F22" s="38">
        <f t="shared" si="4"/>
        <v>35.891393706585468</v>
      </c>
      <c r="G22" s="38">
        <f t="shared" si="4"/>
        <v>22.43212106661592</v>
      </c>
      <c r="H22" s="38">
        <f t="shared" si="4"/>
        <v>107.6741811197564</v>
      </c>
      <c r="I22" s="38">
        <f t="shared" si="4"/>
        <v>8.9728484266463671</v>
      </c>
      <c r="J22" s="38">
        <f t="shared" si="4"/>
        <v>44.864242133231841</v>
      </c>
      <c r="K22" s="38">
        <f t="shared" si="4"/>
        <v>71.782787413170936</v>
      </c>
      <c r="L22" s="38">
        <f t="shared" si="4"/>
        <v>13.45927263996955</v>
      </c>
      <c r="M22" s="38">
        <f t="shared" si="5"/>
        <v>897.28484266463681</v>
      </c>
      <c r="O22" s="18" t="s">
        <v>2</v>
      </c>
      <c r="P22" s="3" t="s">
        <v>12</v>
      </c>
      <c r="Q22" s="6">
        <f t="shared" ref="Q22:AP22" si="19">+Q4</f>
        <v>117428665.59617944</v>
      </c>
      <c r="R22" s="6">
        <f t="shared" si="19"/>
        <v>121327407.06407624</v>
      </c>
      <c r="S22" s="6">
        <f t="shared" si="19"/>
        <v>144115318.54827371</v>
      </c>
      <c r="T22" s="6">
        <f t="shared" si="19"/>
        <v>143009458.44340685</v>
      </c>
      <c r="U22" s="6">
        <f t="shared" si="19"/>
        <v>127516556.95612541</v>
      </c>
      <c r="V22" s="6">
        <f t="shared" si="19"/>
        <v>141464328.15402311</v>
      </c>
      <c r="W22" s="6">
        <f t="shared" si="19"/>
        <v>146540779.51167634</v>
      </c>
      <c r="X22" s="6">
        <f t="shared" si="19"/>
        <v>151271760.91059208</v>
      </c>
      <c r="Y22" s="6">
        <f t="shared" si="19"/>
        <v>160471178.53703284</v>
      </c>
      <c r="Z22" s="6">
        <f t="shared" si="19"/>
        <v>163042061.35426506</v>
      </c>
      <c r="AA22" s="6">
        <f t="shared" si="19"/>
        <v>162537199.88629726</v>
      </c>
      <c r="AB22" s="6">
        <f t="shared" si="19"/>
        <v>175109299.042229</v>
      </c>
      <c r="AC22" s="6">
        <f t="shared" si="19"/>
        <v>175118329.9539856</v>
      </c>
      <c r="AD22" s="6">
        <f t="shared" si="19"/>
        <v>172360425.66469723</v>
      </c>
      <c r="AE22" s="6">
        <f t="shared" si="19"/>
        <v>179314459.09923404</v>
      </c>
      <c r="AF22" s="19">
        <f t="shared" si="19"/>
        <v>179314459.09923404</v>
      </c>
      <c r="AG22" s="19">
        <f t="shared" si="19"/>
        <v>179314459.09923404</v>
      </c>
      <c r="AH22" s="19">
        <f t="shared" si="19"/>
        <v>179314459.09923404</v>
      </c>
      <c r="AI22" s="19">
        <f t="shared" si="19"/>
        <v>179314459.09923404</v>
      </c>
      <c r="AJ22" s="19">
        <f t="shared" si="19"/>
        <v>179314459.09923404</v>
      </c>
      <c r="AK22" s="19">
        <f t="shared" si="19"/>
        <v>179314459.09923404</v>
      </c>
      <c r="AL22" s="19">
        <f t="shared" si="19"/>
        <v>179314459.09923404</v>
      </c>
      <c r="AM22" s="19">
        <f t="shared" si="19"/>
        <v>179314459.09923404</v>
      </c>
      <c r="AN22" s="19">
        <f t="shared" si="19"/>
        <v>179314459.09923404</v>
      </c>
      <c r="AO22" s="19">
        <f t="shared" si="19"/>
        <v>179314459.09923404</v>
      </c>
      <c r="AP22" s="19">
        <f t="shared" si="19"/>
        <v>179314459.09923404</v>
      </c>
    </row>
    <row r="23" spans="1:42" x14ac:dyDescent="0.25">
      <c r="A23">
        <f t="shared" si="3"/>
        <v>2020</v>
      </c>
      <c r="B23" s="1">
        <v>44044</v>
      </c>
      <c r="C23" s="6">
        <v>958.93060842015007</v>
      </c>
      <c r="D23" s="38">
        <f t="shared" si="4"/>
        <v>326.03640686285104</v>
      </c>
      <c r="E23" s="38">
        <f t="shared" si="4"/>
        <v>306.85779469444805</v>
      </c>
      <c r="F23" s="38">
        <f t="shared" si="4"/>
        <v>38.357224336806006</v>
      </c>
      <c r="G23" s="38">
        <f t="shared" si="4"/>
        <v>23.973265210503754</v>
      </c>
      <c r="H23" s="38">
        <f t="shared" si="4"/>
        <v>115.07167301041801</v>
      </c>
      <c r="I23" s="38">
        <f t="shared" si="4"/>
        <v>9.5893060842015014</v>
      </c>
      <c r="J23" s="38">
        <f t="shared" si="4"/>
        <v>47.946530421007509</v>
      </c>
      <c r="K23" s="38">
        <f t="shared" si="4"/>
        <v>76.714448673612011</v>
      </c>
      <c r="L23" s="38">
        <f t="shared" si="4"/>
        <v>14.383959126302251</v>
      </c>
      <c r="M23" s="38">
        <f t="shared" si="5"/>
        <v>958.93060842015007</v>
      </c>
      <c r="O23" s="18" t="s">
        <v>3</v>
      </c>
      <c r="P23" s="3" t="s">
        <v>1</v>
      </c>
      <c r="Q23" s="6">
        <f t="shared" ref="Q23:AP23" si="20">+Q5</f>
        <v>110521097.0316983</v>
      </c>
      <c r="R23" s="6">
        <f t="shared" si="20"/>
        <v>114190500.76618938</v>
      </c>
      <c r="S23" s="6">
        <f t="shared" si="20"/>
        <v>135637946.86896342</v>
      </c>
      <c r="T23" s="6">
        <f t="shared" si="20"/>
        <v>134597137.35850054</v>
      </c>
      <c r="U23" s="6">
        <f t="shared" si="20"/>
        <v>120015583.01752979</v>
      </c>
      <c r="V23" s="6">
        <f t="shared" si="20"/>
        <v>133142897.0861394</v>
      </c>
      <c r="W23" s="6">
        <f t="shared" si="20"/>
        <v>137920733.65804839</v>
      </c>
      <c r="X23" s="6">
        <f t="shared" si="20"/>
        <v>142373422.03349841</v>
      </c>
      <c r="Y23" s="6">
        <f t="shared" si="20"/>
        <v>151031697.44661915</v>
      </c>
      <c r="Z23" s="6">
        <f t="shared" si="20"/>
        <v>153451351.8628377</v>
      </c>
      <c r="AA23" s="6">
        <f t="shared" si="20"/>
        <v>152976188.12827978</v>
      </c>
      <c r="AB23" s="6">
        <f t="shared" si="20"/>
        <v>164808752.03974497</v>
      </c>
      <c r="AC23" s="6">
        <f t="shared" si="20"/>
        <v>164817251.7213982</v>
      </c>
      <c r="AD23" s="6">
        <f t="shared" si="20"/>
        <v>162221577.09618559</v>
      </c>
      <c r="AE23" s="6">
        <f t="shared" si="20"/>
        <v>168766549.74045557</v>
      </c>
      <c r="AF23" s="19">
        <f t="shared" si="20"/>
        <v>168766549.74045557</v>
      </c>
      <c r="AG23" s="19">
        <f t="shared" si="20"/>
        <v>168766549.74045557</v>
      </c>
      <c r="AH23" s="19">
        <f t="shared" si="20"/>
        <v>168766549.74045557</v>
      </c>
      <c r="AI23" s="19">
        <f t="shared" si="20"/>
        <v>168766549.74045557</v>
      </c>
      <c r="AJ23" s="19">
        <f t="shared" si="20"/>
        <v>168766549.74045557</v>
      </c>
      <c r="AK23" s="19">
        <f t="shared" si="20"/>
        <v>168766549.74045557</v>
      </c>
      <c r="AL23" s="19">
        <f t="shared" si="20"/>
        <v>168766549.74045557</v>
      </c>
      <c r="AM23" s="19">
        <f t="shared" si="20"/>
        <v>168766549.74045557</v>
      </c>
      <c r="AN23" s="19">
        <f t="shared" si="20"/>
        <v>168766549.74045557</v>
      </c>
      <c r="AO23" s="19">
        <f t="shared" si="20"/>
        <v>168766549.74045557</v>
      </c>
      <c r="AP23" s="19">
        <f t="shared" si="20"/>
        <v>168766549.74045557</v>
      </c>
    </row>
    <row r="24" spans="1:42" x14ac:dyDescent="0.25">
      <c r="A24">
        <f t="shared" si="3"/>
        <v>2020</v>
      </c>
      <c r="B24" s="1">
        <v>44075</v>
      </c>
      <c r="C24" s="6">
        <v>931.98017946098446</v>
      </c>
      <c r="D24" s="38">
        <f t="shared" si="4"/>
        <v>316.87326101673472</v>
      </c>
      <c r="E24" s="38">
        <f t="shared" si="4"/>
        <v>298.23365742751503</v>
      </c>
      <c r="F24" s="38">
        <f t="shared" si="4"/>
        <v>37.279207178439378</v>
      </c>
      <c r="G24" s="38">
        <f t="shared" si="4"/>
        <v>23.299504486524611</v>
      </c>
      <c r="H24" s="38">
        <f t="shared" si="4"/>
        <v>111.83762153531814</v>
      </c>
      <c r="I24" s="38">
        <f t="shared" si="4"/>
        <v>9.3198017946098446</v>
      </c>
      <c r="J24" s="38">
        <f t="shared" si="4"/>
        <v>46.599008973049223</v>
      </c>
      <c r="K24" s="38">
        <f t="shared" si="4"/>
        <v>74.558414356878757</v>
      </c>
      <c r="L24" s="38">
        <f t="shared" si="4"/>
        <v>13.979702691914767</v>
      </c>
      <c r="M24" s="38">
        <f t="shared" si="5"/>
        <v>931.98017946098435</v>
      </c>
      <c r="O24" s="18" t="s">
        <v>4</v>
      </c>
      <c r="P24" s="3" t="s">
        <v>14</v>
      </c>
      <c r="Q24" s="6">
        <f t="shared" ref="Q24:AP24" si="21">+Q6</f>
        <v>13815137.128962288</v>
      </c>
      <c r="R24" s="6">
        <f t="shared" si="21"/>
        <v>14273812.595773673</v>
      </c>
      <c r="S24" s="6">
        <f t="shared" si="21"/>
        <v>16954743.358620428</v>
      </c>
      <c r="T24" s="6">
        <f t="shared" si="21"/>
        <v>16824642.169812568</v>
      </c>
      <c r="U24" s="6">
        <f t="shared" si="21"/>
        <v>15001947.877191223</v>
      </c>
      <c r="V24" s="6">
        <f t="shared" si="21"/>
        <v>16642862.135767424</v>
      </c>
      <c r="W24" s="6">
        <f t="shared" si="21"/>
        <v>17240091.707256049</v>
      </c>
      <c r="X24" s="6">
        <f t="shared" si="21"/>
        <v>17796677.754187301</v>
      </c>
      <c r="Y24" s="6">
        <f t="shared" si="21"/>
        <v>18878962.180827394</v>
      </c>
      <c r="Z24" s="6">
        <f t="shared" si="21"/>
        <v>19181418.982854713</v>
      </c>
      <c r="AA24" s="6">
        <f t="shared" si="21"/>
        <v>19122023.516034972</v>
      </c>
      <c r="AB24" s="6">
        <f t="shared" si="21"/>
        <v>20601094.004968122</v>
      </c>
      <c r="AC24" s="6">
        <f t="shared" si="21"/>
        <v>20602156.465174776</v>
      </c>
      <c r="AD24" s="6">
        <f t="shared" si="21"/>
        <v>20277697.137023199</v>
      </c>
      <c r="AE24" s="6">
        <f t="shared" si="21"/>
        <v>21095818.717556946</v>
      </c>
      <c r="AF24" s="19">
        <f t="shared" si="21"/>
        <v>21095818.717556946</v>
      </c>
      <c r="AG24" s="19">
        <f t="shared" si="21"/>
        <v>21095818.717556946</v>
      </c>
      <c r="AH24" s="19">
        <f t="shared" si="21"/>
        <v>21095818.717556946</v>
      </c>
      <c r="AI24" s="19">
        <f t="shared" si="21"/>
        <v>21095818.717556946</v>
      </c>
      <c r="AJ24" s="19">
        <f t="shared" si="21"/>
        <v>21095818.717556946</v>
      </c>
      <c r="AK24" s="19">
        <f t="shared" si="21"/>
        <v>21095818.717556946</v>
      </c>
      <c r="AL24" s="19">
        <f t="shared" si="21"/>
        <v>21095818.717556946</v>
      </c>
      <c r="AM24" s="19">
        <f t="shared" si="21"/>
        <v>21095818.717556946</v>
      </c>
      <c r="AN24" s="19">
        <f t="shared" si="21"/>
        <v>21095818.717556946</v>
      </c>
      <c r="AO24" s="19">
        <f t="shared" si="21"/>
        <v>21095818.717556946</v>
      </c>
      <c r="AP24" s="19">
        <f t="shared" si="21"/>
        <v>21095818.717556946</v>
      </c>
    </row>
    <row r="25" spans="1:42" x14ac:dyDescent="0.25">
      <c r="A25">
        <f t="shared" si="3"/>
        <v>2020</v>
      </c>
      <c r="B25" s="1">
        <v>44105</v>
      </c>
      <c r="C25" s="6">
        <v>930.24569142590258</v>
      </c>
      <c r="D25" s="38">
        <f t="shared" si="4"/>
        <v>316.28353508480689</v>
      </c>
      <c r="E25" s="38">
        <f t="shared" si="4"/>
        <v>297.67862125628881</v>
      </c>
      <c r="F25" s="38">
        <f t="shared" si="4"/>
        <v>37.209827657036101</v>
      </c>
      <c r="G25" s="38">
        <f t="shared" si="4"/>
        <v>23.256142285647567</v>
      </c>
      <c r="H25" s="38">
        <f t="shared" si="4"/>
        <v>111.6294829711083</v>
      </c>
      <c r="I25" s="38">
        <f t="shared" si="4"/>
        <v>9.3024569142590252</v>
      </c>
      <c r="J25" s="38">
        <f t="shared" si="4"/>
        <v>46.512284571295133</v>
      </c>
      <c r="K25" s="38">
        <f t="shared" si="4"/>
        <v>74.419655314072202</v>
      </c>
      <c r="L25" s="38">
        <f t="shared" si="4"/>
        <v>13.953685371388538</v>
      </c>
      <c r="M25" s="38">
        <f t="shared" si="5"/>
        <v>930.24569142590258</v>
      </c>
      <c r="O25" s="18" t="s">
        <v>0</v>
      </c>
      <c r="P25" s="4" t="s">
        <v>13</v>
      </c>
      <c r="Q25" s="6">
        <f t="shared" ref="Q25:AP25" si="22">+Q7</f>
        <v>8634460.7056014277</v>
      </c>
      <c r="R25" s="6">
        <f t="shared" si="22"/>
        <v>8921132.8723585457</v>
      </c>
      <c r="S25" s="6">
        <f t="shared" si="22"/>
        <v>10596714.599137772</v>
      </c>
      <c r="T25" s="6">
        <f t="shared" si="22"/>
        <v>10515401.356132856</v>
      </c>
      <c r="U25" s="6">
        <f t="shared" si="22"/>
        <v>9376217.4232445154</v>
      </c>
      <c r="V25" s="6">
        <f t="shared" si="22"/>
        <v>10401788.834854642</v>
      </c>
      <c r="W25" s="6">
        <f t="shared" si="22"/>
        <v>10775057.317035029</v>
      </c>
      <c r="X25" s="6">
        <f t="shared" si="22"/>
        <v>11122923.596367063</v>
      </c>
      <c r="Y25" s="6">
        <f t="shared" si="22"/>
        <v>11799351.363017118</v>
      </c>
      <c r="Z25" s="6">
        <f t="shared" si="22"/>
        <v>11988386.864284195</v>
      </c>
      <c r="AA25" s="6">
        <f t="shared" si="22"/>
        <v>11951264.697521858</v>
      </c>
      <c r="AB25" s="6">
        <f t="shared" si="22"/>
        <v>12875683.753105074</v>
      </c>
      <c r="AC25" s="6">
        <f t="shared" si="22"/>
        <v>12876347.790734237</v>
      </c>
      <c r="AD25" s="6">
        <f t="shared" si="22"/>
        <v>12673560.710639501</v>
      </c>
      <c r="AE25" s="6">
        <f t="shared" si="22"/>
        <v>13184886.698473096</v>
      </c>
      <c r="AF25" s="19">
        <f t="shared" si="22"/>
        <v>13184886.698473096</v>
      </c>
      <c r="AG25" s="19">
        <f t="shared" si="22"/>
        <v>13184886.698473096</v>
      </c>
      <c r="AH25" s="19">
        <f t="shared" si="22"/>
        <v>13184886.698473096</v>
      </c>
      <c r="AI25" s="19">
        <f t="shared" si="22"/>
        <v>13184886.698473096</v>
      </c>
      <c r="AJ25" s="19">
        <f t="shared" si="22"/>
        <v>13184886.698473096</v>
      </c>
      <c r="AK25" s="19">
        <f t="shared" si="22"/>
        <v>13184886.698473096</v>
      </c>
      <c r="AL25" s="19">
        <f t="shared" si="22"/>
        <v>13184886.698473096</v>
      </c>
      <c r="AM25" s="19">
        <f t="shared" si="22"/>
        <v>13184886.698473096</v>
      </c>
      <c r="AN25" s="19">
        <f t="shared" si="22"/>
        <v>13184886.698473096</v>
      </c>
      <c r="AO25" s="19">
        <f t="shared" si="22"/>
        <v>13184886.698473096</v>
      </c>
      <c r="AP25" s="19">
        <f t="shared" si="22"/>
        <v>13184886.698473096</v>
      </c>
    </row>
    <row r="26" spans="1:42" ht="30" x14ac:dyDescent="0.25">
      <c r="A26">
        <f t="shared" si="3"/>
        <v>2020</v>
      </c>
      <c r="B26" s="1">
        <v>44136</v>
      </c>
      <c r="C26" s="6">
        <v>972.34545861724121</v>
      </c>
      <c r="D26" s="38">
        <f t="shared" si="4"/>
        <v>330.59745592986201</v>
      </c>
      <c r="E26" s="38">
        <f t="shared" si="4"/>
        <v>311.15054675751719</v>
      </c>
      <c r="F26" s="38">
        <f t="shared" si="4"/>
        <v>38.893818344689649</v>
      </c>
      <c r="G26" s="38">
        <f t="shared" si="4"/>
        <v>24.308636465431032</v>
      </c>
      <c r="H26" s="38">
        <f t="shared" si="4"/>
        <v>116.68145503406895</v>
      </c>
      <c r="I26" s="38">
        <f t="shared" si="4"/>
        <v>9.7234545861724122</v>
      </c>
      <c r="J26" s="38">
        <f t="shared" si="4"/>
        <v>48.617272930862065</v>
      </c>
      <c r="K26" s="38">
        <f t="shared" si="4"/>
        <v>77.787636689379298</v>
      </c>
      <c r="L26" s="38">
        <f t="shared" si="4"/>
        <v>14.585181879258618</v>
      </c>
      <c r="M26" s="38">
        <f t="shared" si="5"/>
        <v>972.34545861724121</v>
      </c>
      <c r="O26" s="18" t="s">
        <v>111</v>
      </c>
      <c r="P26" s="3" t="s">
        <v>15</v>
      </c>
      <c r="Q26" s="6">
        <f t="shared" ref="Q26:AP26" si="23">+Q8-($R$37*365*1000)</f>
        <v>5889137.6226283014</v>
      </c>
      <c r="R26" s="6">
        <f t="shared" si="23"/>
        <v>7265164.0230624527</v>
      </c>
      <c r="S26" s="6">
        <f t="shared" si="23"/>
        <v>15307956.311602727</v>
      </c>
      <c r="T26" s="6">
        <f t="shared" si="23"/>
        <v>14917652.745179147</v>
      </c>
      <c r="U26" s="6">
        <f t="shared" si="23"/>
        <v>9449569.867315121</v>
      </c>
      <c r="V26" s="6">
        <f t="shared" si="23"/>
        <v>14372312.643043719</v>
      </c>
      <c r="W26" s="6">
        <f t="shared" si="23"/>
        <v>16164001.357509591</v>
      </c>
      <c r="X26" s="6">
        <f t="shared" si="23"/>
        <v>17833759.498303339</v>
      </c>
      <c r="Y26" s="6">
        <f t="shared" si="23"/>
        <v>21080612.778223619</v>
      </c>
      <c r="Z26" s="6">
        <f t="shared" si="23"/>
        <v>21987983.184305571</v>
      </c>
      <c r="AA26" s="6">
        <f t="shared" si="23"/>
        <v>21809796.783846356</v>
      </c>
      <c r="AB26" s="6">
        <f t="shared" si="23"/>
        <v>26247008.250645787</v>
      </c>
      <c r="AC26" s="6">
        <f t="shared" si="23"/>
        <v>26250195.631265782</v>
      </c>
      <c r="AD26" s="6">
        <f t="shared" si="23"/>
        <v>25276817.646811038</v>
      </c>
      <c r="AE26" s="6">
        <f t="shared" si="23"/>
        <v>27731182.388412282</v>
      </c>
      <c r="AF26" s="6">
        <f t="shared" si="23"/>
        <v>27731182.388412282</v>
      </c>
      <c r="AG26" s="6">
        <f t="shared" si="23"/>
        <v>27731182.388412282</v>
      </c>
      <c r="AH26" s="6">
        <f t="shared" si="23"/>
        <v>27731182.388412282</v>
      </c>
      <c r="AI26" s="6">
        <f t="shared" si="23"/>
        <v>27731182.388412282</v>
      </c>
      <c r="AJ26" s="6">
        <f t="shared" si="23"/>
        <v>27731182.388412282</v>
      </c>
      <c r="AK26" s="6">
        <f t="shared" si="23"/>
        <v>27731182.388412282</v>
      </c>
      <c r="AL26" s="6">
        <f t="shared" si="23"/>
        <v>27731182.388412282</v>
      </c>
      <c r="AM26" s="6">
        <f t="shared" si="23"/>
        <v>27731182.388412282</v>
      </c>
      <c r="AN26" s="6">
        <f t="shared" si="23"/>
        <v>27731182.388412282</v>
      </c>
      <c r="AO26" s="6">
        <f t="shared" si="23"/>
        <v>27731182.388412282</v>
      </c>
      <c r="AP26" s="6">
        <f t="shared" si="23"/>
        <v>27731182.388412282</v>
      </c>
    </row>
    <row r="27" spans="1:42" x14ac:dyDescent="0.25">
      <c r="A27">
        <f t="shared" si="3"/>
        <v>2020</v>
      </c>
      <c r="B27" s="1">
        <v>44166</v>
      </c>
      <c r="C27" s="6">
        <v>889.70450593964642</v>
      </c>
      <c r="D27" s="38">
        <f t="shared" si="4"/>
        <v>302.49953201947983</v>
      </c>
      <c r="E27" s="38">
        <f t="shared" si="4"/>
        <v>284.70544190068688</v>
      </c>
      <c r="F27" s="38">
        <f t="shared" si="4"/>
        <v>35.58818023758586</v>
      </c>
      <c r="G27" s="38">
        <f t="shared" si="4"/>
        <v>22.242612648491161</v>
      </c>
      <c r="H27" s="38">
        <f t="shared" si="4"/>
        <v>106.76454071275757</v>
      </c>
      <c r="I27" s="38">
        <f t="shared" si="4"/>
        <v>8.8970450593964649</v>
      </c>
      <c r="J27" s="38">
        <f t="shared" si="4"/>
        <v>44.485225296982321</v>
      </c>
      <c r="K27" s="38">
        <f t="shared" si="4"/>
        <v>71.17636047517172</v>
      </c>
      <c r="L27" s="38">
        <f t="shared" si="4"/>
        <v>13.345567589094696</v>
      </c>
      <c r="M27" s="38">
        <f t="shared" si="5"/>
        <v>889.70450593964654</v>
      </c>
      <c r="O27" s="18" t="s">
        <v>6</v>
      </c>
      <c r="P27" s="3" t="s">
        <v>16</v>
      </c>
      <c r="Q27" s="6">
        <f t="shared" ref="Q27:AP27" si="24">+Q9</f>
        <v>3453784.2822405719</v>
      </c>
      <c r="R27" s="6">
        <f t="shared" si="24"/>
        <v>3568453.1489434182</v>
      </c>
      <c r="S27" s="6">
        <f t="shared" si="24"/>
        <v>4238685.8396551069</v>
      </c>
      <c r="T27" s="6">
        <f t="shared" si="24"/>
        <v>4206160.5424531419</v>
      </c>
      <c r="U27" s="6">
        <f t="shared" si="24"/>
        <v>3750486.9692978058</v>
      </c>
      <c r="V27" s="6">
        <f t="shared" si="24"/>
        <v>4160715.5339418561</v>
      </c>
      <c r="W27" s="6">
        <f t="shared" si="24"/>
        <v>4310022.9268140122</v>
      </c>
      <c r="X27" s="6">
        <f t="shared" si="24"/>
        <v>4449169.4385468252</v>
      </c>
      <c r="Y27" s="6">
        <f t="shared" si="24"/>
        <v>4719740.5452068485</v>
      </c>
      <c r="Z27" s="6">
        <f t="shared" si="24"/>
        <v>4795354.7457136782</v>
      </c>
      <c r="AA27" s="6">
        <f t="shared" si="24"/>
        <v>4780505.879008743</v>
      </c>
      <c r="AB27" s="6">
        <f t="shared" si="24"/>
        <v>5150273.5012420304</v>
      </c>
      <c r="AC27" s="6">
        <f t="shared" si="24"/>
        <v>5150539.1162936939</v>
      </c>
      <c r="AD27" s="6">
        <f t="shared" si="24"/>
        <v>5069424.2842557998</v>
      </c>
      <c r="AE27" s="6">
        <f t="shared" si="24"/>
        <v>5273954.6793892365</v>
      </c>
      <c r="AF27" s="19">
        <f t="shared" si="24"/>
        <v>5273954.6793892365</v>
      </c>
      <c r="AG27" s="19">
        <f t="shared" si="24"/>
        <v>5273954.6793892365</v>
      </c>
      <c r="AH27" s="19">
        <f t="shared" si="24"/>
        <v>5273954.6793892365</v>
      </c>
      <c r="AI27" s="19">
        <f t="shared" si="24"/>
        <v>5273954.6793892365</v>
      </c>
      <c r="AJ27" s="19">
        <f t="shared" si="24"/>
        <v>5273954.6793892365</v>
      </c>
      <c r="AK27" s="19">
        <f t="shared" si="24"/>
        <v>5273954.6793892365</v>
      </c>
      <c r="AL27" s="19">
        <f t="shared" si="24"/>
        <v>5273954.6793892365</v>
      </c>
      <c r="AM27" s="19">
        <f t="shared" si="24"/>
        <v>5273954.6793892365</v>
      </c>
      <c r="AN27" s="19">
        <f t="shared" si="24"/>
        <v>5273954.6793892365</v>
      </c>
      <c r="AO27" s="19">
        <f t="shared" si="24"/>
        <v>5273954.6793892365</v>
      </c>
      <c r="AP27" s="19">
        <f t="shared" si="24"/>
        <v>5273954.6793892365</v>
      </c>
    </row>
    <row r="28" spans="1:42" x14ac:dyDescent="0.25">
      <c r="A28">
        <f t="shared" si="3"/>
        <v>2021</v>
      </c>
      <c r="B28" s="1">
        <v>44197</v>
      </c>
      <c r="C28" s="6">
        <v>1200.9093638401359</v>
      </c>
      <c r="D28" s="38">
        <f t="shared" si="4"/>
        <v>408.30918370564626</v>
      </c>
      <c r="E28" s="38">
        <f t="shared" si="4"/>
        <v>384.29099642884353</v>
      </c>
      <c r="F28" s="38">
        <f t="shared" si="4"/>
        <v>48.036374553605441</v>
      </c>
      <c r="G28" s="38">
        <f t="shared" si="4"/>
        <v>30.022734096003401</v>
      </c>
      <c r="H28" s="38">
        <f t="shared" si="4"/>
        <v>144.10912366081629</v>
      </c>
      <c r="I28" s="38">
        <f t="shared" si="4"/>
        <v>12.00909363840136</v>
      </c>
      <c r="J28" s="38">
        <f t="shared" si="4"/>
        <v>60.045468192006801</v>
      </c>
      <c r="K28" s="38">
        <f t="shared" si="4"/>
        <v>96.072749107210882</v>
      </c>
      <c r="L28" s="38">
        <f t="shared" si="4"/>
        <v>18.013640457602037</v>
      </c>
      <c r="M28" s="38">
        <f t="shared" si="5"/>
        <v>1200.9093638401364</v>
      </c>
      <c r="O28" s="18" t="s">
        <v>7</v>
      </c>
      <c r="P28" s="3" t="s">
        <v>17</v>
      </c>
      <c r="Q28" s="6">
        <f t="shared" ref="Q28:AP28" si="25">+Q10</f>
        <v>17268921.411202855</v>
      </c>
      <c r="R28" s="6">
        <f t="shared" si="25"/>
        <v>17842265.744717091</v>
      </c>
      <c r="S28" s="6">
        <f t="shared" si="25"/>
        <v>21193429.198275544</v>
      </c>
      <c r="T28" s="6">
        <f t="shared" si="25"/>
        <v>21030802.712265711</v>
      </c>
      <c r="U28" s="6">
        <f t="shared" si="25"/>
        <v>18752434.846489031</v>
      </c>
      <c r="V28" s="6">
        <f t="shared" si="25"/>
        <v>20803577.669709284</v>
      </c>
      <c r="W28" s="6">
        <f t="shared" si="25"/>
        <v>21550114.634070057</v>
      </c>
      <c r="X28" s="6">
        <f t="shared" si="25"/>
        <v>22245847.192734126</v>
      </c>
      <c r="Y28" s="6">
        <f t="shared" si="25"/>
        <v>23598702.726034235</v>
      </c>
      <c r="Z28" s="6">
        <f t="shared" si="25"/>
        <v>23976773.72856839</v>
      </c>
      <c r="AA28" s="6">
        <f t="shared" si="25"/>
        <v>23902529.395043716</v>
      </c>
      <c r="AB28" s="6">
        <f t="shared" si="25"/>
        <v>25751367.506210148</v>
      </c>
      <c r="AC28" s="6">
        <f t="shared" si="25"/>
        <v>25752695.581468474</v>
      </c>
      <c r="AD28" s="6">
        <f t="shared" si="25"/>
        <v>25347121.421279002</v>
      </c>
      <c r="AE28" s="6">
        <f t="shared" si="25"/>
        <v>26369773.396946192</v>
      </c>
      <c r="AF28" s="19">
        <f t="shared" si="25"/>
        <v>26369773.396946192</v>
      </c>
      <c r="AG28" s="19">
        <f t="shared" si="25"/>
        <v>26369773.396946192</v>
      </c>
      <c r="AH28" s="19">
        <f t="shared" si="25"/>
        <v>26369773.396946192</v>
      </c>
      <c r="AI28" s="19">
        <f t="shared" si="25"/>
        <v>26369773.396946192</v>
      </c>
      <c r="AJ28" s="19">
        <f t="shared" si="25"/>
        <v>26369773.396946192</v>
      </c>
      <c r="AK28" s="19">
        <f t="shared" si="25"/>
        <v>26369773.396946192</v>
      </c>
      <c r="AL28" s="19">
        <f t="shared" si="25"/>
        <v>26369773.396946192</v>
      </c>
      <c r="AM28" s="19">
        <f t="shared" si="25"/>
        <v>26369773.396946192</v>
      </c>
      <c r="AN28" s="19">
        <f t="shared" si="25"/>
        <v>26369773.396946192</v>
      </c>
      <c r="AO28" s="19">
        <f t="shared" si="25"/>
        <v>26369773.396946192</v>
      </c>
      <c r="AP28" s="19">
        <f t="shared" si="25"/>
        <v>26369773.396946192</v>
      </c>
    </row>
    <row r="29" spans="1:42" ht="30" x14ac:dyDescent="0.25">
      <c r="A29">
        <f t="shared" si="3"/>
        <v>2021</v>
      </c>
      <c r="B29" s="1">
        <v>44228</v>
      </c>
      <c r="C29" s="6">
        <v>1178.4601366237771</v>
      </c>
      <c r="D29" s="38">
        <f t="shared" si="4"/>
        <v>400.67644645208424</v>
      </c>
      <c r="E29" s="38">
        <f t="shared" si="4"/>
        <v>377.10724371960868</v>
      </c>
      <c r="F29" s="38">
        <f t="shared" si="4"/>
        <v>47.138405464951084</v>
      </c>
      <c r="G29" s="38">
        <f t="shared" si="4"/>
        <v>29.461503415594429</v>
      </c>
      <c r="H29" s="38">
        <f t="shared" si="4"/>
        <v>141.41521639485325</v>
      </c>
      <c r="I29" s="38">
        <f t="shared" si="4"/>
        <v>11.784601366237771</v>
      </c>
      <c r="J29" s="38">
        <f t="shared" si="4"/>
        <v>58.923006831188857</v>
      </c>
      <c r="K29" s="38">
        <f t="shared" si="4"/>
        <v>94.276810929902169</v>
      </c>
      <c r="L29" s="38">
        <f t="shared" si="4"/>
        <v>17.676902049356656</v>
      </c>
      <c r="M29" s="38">
        <f t="shared" si="5"/>
        <v>1178.4601366237771</v>
      </c>
      <c r="O29" s="18" t="s">
        <v>112</v>
      </c>
      <c r="P29" s="3" t="s">
        <v>18</v>
      </c>
      <c r="Q29" s="6">
        <f t="shared" ref="Q29:AP29" si="26">+Q11-($S$37*365*1000)</f>
        <v>12086548.02218313</v>
      </c>
      <c r="R29" s="6">
        <f t="shared" si="26"/>
        <v>13003898.9558059</v>
      </c>
      <c r="S29" s="6">
        <f t="shared" si="26"/>
        <v>18365760.481499411</v>
      </c>
      <c r="T29" s="6">
        <f t="shared" si="26"/>
        <v>18105558.103883691</v>
      </c>
      <c r="U29" s="6">
        <f t="shared" si="26"/>
        <v>14460169.518641001</v>
      </c>
      <c r="V29" s="6">
        <f t="shared" si="26"/>
        <v>17741998.035793401</v>
      </c>
      <c r="W29" s="6">
        <f t="shared" si="26"/>
        <v>18936457.178770654</v>
      </c>
      <c r="X29" s="6">
        <f t="shared" si="26"/>
        <v>20049629.272633158</v>
      </c>
      <c r="Y29" s="6">
        <f t="shared" si="26"/>
        <v>22214198.125913344</v>
      </c>
      <c r="Z29" s="6">
        <f t="shared" si="26"/>
        <v>22819111.729967982</v>
      </c>
      <c r="AA29" s="6">
        <f t="shared" si="26"/>
        <v>22700320.7963285</v>
      </c>
      <c r="AB29" s="6">
        <f t="shared" si="26"/>
        <v>25658461.774194799</v>
      </c>
      <c r="AC29" s="6">
        <f t="shared" si="26"/>
        <v>25660586.694608107</v>
      </c>
      <c r="AD29" s="6">
        <f t="shared" si="26"/>
        <v>25011668.038304955</v>
      </c>
      <c r="AE29" s="6">
        <f t="shared" si="26"/>
        <v>26647911.199372448</v>
      </c>
      <c r="AF29" s="6">
        <f t="shared" si="26"/>
        <v>26647911.199372448</v>
      </c>
      <c r="AG29" s="6">
        <f t="shared" si="26"/>
        <v>26647911.199372448</v>
      </c>
      <c r="AH29" s="6">
        <f t="shared" si="26"/>
        <v>26647911.199372448</v>
      </c>
      <c r="AI29" s="6">
        <f t="shared" si="26"/>
        <v>26647911.199372448</v>
      </c>
      <c r="AJ29" s="6">
        <f t="shared" si="26"/>
        <v>26647911.199372448</v>
      </c>
      <c r="AK29" s="6">
        <f t="shared" si="26"/>
        <v>26647911.199372448</v>
      </c>
      <c r="AL29" s="6">
        <f t="shared" si="26"/>
        <v>26647911.199372448</v>
      </c>
      <c r="AM29" s="6">
        <f t="shared" si="26"/>
        <v>26647911.199372448</v>
      </c>
      <c r="AN29" s="6">
        <f t="shared" si="26"/>
        <v>26647911.199372448</v>
      </c>
      <c r="AO29" s="6">
        <f t="shared" si="26"/>
        <v>26647911.199372448</v>
      </c>
      <c r="AP29" s="6">
        <f t="shared" si="26"/>
        <v>26647911.199372448</v>
      </c>
    </row>
    <row r="30" spans="1:42" x14ac:dyDescent="0.25">
      <c r="A30">
        <f t="shared" si="3"/>
        <v>2021</v>
      </c>
      <c r="B30" s="1">
        <v>44256</v>
      </c>
      <c r="C30" s="6">
        <v>1213.3264134104475</v>
      </c>
      <c r="D30" s="38">
        <f t="shared" si="4"/>
        <v>412.53098055955218</v>
      </c>
      <c r="E30" s="38">
        <f t="shared" si="4"/>
        <v>388.26445229134322</v>
      </c>
      <c r="F30" s="38">
        <f t="shared" si="4"/>
        <v>48.533056536417902</v>
      </c>
      <c r="G30" s="38">
        <f t="shared" si="4"/>
        <v>30.333160335261187</v>
      </c>
      <c r="H30" s="38">
        <f t="shared" si="4"/>
        <v>145.59916960925369</v>
      </c>
      <c r="I30" s="38">
        <f t="shared" si="4"/>
        <v>12.133264134104476</v>
      </c>
      <c r="J30" s="38">
        <f t="shared" si="4"/>
        <v>60.666320670522374</v>
      </c>
      <c r="K30" s="38">
        <f t="shared" si="4"/>
        <v>97.066113072835805</v>
      </c>
      <c r="L30" s="38">
        <f t="shared" si="4"/>
        <v>18.199896201156712</v>
      </c>
      <c r="M30" s="38">
        <f t="shared" si="5"/>
        <v>1213.3264134104472</v>
      </c>
      <c r="O30" s="18" t="s">
        <v>9</v>
      </c>
      <c r="P30" s="3" t="s">
        <v>19</v>
      </c>
      <c r="Q30" s="6">
        <f t="shared" ref="Q30:AP30" si="27">+Q12</f>
        <v>5180676.4233608572</v>
      </c>
      <c r="R30" s="6">
        <f t="shared" si="27"/>
        <v>5352679.7234151261</v>
      </c>
      <c r="S30" s="6">
        <f t="shared" si="27"/>
        <v>6358028.7594826603</v>
      </c>
      <c r="T30" s="6">
        <f t="shared" si="27"/>
        <v>6309240.8136797128</v>
      </c>
      <c r="U30" s="6">
        <f t="shared" si="27"/>
        <v>5625730.4539467096</v>
      </c>
      <c r="V30" s="6">
        <f t="shared" si="27"/>
        <v>6241073.3009127844</v>
      </c>
      <c r="W30" s="6">
        <f t="shared" si="27"/>
        <v>6465034.3902210183</v>
      </c>
      <c r="X30" s="6">
        <f t="shared" si="27"/>
        <v>6673754.1578202369</v>
      </c>
      <c r="Y30" s="6">
        <f t="shared" si="27"/>
        <v>7079610.8178102719</v>
      </c>
      <c r="Z30" s="6">
        <f t="shared" si="27"/>
        <v>7193032.1185705159</v>
      </c>
      <c r="AA30" s="6">
        <f t="shared" si="27"/>
        <v>7170758.818513114</v>
      </c>
      <c r="AB30" s="6">
        <f t="shared" si="27"/>
        <v>7725410.2518630428</v>
      </c>
      <c r="AC30" s="6">
        <f t="shared" si="27"/>
        <v>7725808.6744405422</v>
      </c>
      <c r="AD30" s="6">
        <f t="shared" si="27"/>
        <v>7604136.4263836993</v>
      </c>
      <c r="AE30" s="6">
        <f t="shared" si="27"/>
        <v>7910932.0190838547</v>
      </c>
      <c r="AF30" s="19">
        <f t="shared" si="27"/>
        <v>7910932.0190838547</v>
      </c>
      <c r="AG30" s="19">
        <f t="shared" si="27"/>
        <v>7910932.0190838547</v>
      </c>
      <c r="AH30" s="19">
        <f t="shared" si="27"/>
        <v>7910932.0190838547</v>
      </c>
      <c r="AI30" s="19">
        <f t="shared" si="27"/>
        <v>7910932.0190838547</v>
      </c>
      <c r="AJ30" s="19">
        <f t="shared" si="27"/>
        <v>7910932.0190838547</v>
      </c>
      <c r="AK30" s="19">
        <f t="shared" si="27"/>
        <v>7910932.0190838547</v>
      </c>
      <c r="AL30" s="19">
        <f t="shared" si="27"/>
        <v>7910932.0190838547</v>
      </c>
      <c r="AM30" s="19">
        <f t="shared" si="27"/>
        <v>7910932.0190838547</v>
      </c>
      <c r="AN30" s="19">
        <f t="shared" si="27"/>
        <v>7910932.0190838547</v>
      </c>
      <c r="AO30" s="19">
        <f t="shared" si="27"/>
        <v>7910932.0190838547</v>
      </c>
      <c r="AP30" s="19">
        <f t="shared" si="27"/>
        <v>7910932.0190838547</v>
      </c>
    </row>
    <row r="31" spans="1:42" x14ac:dyDescent="0.25">
      <c r="A31">
        <f t="shared" si="3"/>
        <v>2021</v>
      </c>
      <c r="B31" s="1">
        <v>44287</v>
      </c>
      <c r="C31" s="6">
        <v>1141.5047518390161</v>
      </c>
      <c r="D31" s="38">
        <f t="shared" si="4"/>
        <v>388.11161562526547</v>
      </c>
      <c r="E31" s="38">
        <f t="shared" si="4"/>
        <v>365.28152058848514</v>
      </c>
      <c r="F31" s="38">
        <f t="shared" si="4"/>
        <v>45.660190073560642</v>
      </c>
      <c r="G31" s="38">
        <f t="shared" si="4"/>
        <v>28.537618795975405</v>
      </c>
      <c r="H31" s="38">
        <f t="shared" si="4"/>
        <v>136.98057022068193</v>
      </c>
      <c r="I31" s="38">
        <f t="shared" si="4"/>
        <v>11.415047518390161</v>
      </c>
      <c r="J31" s="38">
        <f t="shared" si="4"/>
        <v>57.07523759195081</v>
      </c>
      <c r="K31" s="38">
        <f t="shared" si="4"/>
        <v>91.320380147121284</v>
      </c>
      <c r="L31" s="38">
        <f t="shared" si="4"/>
        <v>17.122571277585241</v>
      </c>
      <c r="M31" s="38">
        <f t="shared" si="5"/>
        <v>1141.5047518390161</v>
      </c>
    </row>
    <row r="32" spans="1:42" x14ac:dyDescent="0.25">
      <c r="A32">
        <f t="shared" si="3"/>
        <v>2021</v>
      </c>
      <c r="B32" s="1">
        <v>44317</v>
      </c>
      <c r="C32" s="6">
        <v>1186.8195800407098</v>
      </c>
      <c r="D32" s="38">
        <f t="shared" si="4"/>
        <v>403.51865721384132</v>
      </c>
      <c r="E32" s="38">
        <f t="shared" si="4"/>
        <v>379.78226561302711</v>
      </c>
      <c r="F32" s="38">
        <f t="shared" si="4"/>
        <v>47.472783201628388</v>
      </c>
      <c r="G32" s="38">
        <f t="shared" si="4"/>
        <v>29.670489501017745</v>
      </c>
      <c r="H32" s="38">
        <f t="shared" si="4"/>
        <v>142.41834960488515</v>
      </c>
      <c r="I32" s="38">
        <f t="shared" si="4"/>
        <v>11.868195800407097</v>
      </c>
      <c r="J32" s="38">
        <f t="shared" si="4"/>
        <v>59.340979002035489</v>
      </c>
      <c r="K32" s="38">
        <f t="shared" si="4"/>
        <v>94.945566403256777</v>
      </c>
      <c r="L32" s="38">
        <f t="shared" si="4"/>
        <v>17.802293700610644</v>
      </c>
      <c r="M32" s="38">
        <f t="shared" si="5"/>
        <v>1186.8195800407098</v>
      </c>
    </row>
    <row r="33" spans="1:43" x14ac:dyDescent="0.25">
      <c r="A33">
        <f t="shared" si="3"/>
        <v>2021</v>
      </c>
      <c r="B33" s="1">
        <v>44348</v>
      </c>
      <c r="C33" s="6">
        <v>1156.7981129016175</v>
      </c>
      <c r="D33" s="38">
        <f t="shared" si="4"/>
        <v>393.31135838654995</v>
      </c>
      <c r="E33" s="38">
        <f t="shared" si="4"/>
        <v>370.1753961285176</v>
      </c>
      <c r="F33" s="38">
        <f t="shared" si="4"/>
        <v>46.271924516064701</v>
      </c>
      <c r="G33" s="38">
        <f t="shared" si="4"/>
        <v>28.919952822540438</v>
      </c>
      <c r="H33" s="38">
        <f t="shared" si="4"/>
        <v>138.8157735481941</v>
      </c>
      <c r="I33" s="38">
        <f t="shared" si="4"/>
        <v>11.567981129016175</v>
      </c>
      <c r="J33" s="38">
        <f t="shared" si="4"/>
        <v>57.839905645080876</v>
      </c>
      <c r="K33" s="38">
        <f t="shared" si="4"/>
        <v>92.543849032129401</v>
      </c>
      <c r="L33" s="38">
        <f t="shared" si="4"/>
        <v>17.351971693524263</v>
      </c>
      <c r="M33" s="38">
        <f t="shared" si="5"/>
        <v>1156.7981129016175</v>
      </c>
      <c r="P33" s="111" t="s">
        <v>86</v>
      </c>
      <c r="Q33" s="7">
        <f>+SUM(Q22:Q30)</f>
        <v>294278428.2240572</v>
      </c>
      <c r="R33" s="7">
        <f t="shared" ref="R33:AP33" si="28">+SUM(R22:R30)</f>
        <v>305745314.89434183</v>
      </c>
      <c r="S33" s="7">
        <f t="shared" si="28"/>
        <v>372768583.96551085</v>
      </c>
      <c r="T33" s="7">
        <f t="shared" si="28"/>
        <v>369516054.2453143</v>
      </c>
      <c r="U33" s="7">
        <f t="shared" si="28"/>
        <v>323948696.9297806</v>
      </c>
      <c r="V33" s="7">
        <f t="shared" si="28"/>
        <v>364971553.3941856</v>
      </c>
      <c r="W33" s="7">
        <f t="shared" si="28"/>
        <v>379902292.68140113</v>
      </c>
      <c r="X33" s="7">
        <f t="shared" si="28"/>
        <v>393816943.85468251</v>
      </c>
      <c r="Y33" s="7">
        <f t="shared" si="28"/>
        <v>420874054.52068484</v>
      </c>
      <c r="Z33" s="7">
        <f t="shared" si="28"/>
        <v>428435474.5713678</v>
      </c>
      <c r="AA33" s="7">
        <f t="shared" si="28"/>
        <v>426950587.90087432</v>
      </c>
      <c r="AB33" s="7">
        <f t="shared" si="28"/>
        <v>463927350.12420291</v>
      </c>
      <c r="AC33" s="7">
        <f t="shared" si="28"/>
        <v>463953911.62936938</v>
      </c>
      <c r="AD33" s="7">
        <f t="shared" si="28"/>
        <v>455842428.42557997</v>
      </c>
      <c r="AE33" s="7">
        <f t="shared" si="28"/>
        <v>476295467.93892372</v>
      </c>
      <c r="AF33" s="7">
        <f t="shared" si="28"/>
        <v>476295467.93892372</v>
      </c>
      <c r="AG33" s="7">
        <f t="shared" si="28"/>
        <v>476295467.93892372</v>
      </c>
      <c r="AH33" s="7">
        <f t="shared" si="28"/>
        <v>476295467.93892372</v>
      </c>
      <c r="AI33" s="7">
        <f t="shared" si="28"/>
        <v>476295467.93892372</v>
      </c>
      <c r="AJ33" s="7">
        <f t="shared" si="28"/>
        <v>476295467.93892372</v>
      </c>
      <c r="AK33" s="7">
        <f t="shared" si="28"/>
        <v>476295467.93892372</v>
      </c>
      <c r="AL33" s="7">
        <f t="shared" si="28"/>
        <v>476295467.93892372</v>
      </c>
      <c r="AM33" s="7">
        <f t="shared" si="28"/>
        <v>476295467.93892372</v>
      </c>
      <c r="AN33" s="7">
        <f t="shared" si="28"/>
        <v>476295467.93892372</v>
      </c>
      <c r="AO33" s="7">
        <f t="shared" si="28"/>
        <v>476295467.93892372</v>
      </c>
      <c r="AP33" s="7">
        <f t="shared" si="28"/>
        <v>476295467.93892372</v>
      </c>
      <c r="AQ33" s="7"/>
    </row>
    <row r="34" spans="1:43" x14ac:dyDescent="0.25">
      <c r="A34">
        <f t="shared" si="3"/>
        <v>2021</v>
      </c>
      <c r="B34" s="1">
        <v>44378</v>
      </c>
      <c r="C34" s="6">
        <v>1073.8456890608152</v>
      </c>
      <c r="D34" s="38">
        <f t="shared" si="4"/>
        <v>365.10753428067721</v>
      </c>
      <c r="E34" s="38">
        <f t="shared" si="4"/>
        <v>343.63062049946086</v>
      </c>
      <c r="F34" s="38">
        <f t="shared" si="4"/>
        <v>42.953827562432608</v>
      </c>
      <c r="G34" s="38">
        <f t="shared" si="4"/>
        <v>26.846142226520382</v>
      </c>
      <c r="H34" s="38">
        <f t="shared" si="4"/>
        <v>128.86148268729781</v>
      </c>
      <c r="I34" s="38">
        <f t="shared" si="4"/>
        <v>10.738456890608152</v>
      </c>
      <c r="J34" s="38">
        <f t="shared" si="4"/>
        <v>53.692284453040763</v>
      </c>
      <c r="K34" s="38">
        <f t="shared" si="4"/>
        <v>85.907655124865215</v>
      </c>
      <c r="L34" s="38">
        <f t="shared" si="4"/>
        <v>16.107685335912226</v>
      </c>
      <c r="M34" s="38">
        <f t="shared" si="5"/>
        <v>1073.8456890608152</v>
      </c>
    </row>
    <row r="35" spans="1:43" ht="30" x14ac:dyDescent="0.25">
      <c r="A35">
        <f t="shared" si="3"/>
        <v>2021</v>
      </c>
      <c r="B35" s="1">
        <v>44409</v>
      </c>
      <c r="C35" s="6">
        <v>1061.2020677251753</v>
      </c>
      <c r="D35" s="38">
        <f t="shared" si="4"/>
        <v>360.80870302655961</v>
      </c>
      <c r="E35" s="38">
        <f t="shared" si="4"/>
        <v>339.58466167205609</v>
      </c>
      <c r="F35" s="38">
        <f t="shared" si="4"/>
        <v>42.448082709007011</v>
      </c>
      <c r="G35" s="38">
        <f t="shared" si="4"/>
        <v>26.530051693129383</v>
      </c>
      <c r="H35" s="38">
        <f t="shared" si="4"/>
        <v>127.34424812702103</v>
      </c>
      <c r="I35" s="38">
        <f t="shared" si="4"/>
        <v>10.612020677251753</v>
      </c>
      <c r="J35" s="38">
        <f t="shared" si="4"/>
        <v>53.060103386258767</v>
      </c>
      <c r="K35" s="38">
        <f t="shared" si="4"/>
        <v>84.896165418014021</v>
      </c>
      <c r="L35" s="38">
        <f t="shared" si="4"/>
        <v>15.918031015877629</v>
      </c>
      <c r="M35" s="38">
        <f t="shared" si="5"/>
        <v>1061.2020677251753</v>
      </c>
      <c r="O35" s="32"/>
      <c r="P35" s="158" t="s">
        <v>113</v>
      </c>
      <c r="Q35" s="156" t="s">
        <v>53</v>
      </c>
      <c r="R35" s="157" t="s">
        <v>114</v>
      </c>
      <c r="S35" s="157" t="s">
        <v>8</v>
      </c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</row>
    <row r="36" spans="1:43" x14ac:dyDescent="0.25">
      <c r="A36">
        <f t="shared" si="3"/>
        <v>2021</v>
      </c>
      <c r="B36" s="1">
        <v>44440</v>
      </c>
      <c r="C36" s="6">
        <v>1130.4743204678548</v>
      </c>
      <c r="D36" s="38">
        <f t="shared" si="4"/>
        <v>384.36126895907069</v>
      </c>
      <c r="E36" s="38">
        <f t="shared" si="4"/>
        <v>361.75178254971354</v>
      </c>
      <c r="F36" s="38">
        <f t="shared" si="4"/>
        <v>45.218972818714192</v>
      </c>
      <c r="G36" s="38">
        <f t="shared" si="4"/>
        <v>28.261858011696372</v>
      </c>
      <c r="H36" s="38">
        <f t="shared" si="4"/>
        <v>135.65691845614256</v>
      </c>
      <c r="I36" s="38">
        <f t="shared" si="4"/>
        <v>11.304743204678548</v>
      </c>
      <c r="J36" s="38">
        <f t="shared" si="4"/>
        <v>56.523716023392744</v>
      </c>
      <c r="K36" s="38">
        <f t="shared" si="4"/>
        <v>90.437945637428385</v>
      </c>
      <c r="L36" s="38">
        <f t="shared" si="4"/>
        <v>16.95711480701782</v>
      </c>
      <c r="M36" s="38">
        <f t="shared" si="5"/>
        <v>1130.4743204678548</v>
      </c>
      <c r="O36" s="32"/>
      <c r="P36" s="154">
        <f>+'%  Planta'!F1</f>
        <v>0.35</v>
      </c>
      <c r="Q36" s="159">
        <f>400*P36</f>
        <v>140</v>
      </c>
      <c r="R36" s="154">
        <f>+R38/Q38</f>
        <v>0.69581749049429653</v>
      </c>
      <c r="S36" s="154">
        <f>+S38/Q38</f>
        <v>0.30418250950570341</v>
      </c>
      <c r="AQ36" s="7"/>
    </row>
    <row r="37" spans="1:43" x14ac:dyDescent="0.25">
      <c r="A37">
        <f t="shared" si="3"/>
        <v>2021</v>
      </c>
      <c r="B37" s="1">
        <v>44470</v>
      </c>
      <c r="C37" s="6">
        <v>1253.3394394035488</v>
      </c>
      <c r="D37" s="38">
        <f t="shared" ref="D37:L65" si="29">+$C37*D$1</f>
        <v>426.13540939720662</v>
      </c>
      <c r="E37" s="38">
        <f t="shared" si="29"/>
        <v>401.06862060913562</v>
      </c>
      <c r="F37" s="38">
        <f t="shared" si="29"/>
        <v>50.133577576141953</v>
      </c>
      <c r="G37" s="38">
        <f t="shared" si="29"/>
        <v>31.333485985088721</v>
      </c>
      <c r="H37" s="38">
        <f t="shared" si="29"/>
        <v>150.40073272842585</v>
      </c>
      <c r="I37" s="38">
        <f t="shared" si="29"/>
        <v>12.533394394035488</v>
      </c>
      <c r="J37" s="38">
        <f t="shared" si="29"/>
        <v>62.666971970177443</v>
      </c>
      <c r="K37" s="38">
        <f t="shared" si="29"/>
        <v>100.26715515228391</v>
      </c>
      <c r="L37" s="38">
        <f t="shared" si="29"/>
        <v>18.800091591053231</v>
      </c>
      <c r="M37" s="38">
        <f t="shared" si="5"/>
        <v>1253.3394394035488</v>
      </c>
      <c r="O37" s="32"/>
      <c r="P37" s="153"/>
      <c r="Q37" s="155"/>
      <c r="R37" s="155">
        <f>+Q36*R36</f>
        <v>97.414448669201519</v>
      </c>
      <c r="S37" s="155">
        <f>+Q36*S36</f>
        <v>42.585551330798481</v>
      </c>
    </row>
    <row r="38" spans="1:43" ht="45" x14ac:dyDescent="0.25">
      <c r="A38">
        <f t="shared" si="3"/>
        <v>2021</v>
      </c>
      <c r="B38" s="1">
        <v>44501</v>
      </c>
      <c r="C38" s="6">
        <v>1164.7427918548346</v>
      </c>
      <c r="D38" s="38">
        <f t="shared" si="29"/>
        <v>396.0125492306438</v>
      </c>
      <c r="E38" s="38">
        <f t="shared" si="29"/>
        <v>372.71769339354711</v>
      </c>
      <c r="F38" s="38">
        <f t="shared" si="29"/>
        <v>46.589711674193389</v>
      </c>
      <c r="G38" s="38">
        <f t="shared" si="29"/>
        <v>29.118569796370867</v>
      </c>
      <c r="H38" s="38">
        <f t="shared" si="29"/>
        <v>139.76913502258014</v>
      </c>
      <c r="I38" s="38">
        <f t="shared" si="29"/>
        <v>11.647427918548347</v>
      </c>
      <c r="J38" s="38">
        <f t="shared" si="29"/>
        <v>58.237139592741734</v>
      </c>
      <c r="K38" s="38">
        <f t="shared" si="29"/>
        <v>93.179423348386777</v>
      </c>
      <c r="L38" s="38">
        <f t="shared" si="29"/>
        <v>17.471141877822518</v>
      </c>
      <c r="M38" s="38">
        <f t="shared" si="5"/>
        <v>1164.7427918548344</v>
      </c>
      <c r="P38" s="160" t="s">
        <v>133</v>
      </c>
      <c r="Q38" s="155">
        <f>183+80</f>
        <v>263</v>
      </c>
      <c r="R38" s="155">
        <v>183</v>
      </c>
      <c r="S38" s="155">
        <v>80</v>
      </c>
    </row>
    <row r="39" spans="1:43" x14ac:dyDescent="0.25">
      <c r="A39">
        <f t="shared" si="3"/>
        <v>2021</v>
      </c>
      <c r="B39" s="1">
        <v>44531</v>
      </c>
      <c r="C39" s="6">
        <v>1173.9828330680389</v>
      </c>
      <c r="D39" s="38">
        <f t="shared" si="29"/>
        <v>399.15416324313327</v>
      </c>
      <c r="E39" s="38">
        <f t="shared" si="29"/>
        <v>375.67450658177245</v>
      </c>
      <c r="F39" s="38">
        <f t="shared" si="29"/>
        <v>46.959313322721556</v>
      </c>
      <c r="G39" s="38">
        <f t="shared" si="29"/>
        <v>29.349570826700973</v>
      </c>
      <c r="H39" s="38">
        <f t="shared" si="29"/>
        <v>140.87793996816467</v>
      </c>
      <c r="I39" s="38">
        <f t="shared" si="29"/>
        <v>11.739828330680389</v>
      </c>
      <c r="J39" s="38">
        <f t="shared" si="29"/>
        <v>58.699141653401945</v>
      </c>
      <c r="K39" s="38">
        <f t="shared" si="29"/>
        <v>93.918626645443112</v>
      </c>
      <c r="L39" s="38">
        <f t="shared" si="29"/>
        <v>17.609742496020584</v>
      </c>
      <c r="M39" s="38">
        <f t="shared" si="5"/>
        <v>1173.9828330680389</v>
      </c>
    </row>
    <row r="40" spans="1:43" x14ac:dyDescent="0.25">
      <c r="A40">
        <f t="shared" si="3"/>
        <v>2022</v>
      </c>
      <c r="B40" s="1">
        <v>44562</v>
      </c>
      <c r="C40" s="6">
        <v>1425.6291642084027</v>
      </c>
      <c r="D40" s="38">
        <f t="shared" si="29"/>
        <v>484.71391583085693</v>
      </c>
      <c r="E40" s="38">
        <f t="shared" si="29"/>
        <v>456.20133254668889</v>
      </c>
      <c r="F40" s="38">
        <f t="shared" si="29"/>
        <v>57.025166568336111</v>
      </c>
      <c r="G40" s="38">
        <f t="shared" si="29"/>
        <v>35.64072910521007</v>
      </c>
      <c r="H40" s="38">
        <f t="shared" si="29"/>
        <v>171.07549970500833</v>
      </c>
      <c r="I40" s="38">
        <f t="shared" si="29"/>
        <v>14.256291642084028</v>
      </c>
      <c r="J40" s="38">
        <f t="shared" si="29"/>
        <v>71.281458210420141</v>
      </c>
      <c r="K40" s="38">
        <f t="shared" si="29"/>
        <v>114.05033313667222</v>
      </c>
      <c r="L40" s="38">
        <f t="shared" si="29"/>
        <v>21.384437463126041</v>
      </c>
      <c r="M40" s="38">
        <f t="shared" si="5"/>
        <v>1425.6291642084027</v>
      </c>
    </row>
    <row r="41" spans="1:43" x14ac:dyDescent="0.25">
      <c r="A41">
        <f t="shared" si="3"/>
        <v>2022</v>
      </c>
      <c r="B41" s="1">
        <v>44593</v>
      </c>
      <c r="C41" s="6">
        <v>1327.1888275430215</v>
      </c>
      <c r="D41" s="38">
        <f t="shared" si="29"/>
        <v>451.24420136462732</v>
      </c>
      <c r="E41" s="38">
        <f t="shared" si="29"/>
        <v>424.70042481376686</v>
      </c>
      <c r="F41" s="38">
        <f t="shared" si="29"/>
        <v>53.087553101720857</v>
      </c>
      <c r="G41" s="38">
        <f t="shared" si="29"/>
        <v>33.179720688575536</v>
      </c>
      <c r="H41" s="38">
        <f t="shared" si="29"/>
        <v>159.26265930516257</v>
      </c>
      <c r="I41" s="38">
        <f t="shared" si="29"/>
        <v>13.271888275430214</v>
      </c>
      <c r="J41" s="38">
        <f t="shared" si="29"/>
        <v>66.359441377151072</v>
      </c>
      <c r="K41" s="38">
        <f t="shared" si="29"/>
        <v>106.17510620344171</v>
      </c>
      <c r="L41" s="38">
        <f t="shared" si="29"/>
        <v>19.907832413145321</v>
      </c>
      <c r="M41" s="38">
        <f t="shared" si="5"/>
        <v>1327.1888275430217</v>
      </c>
    </row>
    <row r="42" spans="1:43" x14ac:dyDescent="0.25">
      <c r="A42">
        <f t="shared" si="3"/>
        <v>2022</v>
      </c>
      <c r="B42" s="1">
        <v>44621</v>
      </c>
      <c r="C42" s="6">
        <v>1443.2870559636779</v>
      </c>
      <c r="D42" s="38">
        <f t="shared" si="29"/>
        <v>490.71759902765052</v>
      </c>
      <c r="E42" s="38">
        <f t="shared" si="29"/>
        <v>461.85185790837693</v>
      </c>
      <c r="F42" s="38">
        <f t="shared" si="29"/>
        <v>57.731482238547116</v>
      </c>
      <c r="G42" s="38">
        <f t="shared" si="29"/>
        <v>36.082176399091949</v>
      </c>
      <c r="H42" s="38">
        <f t="shared" si="29"/>
        <v>173.19444671564133</v>
      </c>
      <c r="I42" s="38">
        <f t="shared" si="29"/>
        <v>14.432870559636779</v>
      </c>
      <c r="J42" s="38">
        <f t="shared" si="29"/>
        <v>72.164352798183899</v>
      </c>
      <c r="K42" s="38">
        <f t="shared" si="29"/>
        <v>115.46296447709423</v>
      </c>
      <c r="L42" s="38">
        <f t="shared" si="29"/>
        <v>21.649305839455167</v>
      </c>
      <c r="M42" s="38">
        <f t="shared" si="5"/>
        <v>1443.2870559636776</v>
      </c>
      <c r="AQ42" s="127"/>
    </row>
    <row r="43" spans="1:43" x14ac:dyDescent="0.25">
      <c r="A43">
        <f t="shared" si="3"/>
        <v>2022</v>
      </c>
      <c r="B43" s="1">
        <v>44652</v>
      </c>
      <c r="C43" s="6">
        <v>1310.2979273505698</v>
      </c>
      <c r="D43" s="38">
        <f t="shared" si="29"/>
        <v>445.50129529919377</v>
      </c>
      <c r="E43" s="38">
        <f t="shared" si="29"/>
        <v>419.29533675218232</v>
      </c>
      <c r="F43" s="38">
        <f t="shared" si="29"/>
        <v>52.41191709402279</v>
      </c>
      <c r="G43" s="38">
        <f t="shared" si="29"/>
        <v>32.757448183764247</v>
      </c>
      <c r="H43" s="38">
        <f t="shared" si="29"/>
        <v>157.23575128206838</v>
      </c>
      <c r="I43" s="38">
        <f t="shared" si="29"/>
        <v>13.102979273505698</v>
      </c>
      <c r="J43" s="38">
        <f t="shared" si="29"/>
        <v>65.514896367528493</v>
      </c>
      <c r="K43" s="38">
        <f t="shared" si="29"/>
        <v>104.82383418804558</v>
      </c>
      <c r="L43" s="38">
        <f t="shared" si="29"/>
        <v>19.654468910258547</v>
      </c>
      <c r="M43" s="38">
        <f t="shared" si="5"/>
        <v>1310.29792735057</v>
      </c>
    </row>
    <row r="44" spans="1:43" x14ac:dyDescent="0.25">
      <c r="A44">
        <f t="shared" si="3"/>
        <v>2022</v>
      </c>
      <c r="B44" s="1">
        <v>44682</v>
      </c>
      <c r="C44" s="6">
        <v>1184.2541529867203</v>
      </c>
      <c r="D44" s="38">
        <f t="shared" si="29"/>
        <v>402.64641201548494</v>
      </c>
      <c r="E44" s="38">
        <f t="shared" si="29"/>
        <v>378.9613289557505</v>
      </c>
      <c r="F44" s="38">
        <f t="shared" si="29"/>
        <v>47.370166119468813</v>
      </c>
      <c r="G44" s="38">
        <f t="shared" si="29"/>
        <v>29.606353824668009</v>
      </c>
      <c r="H44" s="38">
        <f t="shared" si="29"/>
        <v>142.11049835840643</v>
      </c>
      <c r="I44" s="38">
        <f t="shared" si="29"/>
        <v>11.842541529867203</v>
      </c>
      <c r="J44" s="38">
        <f t="shared" si="29"/>
        <v>59.212707649336018</v>
      </c>
      <c r="K44" s="38">
        <f t="shared" si="29"/>
        <v>94.740332238937626</v>
      </c>
      <c r="L44" s="38">
        <f t="shared" si="29"/>
        <v>17.763812294800804</v>
      </c>
      <c r="M44" s="38">
        <f t="shared" si="5"/>
        <v>1184.2541529867201</v>
      </c>
    </row>
    <row r="45" spans="1:43" x14ac:dyDescent="0.25">
      <c r="A45">
        <f t="shared" si="3"/>
        <v>2022</v>
      </c>
      <c r="B45" s="1">
        <v>44713</v>
      </c>
      <c r="C45" s="6">
        <v>1171.7772588361634</v>
      </c>
      <c r="D45" s="38">
        <f t="shared" si="29"/>
        <v>398.40426800429555</v>
      </c>
      <c r="E45" s="38">
        <f t="shared" si="29"/>
        <v>374.96872282757226</v>
      </c>
      <c r="F45" s="38">
        <f t="shared" si="29"/>
        <v>46.871090353446533</v>
      </c>
      <c r="G45" s="38">
        <f t="shared" si="29"/>
        <v>29.294431470904087</v>
      </c>
      <c r="H45" s="38">
        <f t="shared" si="29"/>
        <v>140.6132710603396</v>
      </c>
      <c r="I45" s="38">
        <f t="shared" si="29"/>
        <v>11.717772588361633</v>
      </c>
      <c r="J45" s="38">
        <f t="shared" si="29"/>
        <v>58.588862941808173</v>
      </c>
      <c r="K45" s="38">
        <f t="shared" si="29"/>
        <v>93.742180706893066</v>
      </c>
      <c r="L45" s="38">
        <f t="shared" si="29"/>
        <v>17.57665888254245</v>
      </c>
      <c r="M45" s="38">
        <f t="shared" si="5"/>
        <v>1171.7772588361634</v>
      </c>
    </row>
    <row r="46" spans="1:43" x14ac:dyDescent="0.25">
      <c r="A46">
        <f t="shared" si="3"/>
        <v>2022</v>
      </c>
      <c r="B46" s="1">
        <v>44743</v>
      </c>
      <c r="C46" s="6">
        <v>985.12057780383009</v>
      </c>
      <c r="D46" s="38">
        <f t="shared" si="29"/>
        <v>334.94099645330226</v>
      </c>
      <c r="E46" s="38">
        <f t="shared" si="29"/>
        <v>315.23858489722562</v>
      </c>
      <c r="F46" s="38">
        <f t="shared" si="29"/>
        <v>39.404823112153203</v>
      </c>
      <c r="G46" s="38">
        <f t="shared" si="29"/>
        <v>24.628014445095754</v>
      </c>
      <c r="H46" s="38">
        <f t="shared" si="29"/>
        <v>118.2144693364596</v>
      </c>
      <c r="I46" s="38">
        <f t="shared" si="29"/>
        <v>9.8512057780383007</v>
      </c>
      <c r="J46" s="38">
        <f t="shared" si="29"/>
        <v>49.256028890191509</v>
      </c>
      <c r="K46" s="38">
        <f t="shared" si="29"/>
        <v>78.809646224306405</v>
      </c>
      <c r="L46" s="38">
        <f t="shared" si="29"/>
        <v>14.77680866705745</v>
      </c>
      <c r="M46" s="38">
        <f t="shared" si="5"/>
        <v>985.1205778038302</v>
      </c>
    </row>
    <row r="47" spans="1:43" x14ac:dyDescent="0.25">
      <c r="A47">
        <f t="shared" si="3"/>
        <v>2022</v>
      </c>
      <c r="B47" s="1">
        <v>44774</v>
      </c>
      <c r="C47" s="6">
        <v>993.01829914647772</v>
      </c>
      <c r="D47" s="38">
        <f t="shared" si="29"/>
        <v>337.62622170980245</v>
      </c>
      <c r="E47" s="38">
        <f t="shared" si="29"/>
        <v>317.76585572687287</v>
      </c>
      <c r="F47" s="38">
        <f t="shared" si="29"/>
        <v>39.720731965859109</v>
      </c>
      <c r="G47" s="38">
        <f t="shared" si="29"/>
        <v>24.825457478661946</v>
      </c>
      <c r="H47" s="38">
        <f t="shared" si="29"/>
        <v>119.16219589757732</v>
      </c>
      <c r="I47" s="38">
        <f t="shared" si="29"/>
        <v>9.9301829914647772</v>
      </c>
      <c r="J47" s="38">
        <f t="shared" si="29"/>
        <v>49.650914957323891</v>
      </c>
      <c r="K47" s="38">
        <f t="shared" si="29"/>
        <v>79.441463931718218</v>
      </c>
      <c r="L47" s="38">
        <f t="shared" si="29"/>
        <v>14.895274487197165</v>
      </c>
      <c r="M47" s="38">
        <f t="shared" si="5"/>
        <v>993.01829914647794</v>
      </c>
    </row>
    <row r="48" spans="1:43" x14ac:dyDescent="0.25">
      <c r="A48">
        <f t="shared" si="3"/>
        <v>2022</v>
      </c>
      <c r="B48" s="1">
        <v>44805</v>
      </c>
      <c r="C48" s="6">
        <v>992.60864559428558</v>
      </c>
      <c r="D48" s="38">
        <f t="shared" si="29"/>
        <v>337.48693950205711</v>
      </c>
      <c r="E48" s="38">
        <f t="shared" si="29"/>
        <v>317.63476659017141</v>
      </c>
      <c r="F48" s="38">
        <f t="shared" si="29"/>
        <v>39.704345823771426</v>
      </c>
      <c r="G48" s="38">
        <f t="shared" si="29"/>
        <v>24.815216139857142</v>
      </c>
      <c r="H48" s="38">
        <f t="shared" si="29"/>
        <v>119.11303747131427</v>
      </c>
      <c r="I48" s="38">
        <f t="shared" si="29"/>
        <v>9.9260864559428565</v>
      </c>
      <c r="J48" s="38">
        <f t="shared" si="29"/>
        <v>49.630432279714285</v>
      </c>
      <c r="K48" s="38">
        <f t="shared" si="29"/>
        <v>79.408691647542852</v>
      </c>
      <c r="L48" s="38">
        <f t="shared" si="29"/>
        <v>14.889129683914284</v>
      </c>
      <c r="M48" s="38">
        <f t="shared" si="5"/>
        <v>992.60864559428569</v>
      </c>
    </row>
    <row r="49" spans="1:13" x14ac:dyDescent="0.25">
      <c r="A49">
        <f t="shared" si="3"/>
        <v>2022</v>
      </c>
      <c r="B49" s="1">
        <v>44835</v>
      </c>
      <c r="C49" s="6">
        <v>996.69949657608709</v>
      </c>
      <c r="D49" s="38">
        <f t="shared" si="29"/>
        <v>338.87782883586965</v>
      </c>
      <c r="E49" s="38">
        <f t="shared" si="29"/>
        <v>318.9438389043479</v>
      </c>
      <c r="F49" s="38">
        <f t="shared" si="29"/>
        <v>39.867979863043487</v>
      </c>
      <c r="G49" s="38">
        <f t="shared" si="29"/>
        <v>24.917487414402178</v>
      </c>
      <c r="H49" s="38">
        <f t="shared" si="29"/>
        <v>119.60393958913045</v>
      </c>
      <c r="I49" s="38">
        <f t="shared" si="29"/>
        <v>9.9669949657608718</v>
      </c>
      <c r="J49" s="38">
        <f t="shared" si="29"/>
        <v>49.834974828804356</v>
      </c>
      <c r="K49" s="38">
        <f t="shared" si="29"/>
        <v>79.735959726086975</v>
      </c>
      <c r="L49" s="38">
        <f t="shared" si="29"/>
        <v>14.950492448641306</v>
      </c>
      <c r="M49" s="38">
        <f t="shared" si="5"/>
        <v>996.6994965760872</v>
      </c>
    </row>
    <row r="50" spans="1:13" x14ac:dyDescent="0.25">
      <c r="A50">
        <f t="shared" si="3"/>
        <v>2022</v>
      </c>
      <c r="B50" s="1">
        <v>44866</v>
      </c>
      <c r="C50" s="6">
        <v>998.75489426748391</v>
      </c>
      <c r="D50" s="38">
        <f t="shared" si="29"/>
        <v>339.57666405094454</v>
      </c>
      <c r="E50" s="38">
        <f t="shared" si="29"/>
        <v>319.60156616559487</v>
      </c>
      <c r="F50" s="38">
        <f t="shared" si="29"/>
        <v>39.950195770699359</v>
      </c>
      <c r="G50" s="38">
        <f t="shared" si="29"/>
        <v>24.9688723566871</v>
      </c>
      <c r="H50" s="38">
        <f t="shared" si="29"/>
        <v>119.85058731209807</v>
      </c>
      <c r="I50" s="38">
        <f t="shared" si="29"/>
        <v>9.9875489426748398</v>
      </c>
      <c r="J50" s="38">
        <f t="shared" si="29"/>
        <v>49.937744713374201</v>
      </c>
      <c r="K50" s="38">
        <f t="shared" si="29"/>
        <v>79.900391541398719</v>
      </c>
      <c r="L50" s="38">
        <f t="shared" si="29"/>
        <v>14.981323414012259</v>
      </c>
      <c r="M50" s="38">
        <f t="shared" si="5"/>
        <v>998.75489426748402</v>
      </c>
    </row>
    <row r="51" spans="1:13" x14ac:dyDescent="0.25">
      <c r="A51">
        <f t="shared" si="3"/>
        <v>2022</v>
      </c>
      <c r="B51" s="1">
        <v>44896</v>
      </c>
      <c r="C51" s="6">
        <v>999.83671600758362</v>
      </c>
      <c r="D51" s="38">
        <f t="shared" si="29"/>
        <v>339.94448344257847</v>
      </c>
      <c r="E51" s="38">
        <f t="shared" si="29"/>
        <v>319.94774912242679</v>
      </c>
      <c r="F51" s="38">
        <f t="shared" si="29"/>
        <v>39.993468640303348</v>
      </c>
      <c r="G51" s="38">
        <f t="shared" si="29"/>
        <v>24.995917900189593</v>
      </c>
      <c r="H51" s="38">
        <f t="shared" si="29"/>
        <v>119.98040592091003</v>
      </c>
      <c r="I51" s="38">
        <f t="shared" si="29"/>
        <v>9.998367160075837</v>
      </c>
      <c r="J51" s="38">
        <f t="shared" si="29"/>
        <v>49.991835800379185</v>
      </c>
      <c r="K51" s="38">
        <f t="shared" si="29"/>
        <v>79.986937280606696</v>
      </c>
      <c r="L51" s="38">
        <f t="shared" si="29"/>
        <v>14.997550740113754</v>
      </c>
      <c r="M51" s="38">
        <f t="shared" si="5"/>
        <v>999.83671600758373</v>
      </c>
    </row>
    <row r="52" spans="1:13" x14ac:dyDescent="0.25">
      <c r="A52">
        <f t="shared" si="3"/>
        <v>2023</v>
      </c>
      <c r="B52" s="1">
        <v>44927</v>
      </c>
      <c r="C52" s="6">
        <v>1008.9264195089644</v>
      </c>
      <c r="D52" s="38">
        <f t="shared" si="29"/>
        <v>343.03498263304789</v>
      </c>
      <c r="E52" s="38">
        <f t="shared" si="29"/>
        <v>322.85645424286861</v>
      </c>
      <c r="F52" s="38">
        <f t="shared" si="29"/>
        <v>40.357056780358576</v>
      </c>
      <c r="G52" s="38">
        <f t="shared" si="29"/>
        <v>25.223160487724112</v>
      </c>
      <c r="H52" s="38">
        <f t="shared" si="29"/>
        <v>121.07117034107573</v>
      </c>
      <c r="I52" s="38">
        <f t="shared" si="29"/>
        <v>10.089264195089644</v>
      </c>
      <c r="J52" s="38">
        <f t="shared" si="29"/>
        <v>50.446320975448224</v>
      </c>
      <c r="K52" s="38">
        <f t="shared" si="29"/>
        <v>80.714113560717152</v>
      </c>
      <c r="L52" s="38">
        <f t="shared" si="29"/>
        <v>15.133896292634466</v>
      </c>
      <c r="M52" s="38">
        <f t="shared" si="5"/>
        <v>1008.9264195089644</v>
      </c>
    </row>
    <row r="53" spans="1:13" x14ac:dyDescent="0.25">
      <c r="A53">
        <f t="shared" si="3"/>
        <v>2023</v>
      </c>
      <c r="B53" s="1">
        <v>44958</v>
      </c>
      <c r="C53" s="6">
        <v>1022.4421997200122</v>
      </c>
      <c r="D53" s="38">
        <f t="shared" si="29"/>
        <v>347.63034790480418</v>
      </c>
      <c r="E53" s="38">
        <f t="shared" si="29"/>
        <v>327.18150391040393</v>
      </c>
      <c r="F53" s="38">
        <f t="shared" si="29"/>
        <v>40.897687988800492</v>
      </c>
      <c r="G53" s="38">
        <f t="shared" si="29"/>
        <v>25.561054993000308</v>
      </c>
      <c r="H53" s="38">
        <f t="shared" si="29"/>
        <v>122.69306396640147</v>
      </c>
      <c r="I53" s="38">
        <f t="shared" si="29"/>
        <v>10.224421997200123</v>
      </c>
      <c r="J53" s="38">
        <f t="shared" si="29"/>
        <v>51.122109986000616</v>
      </c>
      <c r="K53" s="38">
        <f t="shared" si="29"/>
        <v>81.795375977600983</v>
      </c>
      <c r="L53" s="38">
        <f t="shared" si="29"/>
        <v>15.336632995800183</v>
      </c>
      <c r="M53" s="38">
        <f t="shared" si="5"/>
        <v>1022.4421997200124</v>
      </c>
    </row>
    <row r="54" spans="1:13" x14ac:dyDescent="0.25">
      <c r="A54">
        <f t="shared" si="3"/>
        <v>2023</v>
      </c>
      <c r="B54" s="1">
        <v>44986</v>
      </c>
      <c r="C54" s="6">
        <v>1014.1586269870858</v>
      </c>
      <c r="D54" s="38">
        <f t="shared" si="29"/>
        <v>344.81393317560918</v>
      </c>
      <c r="E54" s="38">
        <f t="shared" si="29"/>
        <v>324.53076063586747</v>
      </c>
      <c r="F54" s="38">
        <f t="shared" si="29"/>
        <v>40.566345079483433</v>
      </c>
      <c r="G54" s="38">
        <f t="shared" si="29"/>
        <v>25.353965674677145</v>
      </c>
      <c r="H54" s="38">
        <f t="shared" si="29"/>
        <v>121.69903523845029</v>
      </c>
      <c r="I54" s="38">
        <f t="shared" si="29"/>
        <v>10.141586269870858</v>
      </c>
      <c r="J54" s="38">
        <f t="shared" si="29"/>
        <v>50.70793134935429</v>
      </c>
      <c r="K54" s="38">
        <f t="shared" si="29"/>
        <v>81.132690158966867</v>
      </c>
      <c r="L54" s="38">
        <f t="shared" si="29"/>
        <v>15.212379404806287</v>
      </c>
      <c r="M54" s="38">
        <f t="shared" si="5"/>
        <v>1014.1586269870859</v>
      </c>
    </row>
    <row r="55" spans="1:13" x14ac:dyDescent="0.25">
      <c r="A55">
        <f t="shared" si="3"/>
        <v>2023</v>
      </c>
      <c r="B55" s="1">
        <v>45017</v>
      </c>
      <c r="C55" s="6">
        <v>1030.0004911576953</v>
      </c>
      <c r="D55" s="38">
        <f t="shared" si="29"/>
        <v>350.20016699361639</v>
      </c>
      <c r="E55" s="38">
        <f t="shared" si="29"/>
        <v>329.60015717046247</v>
      </c>
      <c r="F55" s="38">
        <f t="shared" si="29"/>
        <v>41.200019646307808</v>
      </c>
      <c r="G55" s="38">
        <f t="shared" si="29"/>
        <v>25.750012278942382</v>
      </c>
      <c r="H55" s="38">
        <f t="shared" si="29"/>
        <v>123.60005893892342</v>
      </c>
      <c r="I55" s="38">
        <f t="shared" si="29"/>
        <v>10.300004911576952</v>
      </c>
      <c r="J55" s="38">
        <f t="shared" si="29"/>
        <v>51.500024557884764</v>
      </c>
      <c r="K55" s="38">
        <f t="shared" si="29"/>
        <v>82.400039292615617</v>
      </c>
      <c r="L55" s="38">
        <f t="shared" si="29"/>
        <v>15.450007367365428</v>
      </c>
      <c r="M55" s="38">
        <f t="shared" si="5"/>
        <v>1030.0004911576953</v>
      </c>
    </row>
    <row r="56" spans="1:13" x14ac:dyDescent="0.25">
      <c r="A56">
        <f t="shared" si="3"/>
        <v>2023</v>
      </c>
      <c r="B56" s="1">
        <v>45047</v>
      </c>
      <c r="C56" s="6">
        <v>1019.5618328289618</v>
      </c>
      <c r="D56" s="38">
        <f t="shared" si="29"/>
        <v>346.65102316184704</v>
      </c>
      <c r="E56" s="38">
        <f t="shared" si="29"/>
        <v>326.25978650526775</v>
      </c>
      <c r="F56" s="38">
        <f t="shared" si="29"/>
        <v>40.782473313158469</v>
      </c>
      <c r="G56" s="38">
        <f t="shared" si="29"/>
        <v>25.489045820724044</v>
      </c>
      <c r="H56" s="38">
        <f t="shared" si="29"/>
        <v>122.3474199394754</v>
      </c>
      <c r="I56" s="38">
        <f t="shared" si="29"/>
        <v>10.195618328289617</v>
      </c>
      <c r="J56" s="38">
        <f t="shared" si="29"/>
        <v>50.978091641448088</v>
      </c>
      <c r="K56" s="38">
        <f t="shared" si="29"/>
        <v>81.564946626316939</v>
      </c>
      <c r="L56" s="38">
        <f t="shared" si="29"/>
        <v>15.293427492434425</v>
      </c>
      <c r="M56" s="38">
        <f t="shared" si="5"/>
        <v>1019.5618328289618</v>
      </c>
    </row>
    <row r="57" spans="1:13" x14ac:dyDescent="0.25">
      <c r="A57">
        <f t="shared" si="3"/>
        <v>2023</v>
      </c>
      <c r="B57" s="1">
        <v>45078</v>
      </c>
      <c r="C57" s="6">
        <v>1043.8566038196291</v>
      </c>
      <c r="D57" s="38">
        <f t="shared" si="29"/>
        <v>354.91124529867392</v>
      </c>
      <c r="E57" s="38">
        <f t="shared" si="29"/>
        <v>334.03411322228129</v>
      </c>
      <c r="F57" s="38">
        <f t="shared" si="29"/>
        <v>41.754264152785161</v>
      </c>
      <c r="G57" s="38">
        <f t="shared" si="29"/>
        <v>26.096415095490727</v>
      </c>
      <c r="H57" s="38">
        <f t="shared" si="29"/>
        <v>125.26279245835548</v>
      </c>
      <c r="I57" s="38">
        <f t="shared" si="29"/>
        <v>10.43856603819629</v>
      </c>
      <c r="J57" s="38">
        <f t="shared" si="29"/>
        <v>52.192830190981454</v>
      </c>
      <c r="K57" s="38">
        <f t="shared" si="29"/>
        <v>83.508528305570323</v>
      </c>
      <c r="L57" s="38">
        <f t="shared" si="29"/>
        <v>15.657849057294435</v>
      </c>
      <c r="M57" s="38">
        <f t="shared" si="5"/>
        <v>1043.8566038196293</v>
      </c>
    </row>
    <row r="58" spans="1:13" x14ac:dyDescent="0.25">
      <c r="A58">
        <f t="shared" si="3"/>
        <v>2023</v>
      </c>
      <c r="B58" s="1">
        <v>45108</v>
      </c>
      <c r="C58" s="6">
        <v>1024.270649544339</v>
      </c>
      <c r="D58" s="38">
        <f t="shared" si="29"/>
        <v>348.25202084507526</v>
      </c>
      <c r="E58" s="38">
        <f t="shared" si="29"/>
        <v>327.76660785418846</v>
      </c>
      <c r="F58" s="38">
        <f t="shared" si="29"/>
        <v>40.970825981773558</v>
      </c>
      <c r="G58" s="38">
        <f t="shared" si="29"/>
        <v>25.606766238608476</v>
      </c>
      <c r="H58" s="38">
        <f t="shared" si="29"/>
        <v>122.91247794532067</v>
      </c>
      <c r="I58" s="38">
        <f t="shared" si="29"/>
        <v>10.24270649544339</v>
      </c>
      <c r="J58" s="38">
        <f t="shared" si="29"/>
        <v>51.213532477216951</v>
      </c>
      <c r="K58" s="38">
        <f t="shared" si="29"/>
        <v>81.941651963547116</v>
      </c>
      <c r="L58" s="38">
        <f t="shared" si="29"/>
        <v>15.364059743165084</v>
      </c>
      <c r="M58" s="38">
        <f t="shared" si="5"/>
        <v>1024.270649544339</v>
      </c>
    </row>
    <row r="59" spans="1:13" x14ac:dyDescent="0.25">
      <c r="A59">
        <f t="shared" si="3"/>
        <v>2023</v>
      </c>
      <c r="B59" s="1">
        <v>45139</v>
      </c>
      <c r="C59" s="6">
        <v>1030.7264783835847</v>
      </c>
      <c r="D59" s="38">
        <f t="shared" si="29"/>
        <v>350.44700265041882</v>
      </c>
      <c r="E59" s="38">
        <f t="shared" si="29"/>
        <v>329.83247308274707</v>
      </c>
      <c r="F59" s="38">
        <f t="shared" si="29"/>
        <v>41.229059135343384</v>
      </c>
      <c r="G59" s="38">
        <f t="shared" si="29"/>
        <v>25.768161959589619</v>
      </c>
      <c r="H59" s="38">
        <f t="shared" si="29"/>
        <v>123.68717740603016</v>
      </c>
      <c r="I59" s="38">
        <f t="shared" si="29"/>
        <v>10.307264783835846</v>
      </c>
      <c r="J59" s="38">
        <f t="shared" si="29"/>
        <v>51.536323919179239</v>
      </c>
      <c r="K59" s="38">
        <f t="shared" si="29"/>
        <v>82.458118270686768</v>
      </c>
      <c r="L59" s="38">
        <f t="shared" si="29"/>
        <v>15.46089717575377</v>
      </c>
      <c r="M59" s="38">
        <f t="shared" si="5"/>
        <v>1030.7264783835849</v>
      </c>
    </row>
    <row r="60" spans="1:13" x14ac:dyDescent="0.25">
      <c r="A60">
        <f t="shared" si="3"/>
        <v>2023</v>
      </c>
      <c r="B60" s="1">
        <v>45170</v>
      </c>
      <c r="C60" s="6">
        <v>1029.8443886327877</v>
      </c>
      <c r="D60" s="38">
        <f t="shared" si="29"/>
        <v>350.14709213514783</v>
      </c>
      <c r="E60" s="38">
        <f t="shared" si="29"/>
        <v>329.55020436249208</v>
      </c>
      <c r="F60" s="38">
        <f t="shared" si="29"/>
        <v>41.19377554531151</v>
      </c>
      <c r="G60" s="38">
        <f t="shared" si="29"/>
        <v>25.746109715819696</v>
      </c>
      <c r="H60" s="38">
        <f t="shared" si="29"/>
        <v>123.58132663593453</v>
      </c>
      <c r="I60" s="38">
        <f t="shared" si="29"/>
        <v>10.298443886327878</v>
      </c>
      <c r="J60" s="38">
        <f t="shared" si="29"/>
        <v>51.492219431639391</v>
      </c>
      <c r="K60" s="38">
        <f t="shared" si="29"/>
        <v>82.38755109062302</v>
      </c>
      <c r="L60" s="38">
        <f t="shared" si="29"/>
        <v>15.447665829491816</v>
      </c>
      <c r="M60" s="38">
        <f t="shared" si="5"/>
        <v>1029.8443886327875</v>
      </c>
    </row>
    <row r="61" spans="1:13" x14ac:dyDescent="0.25">
      <c r="A61">
        <f t="shared" si="3"/>
        <v>2023</v>
      </c>
      <c r="B61" s="1">
        <v>45200</v>
      </c>
      <c r="C61" s="6">
        <v>1038.9773588075018</v>
      </c>
      <c r="D61" s="38">
        <f t="shared" si="29"/>
        <v>353.25230199455063</v>
      </c>
      <c r="E61" s="38">
        <f t="shared" si="29"/>
        <v>332.47275481840057</v>
      </c>
      <c r="F61" s="38">
        <f t="shared" si="29"/>
        <v>41.559094352300072</v>
      </c>
      <c r="G61" s="38">
        <f t="shared" si="29"/>
        <v>25.974433970187548</v>
      </c>
      <c r="H61" s="38">
        <f t="shared" si="29"/>
        <v>124.67728305690021</v>
      </c>
      <c r="I61" s="38">
        <f t="shared" si="29"/>
        <v>10.389773588075018</v>
      </c>
      <c r="J61" s="38">
        <f t="shared" si="29"/>
        <v>51.948867940375095</v>
      </c>
      <c r="K61" s="38">
        <f t="shared" si="29"/>
        <v>83.118188704600144</v>
      </c>
      <c r="L61" s="38">
        <f t="shared" si="29"/>
        <v>15.584660382112526</v>
      </c>
      <c r="M61" s="38">
        <f t="shared" si="5"/>
        <v>1038.9773588075018</v>
      </c>
    </row>
    <row r="62" spans="1:13" x14ac:dyDescent="0.25">
      <c r="A62">
        <f t="shared" si="3"/>
        <v>2023</v>
      </c>
      <c r="B62" s="1">
        <v>45231</v>
      </c>
      <c r="C62" s="6">
        <v>1040.7953855710284</v>
      </c>
      <c r="D62" s="38">
        <f t="shared" si="29"/>
        <v>353.87043109414969</v>
      </c>
      <c r="E62" s="38">
        <f t="shared" si="29"/>
        <v>333.05452338272909</v>
      </c>
      <c r="F62" s="38">
        <f t="shared" si="29"/>
        <v>41.631815422841136</v>
      </c>
      <c r="G62" s="38">
        <f t="shared" si="29"/>
        <v>26.019884639275713</v>
      </c>
      <c r="H62" s="38">
        <f t="shared" si="29"/>
        <v>124.8954462685234</v>
      </c>
      <c r="I62" s="38">
        <f t="shared" si="29"/>
        <v>10.407953855710284</v>
      </c>
      <c r="J62" s="38">
        <f t="shared" si="29"/>
        <v>52.039769278551425</v>
      </c>
      <c r="K62" s="38">
        <f t="shared" si="29"/>
        <v>83.263630845682272</v>
      </c>
      <c r="L62" s="38">
        <f t="shared" si="29"/>
        <v>15.611930783565425</v>
      </c>
      <c r="M62" s="38">
        <f t="shared" si="5"/>
        <v>1040.7953855710284</v>
      </c>
    </row>
    <row r="63" spans="1:13" x14ac:dyDescent="0.25">
      <c r="A63">
        <f t="shared" si="3"/>
        <v>2023</v>
      </c>
      <c r="B63" s="1">
        <v>45261</v>
      </c>
      <c r="C63" s="6">
        <v>1026.8076832777733</v>
      </c>
      <c r="D63" s="38">
        <f t="shared" si="29"/>
        <v>349.11461231444298</v>
      </c>
      <c r="E63" s="38">
        <f t="shared" si="29"/>
        <v>328.57845864888748</v>
      </c>
      <c r="F63" s="38">
        <f t="shared" si="29"/>
        <v>41.072307331110935</v>
      </c>
      <c r="G63" s="38">
        <f t="shared" si="29"/>
        <v>25.670192081944336</v>
      </c>
      <c r="H63" s="38">
        <f t="shared" si="29"/>
        <v>123.21692199333279</v>
      </c>
      <c r="I63" s="38">
        <f t="shared" si="29"/>
        <v>10.268076832777734</v>
      </c>
      <c r="J63" s="38">
        <f t="shared" si="29"/>
        <v>51.340384163888672</v>
      </c>
      <c r="K63" s="38">
        <f t="shared" si="29"/>
        <v>82.144614662221869</v>
      </c>
      <c r="L63" s="38">
        <f t="shared" si="29"/>
        <v>15.402115249166599</v>
      </c>
      <c r="M63" s="38">
        <f t="shared" si="5"/>
        <v>1026.8076832777733</v>
      </c>
    </row>
    <row r="64" spans="1:13" x14ac:dyDescent="0.25">
      <c r="A64">
        <f t="shared" si="3"/>
        <v>2024</v>
      </c>
      <c r="B64" s="1">
        <v>45292</v>
      </c>
      <c r="C64" s="6">
        <v>1090.4130736027735</v>
      </c>
      <c r="D64" s="38">
        <f t="shared" si="29"/>
        <v>370.74044502494303</v>
      </c>
      <c r="E64" s="38">
        <f t="shared" si="29"/>
        <v>348.93218355288752</v>
      </c>
      <c r="F64" s="38">
        <f t="shared" si="29"/>
        <v>43.61652294411094</v>
      </c>
      <c r="G64" s="38">
        <f t="shared" si="29"/>
        <v>27.260326840069339</v>
      </c>
      <c r="H64" s="38">
        <f t="shared" si="29"/>
        <v>130.84956883233281</v>
      </c>
      <c r="I64" s="38">
        <f t="shared" si="29"/>
        <v>10.904130736027735</v>
      </c>
      <c r="J64" s="38">
        <f t="shared" si="29"/>
        <v>54.520653680138679</v>
      </c>
      <c r="K64" s="38">
        <f t="shared" si="29"/>
        <v>87.233045888221881</v>
      </c>
      <c r="L64" s="38">
        <f t="shared" si="29"/>
        <v>16.356196104041601</v>
      </c>
      <c r="M64" s="38">
        <f t="shared" si="5"/>
        <v>1090.4130736027735</v>
      </c>
    </row>
    <row r="65" spans="1:13" x14ac:dyDescent="0.25">
      <c r="A65">
        <f t="shared" si="3"/>
        <v>2024</v>
      </c>
      <c r="B65" s="1">
        <v>45323</v>
      </c>
      <c r="C65" s="6">
        <v>1108.8078247099227</v>
      </c>
      <c r="D65" s="38">
        <f t="shared" si="29"/>
        <v>376.99466040137372</v>
      </c>
      <c r="E65" s="38">
        <f t="shared" si="29"/>
        <v>354.81850390717528</v>
      </c>
      <c r="F65" s="38">
        <f t="shared" si="29"/>
        <v>44.35231298839691</v>
      </c>
      <c r="G65" s="38">
        <f t="shared" ref="G65:L96" si="30">+$C65*G$1</f>
        <v>27.720195617748068</v>
      </c>
      <c r="H65" s="38">
        <f t="shared" si="30"/>
        <v>133.05693896519071</v>
      </c>
      <c r="I65" s="38">
        <f t="shared" si="30"/>
        <v>11.088078247099228</v>
      </c>
      <c r="J65" s="38">
        <f t="shared" si="30"/>
        <v>55.440391235496136</v>
      </c>
      <c r="K65" s="38">
        <f t="shared" si="30"/>
        <v>88.704625976793821</v>
      </c>
      <c r="L65" s="38">
        <f t="shared" si="30"/>
        <v>16.632117370648839</v>
      </c>
      <c r="M65" s="38">
        <f t="shared" si="5"/>
        <v>1108.8078247099227</v>
      </c>
    </row>
    <row r="66" spans="1:13" x14ac:dyDescent="0.25">
      <c r="A66">
        <f t="shared" si="3"/>
        <v>2024</v>
      </c>
      <c r="B66" s="1">
        <v>45352</v>
      </c>
      <c r="C66" s="6">
        <v>1130.0106513484866</v>
      </c>
      <c r="D66" s="38">
        <f t="shared" ref="D66:L97" si="31">+$C66*D$1</f>
        <v>384.20362145848549</v>
      </c>
      <c r="E66" s="38">
        <f t="shared" si="31"/>
        <v>361.60340843151573</v>
      </c>
      <c r="F66" s="38">
        <f t="shared" si="31"/>
        <v>45.200426053939466</v>
      </c>
      <c r="G66" s="38">
        <f t="shared" si="30"/>
        <v>28.250266283712165</v>
      </c>
      <c r="H66" s="38">
        <f t="shared" si="30"/>
        <v>135.60127816181839</v>
      </c>
      <c r="I66" s="38">
        <f t="shared" si="30"/>
        <v>11.300106513484867</v>
      </c>
      <c r="J66" s="38">
        <f t="shared" si="30"/>
        <v>56.500532567424329</v>
      </c>
      <c r="K66" s="38">
        <f t="shared" si="30"/>
        <v>90.400852107878933</v>
      </c>
      <c r="L66" s="38">
        <f t="shared" si="30"/>
        <v>16.950159770227298</v>
      </c>
      <c r="M66" s="38">
        <f t="shared" si="5"/>
        <v>1130.0106513484868</v>
      </c>
    </row>
    <row r="67" spans="1:13" x14ac:dyDescent="0.25">
      <c r="A67">
        <f t="shared" si="3"/>
        <v>2024</v>
      </c>
      <c r="B67" s="1">
        <v>45383</v>
      </c>
      <c r="C67" s="6">
        <v>1091.7291207497824</v>
      </c>
      <c r="D67" s="38">
        <f t="shared" si="31"/>
        <v>371.18790105492604</v>
      </c>
      <c r="E67" s="38">
        <f t="shared" si="31"/>
        <v>349.35331863993036</v>
      </c>
      <c r="F67" s="38">
        <f t="shared" si="31"/>
        <v>43.669164829991296</v>
      </c>
      <c r="G67" s="38">
        <f t="shared" si="30"/>
        <v>27.293228018744561</v>
      </c>
      <c r="H67" s="38">
        <f t="shared" si="30"/>
        <v>131.00749448997388</v>
      </c>
      <c r="I67" s="38">
        <f t="shared" si="30"/>
        <v>10.917291207497824</v>
      </c>
      <c r="J67" s="38">
        <f t="shared" si="30"/>
        <v>54.586456037489121</v>
      </c>
      <c r="K67" s="38">
        <f t="shared" si="30"/>
        <v>87.338329659982591</v>
      </c>
      <c r="L67" s="38">
        <f t="shared" si="30"/>
        <v>16.375936811246735</v>
      </c>
      <c r="M67" s="38">
        <f t="shared" si="5"/>
        <v>1091.7291207497822</v>
      </c>
    </row>
    <row r="68" spans="1:13" x14ac:dyDescent="0.25">
      <c r="A68">
        <f t="shared" si="3"/>
        <v>2024</v>
      </c>
      <c r="B68" s="1">
        <v>45413</v>
      </c>
      <c r="C68" s="6">
        <v>1074.6789754995282</v>
      </c>
      <c r="D68" s="38">
        <f t="shared" si="31"/>
        <v>365.39085166983961</v>
      </c>
      <c r="E68" s="38">
        <f t="shared" si="31"/>
        <v>343.89727215984902</v>
      </c>
      <c r="F68" s="38">
        <f t="shared" si="31"/>
        <v>42.987159019981128</v>
      </c>
      <c r="G68" s="38">
        <f t="shared" si="30"/>
        <v>26.866974387488206</v>
      </c>
      <c r="H68" s="38">
        <f t="shared" si="30"/>
        <v>128.96147705994338</v>
      </c>
      <c r="I68" s="38">
        <f t="shared" si="30"/>
        <v>10.746789754995282</v>
      </c>
      <c r="J68" s="38">
        <f t="shared" si="30"/>
        <v>53.733948774976412</v>
      </c>
      <c r="K68" s="38">
        <f t="shared" si="30"/>
        <v>85.974318039962256</v>
      </c>
      <c r="L68" s="38">
        <f t="shared" si="30"/>
        <v>16.120184632492922</v>
      </c>
      <c r="M68" s="38">
        <f t="shared" si="5"/>
        <v>1074.6789754995282</v>
      </c>
    </row>
    <row r="69" spans="1:13" x14ac:dyDescent="0.25">
      <c r="A69">
        <f t="shared" ref="A69:A132" si="32">+YEAR(B69)</f>
        <v>2024</v>
      </c>
      <c r="B69" s="1">
        <v>45444</v>
      </c>
      <c r="C69" s="6">
        <v>1072.6339109367598</v>
      </c>
      <c r="D69" s="38">
        <f t="shared" si="31"/>
        <v>364.69552971849834</v>
      </c>
      <c r="E69" s="38">
        <f t="shared" si="31"/>
        <v>343.24285149976316</v>
      </c>
      <c r="F69" s="38">
        <f t="shared" si="31"/>
        <v>42.905356437470395</v>
      </c>
      <c r="G69" s="38">
        <f t="shared" si="30"/>
        <v>26.815847773418994</v>
      </c>
      <c r="H69" s="38">
        <f t="shared" si="30"/>
        <v>128.71606931241118</v>
      </c>
      <c r="I69" s="38">
        <f t="shared" si="30"/>
        <v>10.726339109367599</v>
      </c>
      <c r="J69" s="38">
        <f t="shared" si="30"/>
        <v>53.631695546837989</v>
      </c>
      <c r="K69" s="38">
        <f t="shared" si="30"/>
        <v>85.810712874940791</v>
      </c>
      <c r="L69" s="38">
        <f t="shared" si="30"/>
        <v>16.089508664051397</v>
      </c>
      <c r="M69" s="38">
        <f t="shared" ref="M69:M132" si="33">+SUM(D69:L69)</f>
        <v>1072.6339109367598</v>
      </c>
    </row>
    <row r="70" spans="1:13" x14ac:dyDescent="0.25">
      <c r="A70">
        <f t="shared" si="32"/>
        <v>2024</v>
      </c>
      <c r="B70" s="1">
        <v>45474</v>
      </c>
      <c r="C70" s="6">
        <v>1137.5796816480747</v>
      </c>
      <c r="D70" s="38">
        <f t="shared" si="31"/>
        <v>386.77709176034546</v>
      </c>
      <c r="E70" s="38">
        <f t="shared" si="31"/>
        <v>364.02549812738391</v>
      </c>
      <c r="F70" s="38">
        <f t="shared" si="31"/>
        <v>45.503187265922989</v>
      </c>
      <c r="G70" s="38">
        <f t="shared" si="30"/>
        <v>28.43949204120187</v>
      </c>
      <c r="H70" s="38">
        <f t="shared" si="30"/>
        <v>136.50956179776895</v>
      </c>
      <c r="I70" s="38">
        <f t="shared" si="30"/>
        <v>11.375796816480747</v>
      </c>
      <c r="J70" s="38">
        <f t="shared" si="30"/>
        <v>56.87898408240374</v>
      </c>
      <c r="K70" s="38">
        <f t="shared" si="30"/>
        <v>91.006374531845978</v>
      </c>
      <c r="L70" s="38">
        <f t="shared" si="30"/>
        <v>17.063695224721119</v>
      </c>
      <c r="M70" s="38">
        <f t="shared" si="33"/>
        <v>1137.5796816480747</v>
      </c>
    </row>
    <row r="71" spans="1:13" x14ac:dyDescent="0.25">
      <c r="A71">
        <f t="shared" si="32"/>
        <v>2024</v>
      </c>
      <c r="B71" s="1">
        <v>45505</v>
      </c>
      <c r="C71" s="6">
        <v>1157.2237876723198</v>
      </c>
      <c r="D71" s="38">
        <f t="shared" si="31"/>
        <v>393.45608780858873</v>
      </c>
      <c r="E71" s="38">
        <f t="shared" si="31"/>
        <v>370.31161205514235</v>
      </c>
      <c r="F71" s="38">
        <f t="shared" si="31"/>
        <v>46.288951506892793</v>
      </c>
      <c r="G71" s="38">
        <f t="shared" si="30"/>
        <v>28.930594691807997</v>
      </c>
      <c r="H71" s="38">
        <f t="shared" si="30"/>
        <v>138.86685452067837</v>
      </c>
      <c r="I71" s="38">
        <f t="shared" si="30"/>
        <v>11.572237876723198</v>
      </c>
      <c r="J71" s="38">
        <f t="shared" si="30"/>
        <v>57.861189383615994</v>
      </c>
      <c r="K71" s="38">
        <f t="shared" si="30"/>
        <v>92.577903013785587</v>
      </c>
      <c r="L71" s="38">
        <f t="shared" si="30"/>
        <v>17.358356815084797</v>
      </c>
      <c r="M71" s="38">
        <f t="shared" si="33"/>
        <v>1157.2237876723198</v>
      </c>
    </row>
    <row r="72" spans="1:13" x14ac:dyDescent="0.25">
      <c r="A72">
        <f t="shared" si="32"/>
        <v>2024</v>
      </c>
      <c r="B72" s="1">
        <v>45536</v>
      </c>
      <c r="C72" s="6">
        <v>1211.0824565634121</v>
      </c>
      <c r="D72" s="38">
        <f t="shared" si="31"/>
        <v>411.76803523156013</v>
      </c>
      <c r="E72" s="38">
        <f t="shared" si="31"/>
        <v>387.54638610029184</v>
      </c>
      <c r="F72" s="38">
        <f t="shared" si="31"/>
        <v>48.44329826253648</v>
      </c>
      <c r="G72" s="38">
        <f t="shared" si="30"/>
        <v>30.277061414085303</v>
      </c>
      <c r="H72" s="38">
        <f t="shared" si="30"/>
        <v>145.32989478760945</v>
      </c>
      <c r="I72" s="38">
        <f t="shared" si="30"/>
        <v>12.11082456563412</v>
      </c>
      <c r="J72" s="38">
        <f t="shared" si="30"/>
        <v>60.554122828170605</v>
      </c>
      <c r="K72" s="38">
        <f t="shared" si="30"/>
        <v>96.88659652507296</v>
      </c>
      <c r="L72" s="38">
        <f t="shared" si="30"/>
        <v>18.166236848451181</v>
      </c>
      <c r="M72" s="38">
        <f t="shared" si="33"/>
        <v>1211.0824565634121</v>
      </c>
    </row>
    <row r="73" spans="1:13" x14ac:dyDescent="0.25">
      <c r="A73">
        <f t="shared" si="32"/>
        <v>2024</v>
      </c>
      <c r="B73" s="1">
        <v>45566</v>
      </c>
      <c r="C73" s="6">
        <v>1235.968875843221</v>
      </c>
      <c r="D73" s="38">
        <f t="shared" si="31"/>
        <v>420.22941778669514</v>
      </c>
      <c r="E73" s="38">
        <f t="shared" si="31"/>
        <v>395.51004026983071</v>
      </c>
      <c r="F73" s="38">
        <f t="shared" si="31"/>
        <v>49.438755033728839</v>
      </c>
      <c r="G73" s="38">
        <f t="shared" si="30"/>
        <v>30.899221896080526</v>
      </c>
      <c r="H73" s="38">
        <f t="shared" si="30"/>
        <v>148.3162651011865</v>
      </c>
      <c r="I73" s="38">
        <f t="shared" si="30"/>
        <v>12.35968875843221</v>
      </c>
      <c r="J73" s="38">
        <f t="shared" si="30"/>
        <v>61.798443792161052</v>
      </c>
      <c r="K73" s="38">
        <f t="shared" si="30"/>
        <v>98.877510067457678</v>
      </c>
      <c r="L73" s="38">
        <f t="shared" si="30"/>
        <v>18.539533137648313</v>
      </c>
      <c r="M73" s="38">
        <f t="shared" si="33"/>
        <v>1235.968875843221</v>
      </c>
    </row>
    <row r="74" spans="1:13" x14ac:dyDescent="0.25">
      <c r="A74">
        <f t="shared" si="32"/>
        <v>2024</v>
      </c>
      <c r="B74" s="1">
        <v>45597</v>
      </c>
      <c r="C74" s="6">
        <v>1205.9412007640101</v>
      </c>
      <c r="D74" s="38">
        <f t="shared" si="31"/>
        <v>410.02000825976347</v>
      </c>
      <c r="E74" s="38">
        <f t="shared" si="31"/>
        <v>385.90118424448326</v>
      </c>
      <c r="F74" s="38">
        <f t="shared" si="31"/>
        <v>48.237648030560408</v>
      </c>
      <c r="G74" s="38">
        <f t="shared" si="30"/>
        <v>30.148530019100253</v>
      </c>
      <c r="H74" s="38">
        <f t="shared" si="30"/>
        <v>144.71294409168121</v>
      </c>
      <c r="I74" s="38">
        <f t="shared" si="30"/>
        <v>12.059412007640102</v>
      </c>
      <c r="J74" s="38">
        <f t="shared" si="30"/>
        <v>60.297060038200506</v>
      </c>
      <c r="K74" s="38">
        <f t="shared" si="30"/>
        <v>96.475296061120815</v>
      </c>
      <c r="L74" s="38">
        <f t="shared" si="30"/>
        <v>18.089118011460151</v>
      </c>
      <c r="M74" s="38">
        <f t="shared" si="33"/>
        <v>1205.9412007640101</v>
      </c>
    </row>
    <row r="75" spans="1:13" x14ac:dyDescent="0.25">
      <c r="A75">
        <f t="shared" si="32"/>
        <v>2024</v>
      </c>
      <c r="B75" s="1">
        <v>45627</v>
      </c>
      <c r="C75" s="6">
        <v>1162.9952097856215</v>
      </c>
      <c r="D75" s="38">
        <f t="shared" si="31"/>
        <v>395.41837132711134</v>
      </c>
      <c r="E75" s="38">
        <f t="shared" si="31"/>
        <v>372.15846713139888</v>
      </c>
      <c r="F75" s="38">
        <f t="shared" si="31"/>
        <v>46.51980839142486</v>
      </c>
      <c r="G75" s="38">
        <f t="shared" si="30"/>
        <v>29.074880244640539</v>
      </c>
      <c r="H75" s="38">
        <f t="shared" si="30"/>
        <v>139.55942517427457</v>
      </c>
      <c r="I75" s="38">
        <f t="shared" si="30"/>
        <v>11.629952097856215</v>
      </c>
      <c r="J75" s="38">
        <f t="shared" si="30"/>
        <v>58.149760489281078</v>
      </c>
      <c r="K75" s="38">
        <f t="shared" si="30"/>
        <v>93.03961678284972</v>
      </c>
      <c r="L75" s="38">
        <f t="shared" si="30"/>
        <v>17.444928146784321</v>
      </c>
      <c r="M75" s="38">
        <f t="shared" si="33"/>
        <v>1162.9952097856215</v>
      </c>
    </row>
    <row r="76" spans="1:13" x14ac:dyDescent="0.25">
      <c r="A76">
        <f t="shared" si="32"/>
        <v>2025</v>
      </c>
      <c r="B76" s="1">
        <v>45658</v>
      </c>
      <c r="C76" s="6">
        <v>1423.7343356404174</v>
      </c>
      <c r="D76" s="38">
        <f t="shared" si="31"/>
        <v>484.06967411774195</v>
      </c>
      <c r="E76" s="38">
        <f t="shared" si="31"/>
        <v>455.59498740493359</v>
      </c>
      <c r="F76" s="38">
        <f t="shared" si="31"/>
        <v>56.949373425616699</v>
      </c>
      <c r="G76" s="38">
        <f t="shared" si="30"/>
        <v>35.593358391010433</v>
      </c>
      <c r="H76" s="38">
        <f t="shared" si="30"/>
        <v>170.84812027685007</v>
      </c>
      <c r="I76" s="38">
        <f t="shared" si="30"/>
        <v>14.237343356404175</v>
      </c>
      <c r="J76" s="38">
        <f t="shared" si="30"/>
        <v>71.186716782020866</v>
      </c>
      <c r="K76" s="38">
        <f t="shared" si="30"/>
        <v>113.8987468512334</v>
      </c>
      <c r="L76" s="38">
        <f t="shared" si="30"/>
        <v>21.356015034606258</v>
      </c>
      <c r="M76" s="38">
        <f t="shared" si="33"/>
        <v>1423.7343356404174</v>
      </c>
    </row>
    <row r="77" spans="1:13" x14ac:dyDescent="0.25">
      <c r="A77">
        <f t="shared" si="32"/>
        <v>2025</v>
      </c>
      <c r="B77" s="1">
        <v>45689</v>
      </c>
      <c r="C77" s="6">
        <v>1328.5698129373854</v>
      </c>
      <c r="D77" s="38">
        <f t="shared" si="31"/>
        <v>451.71373639871109</v>
      </c>
      <c r="E77" s="38">
        <f t="shared" si="31"/>
        <v>425.14234013996338</v>
      </c>
      <c r="F77" s="38">
        <f t="shared" si="31"/>
        <v>53.142792517495423</v>
      </c>
      <c r="G77" s="38">
        <f t="shared" si="30"/>
        <v>33.214245323434639</v>
      </c>
      <c r="H77" s="38">
        <f t="shared" si="30"/>
        <v>159.42837755248624</v>
      </c>
      <c r="I77" s="38">
        <f t="shared" si="30"/>
        <v>13.285698129373856</v>
      </c>
      <c r="J77" s="38">
        <f t="shared" si="30"/>
        <v>66.428490646869278</v>
      </c>
      <c r="K77" s="38">
        <f t="shared" si="30"/>
        <v>106.28558503499085</v>
      </c>
      <c r="L77" s="38">
        <f t="shared" si="30"/>
        <v>19.92854719406078</v>
      </c>
      <c r="M77" s="38">
        <f t="shared" si="33"/>
        <v>1328.5698129373854</v>
      </c>
    </row>
    <row r="78" spans="1:13" x14ac:dyDescent="0.25">
      <c r="A78">
        <f t="shared" si="32"/>
        <v>2025</v>
      </c>
      <c r="B78" s="1">
        <v>45717</v>
      </c>
      <c r="C78" s="6">
        <v>1233.1546136045811</v>
      </c>
      <c r="D78" s="38">
        <f t="shared" si="31"/>
        <v>419.2725686255576</v>
      </c>
      <c r="E78" s="38">
        <f t="shared" si="31"/>
        <v>394.60947635346594</v>
      </c>
      <c r="F78" s="38">
        <f t="shared" si="31"/>
        <v>49.326184544183242</v>
      </c>
      <c r="G78" s="38">
        <f t="shared" si="30"/>
        <v>30.828865340114529</v>
      </c>
      <c r="H78" s="38">
        <f t="shared" si="30"/>
        <v>147.97855363254973</v>
      </c>
      <c r="I78" s="38">
        <f t="shared" si="30"/>
        <v>12.331546136045811</v>
      </c>
      <c r="J78" s="38">
        <f t="shared" si="30"/>
        <v>61.657730680229058</v>
      </c>
      <c r="K78" s="38">
        <f t="shared" si="30"/>
        <v>98.652369088366484</v>
      </c>
      <c r="L78" s="38">
        <f t="shared" si="30"/>
        <v>18.497319204068717</v>
      </c>
      <c r="M78" s="38">
        <f t="shared" si="33"/>
        <v>1233.1546136045806</v>
      </c>
    </row>
    <row r="79" spans="1:13" x14ac:dyDescent="0.25">
      <c r="A79">
        <f t="shared" si="32"/>
        <v>2025</v>
      </c>
      <c r="B79" s="1">
        <v>45748</v>
      </c>
      <c r="C79" s="6">
        <v>1217.1921132867608</v>
      </c>
      <c r="D79" s="38">
        <f t="shared" si="31"/>
        <v>413.8453185174987</v>
      </c>
      <c r="E79" s="38">
        <f t="shared" si="31"/>
        <v>389.50147625176345</v>
      </c>
      <c r="F79" s="38">
        <f t="shared" si="31"/>
        <v>48.687684531470431</v>
      </c>
      <c r="G79" s="38">
        <f t="shared" si="30"/>
        <v>30.42980283216902</v>
      </c>
      <c r="H79" s="38">
        <f t="shared" si="30"/>
        <v>146.06305359441129</v>
      </c>
      <c r="I79" s="38">
        <f t="shared" si="30"/>
        <v>12.171921132867608</v>
      </c>
      <c r="J79" s="38">
        <f t="shared" si="30"/>
        <v>60.859605664338041</v>
      </c>
      <c r="K79" s="38">
        <f t="shared" si="30"/>
        <v>97.375369062940862</v>
      </c>
      <c r="L79" s="38">
        <f t="shared" si="30"/>
        <v>18.257881699301411</v>
      </c>
      <c r="M79" s="38">
        <f t="shared" si="33"/>
        <v>1217.1921132867606</v>
      </c>
    </row>
    <row r="80" spans="1:13" x14ac:dyDescent="0.25">
      <c r="A80">
        <f t="shared" si="32"/>
        <v>2025</v>
      </c>
      <c r="B80" s="1">
        <v>45778</v>
      </c>
      <c r="C80" s="6">
        <v>1141.7144855230333</v>
      </c>
      <c r="D80" s="38">
        <f t="shared" si="31"/>
        <v>388.18292507783133</v>
      </c>
      <c r="E80" s="38">
        <f t="shared" si="31"/>
        <v>365.34863536737066</v>
      </c>
      <c r="F80" s="38">
        <f t="shared" si="31"/>
        <v>45.668579420921333</v>
      </c>
      <c r="G80" s="38">
        <f t="shared" si="30"/>
        <v>28.542862138075833</v>
      </c>
      <c r="H80" s="38">
        <f t="shared" si="30"/>
        <v>137.005738262764</v>
      </c>
      <c r="I80" s="38">
        <f t="shared" si="30"/>
        <v>11.417144855230333</v>
      </c>
      <c r="J80" s="38">
        <f t="shared" si="30"/>
        <v>57.085724276151666</v>
      </c>
      <c r="K80" s="38">
        <f t="shared" si="30"/>
        <v>91.337158841842665</v>
      </c>
      <c r="L80" s="38">
        <f t="shared" si="30"/>
        <v>17.1257172828455</v>
      </c>
      <c r="M80" s="38">
        <f t="shared" si="33"/>
        <v>1141.7144855230333</v>
      </c>
    </row>
    <row r="81" spans="1:13" x14ac:dyDescent="0.25">
      <c r="A81">
        <f t="shared" si="32"/>
        <v>2025</v>
      </c>
      <c r="B81" s="1">
        <v>45809</v>
      </c>
      <c r="C81" s="6">
        <v>1209.2490420807922</v>
      </c>
      <c r="D81" s="38">
        <f t="shared" si="31"/>
        <v>411.14467430746936</v>
      </c>
      <c r="E81" s="38">
        <f t="shared" si="31"/>
        <v>386.95969346585349</v>
      </c>
      <c r="F81" s="38">
        <f t="shared" si="31"/>
        <v>48.369961683231686</v>
      </c>
      <c r="G81" s="38">
        <f t="shared" si="30"/>
        <v>30.231226052019807</v>
      </c>
      <c r="H81" s="38">
        <f t="shared" si="30"/>
        <v>145.10988504969507</v>
      </c>
      <c r="I81" s="38">
        <f t="shared" si="30"/>
        <v>12.092490420807922</v>
      </c>
      <c r="J81" s="38">
        <f t="shared" si="30"/>
        <v>60.462452104039613</v>
      </c>
      <c r="K81" s="38">
        <f t="shared" si="30"/>
        <v>96.739923366463373</v>
      </c>
      <c r="L81" s="38">
        <f t="shared" si="30"/>
        <v>18.138735631211883</v>
      </c>
      <c r="M81" s="38">
        <f t="shared" si="33"/>
        <v>1209.2490420807922</v>
      </c>
    </row>
    <row r="82" spans="1:13" x14ac:dyDescent="0.25">
      <c r="A82">
        <f t="shared" si="32"/>
        <v>2025</v>
      </c>
      <c r="B82" s="1">
        <v>45839</v>
      </c>
      <c r="C82" s="6">
        <v>1110.2796797753163</v>
      </c>
      <c r="D82" s="38">
        <f t="shared" si="31"/>
        <v>377.49509112360755</v>
      </c>
      <c r="E82" s="38">
        <f t="shared" si="31"/>
        <v>355.28949752810121</v>
      </c>
      <c r="F82" s="38">
        <f t="shared" si="31"/>
        <v>44.411187191012651</v>
      </c>
      <c r="G82" s="38">
        <f t="shared" si="30"/>
        <v>27.756991994382908</v>
      </c>
      <c r="H82" s="38">
        <f t="shared" si="30"/>
        <v>133.23356157303795</v>
      </c>
      <c r="I82" s="38">
        <f t="shared" si="30"/>
        <v>11.102796797753163</v>
      </c>
      <c r="J82" s="38">
        <f t="shared" si="30"/>
        <v>55.513983988765816</v>
      </c>
      <c r="K82" s="38">
        <f t="shared" si="30"/>
        <v>88.822374382025302</v>
      </c>
      <c r="L82" s="38">
        <f t="shared" si="30"/>
        <v>16.654195196629743</v>
      </c>
      <c r="M82" s="38">
        <f t="shared" si="33"/>
        <v>1110.2796797753163</v>
      </c>
    </row>
    <row r="83" spans="1:13" x14ac:dyDescent="0.25">
      <c r="A83">
        <f t="shared" si="32"/>
        <v>2025</v>
      </c>
      <c r="B83" s="1">
        <v>45870</v>
      </c>
      <c r="C83" s="6">
        <v>1101.7145995291676</v>
      </c>
      <c r="D83" s="38">
        <f t="shared" si="31"/>
        <v>374.582963839917</v>
      </c>
      <c r="E83" s="38">
        <f t="shared" si="31"/>
        <v>352.54867184933363</v>
      </c>
      <c r="F83" s="38">
        <f t="shared" si="31"/>
        <v>44.068583981166704</v>
      </c>
      <c r="G83" s="38">
        <f t="shared" si="30"/>
        <v>27.542864988229191</v>
      </c>
      <c r="H83" s="38">
        <f t="shared" si="30"/>
        <v>132.2057519435001</v>
      </c>
      <c r="I83" s="38">
        <f t="shared" si="30"/>
        <v>11.017145995291676</v>
      </c>
      <c r="J83" s="38">
        <f t="shared" si="30"/>
        <v>55.085729976458381</v>
      </c>
      <c r="K83" s="38">
        <f t="shared" si="30"/>
        <v>88.137167962333407</v>
      </c>
      <c r="L83" s="38">
        <f t="shared" si="30"/>
        <v>16.525718992937513</v>
      </c>
      <c r="M83" s="38">
        <f t="shared" si="33"/>
        <v>1101.7145995291678</v>
      </c>
    </row>
    <row r="84" spans="1:13" x14ac:dyDescent="0.25">
      <c r="A84">
        <f t="shared" si="32"/>
        <v>2025</v>
      </c>
      <c r="B84" s="1">
        <v>45901</v>
      </c>
      <c r="C84" s="6">
        <v>1102.1414834246509</v>
      </c>
      <c r="D84" s="38">
        <f t="shared" si="31"/>
        <v>374.72810436438135</v>
      </c>
      <c r="E84" s="38">
        <f t="shared" si="31"/>
        <v>352.68527469588832</v>
      </c>
      <c r="F84" s="38">
        <f t="shared" si="31"/>
        <v>44.085659336986041</v>
      </c>
      <c r="G84" s="38">
        <f t="shared" si="30"/>
        <v>27.553537085616274</v>
      </c>
      <c r="H84" s="38">
        <f t="shared" si="30"/>
        <v>132.25697801095811</v>
      </c>
      <c r="I84" s="38">
        <f t="shared" si="30"/>
        <v>11.02141483424651</v>
      </c>
      <c r="J84" s="38">
        <f t="shared" si="30"/>
        <v>55.107074171232547</v>
      </c>
      <c r="K84" s="38">
        <f t="shared" si="30"/>
        <v>88.171318673972081</v>
      </c>
      <c r="L84" s="38">
        <f t="shared" si="30"/>
        <v>16.532122251369763</v>
      </c>
      <c r="M84" s="38">
        <f t="shared" si="33"/>
        <v>1102.1414834246511</v>
      </c>
    </row>
    <row r="85" spans="1:13" x14ac:dyDescent="0.25">
      <c r="A85">
        <f t="shared" si="32"/>
        <v>2025</v>
      </c>
      <c r="B85" s="1">
        <v>45931</v>
      </c>
      <c r="C85" s="6">
        <v>1086.0517827503284</v>
      </c>
      <c r="D85" s="38">
        <f t="shared" si="31"/>
        <v>369.25760613511164</v>
      </c>
      <c r="E85" s="38">
        <f t="shared" si="31"/>
        <v>347.53657048010507</v>
      </c>
      <c r="F85" s="38">
        <f t="shared" si="31"/>
        <v>43.442071310013134</v>
      </c>
      <c r="G85" s="38">
        <f t="shared" si="30"/>
        <v>27.15129456875821</v>
      </c>
      <c r="H85" s="38">
        <f t="shared" si="30"/>
        <v>130.32621393003939</v>
      </c>
      <c r="I85" s="38">
        <f t="shared" si="30"/>
        <v>10.860517827503283</v>
      </c>
      <c r="J85" s="38">
        <f t="shared" si="30"/>
        <v>54.302589137516421</v>
      </c>
      <c r="K85" s="38">
        <f t="shared" si="30"/>
        <v>86.884142620026267</v>
      </c>
      <c r="L85" s="38">
        <f t="shared" si="30"/>
        <v>16.290776741254923</v>
      </c>
      <c r="M85" s="38">
        <f t="shared" si="33"/>
        <v>1086.0517827503281</v>
      </c>
    </row>
    <row r="86" spans="1:13" x14ac:dyDescent="0.25">
      <c r="A86">
        <f t="shared" si="32"/>
        <v>2025</v>
      </c>
      <c r="B86" s="1">
        <v>45962</v>
      </c>
      <c r="C86" s="6">
        <v>1104.3502350567019</v>
      </c>
      <c r="D86" s="38">
        <f t="shared" si="31"/>
        <v>375.47907991927866</v>
      </c>
      <c r="E86" s="38">
        <f t="shared" si="31"/>
        <v>353.39207521814461</v>
      </c>
      <c r="F86" s="38">
        <f t="shared" si="31"/>
        <v>44.174009402268076</v>
      </c>
      <c r="G86" s="38">
        <f t="shared" si="30"/>
        <v>27.608755876417547</v>
      </c>
      <c r="H86" s="38">
        <f t="shared" si="30"/>
        <v>132.52202820680421</v>
      </c>
      <c r="I86" s="38">
        <f t="shared" si="30"/>
        <v>11.043502350567019</v>
      </c>
      <c r="J86" s="38">
        <f t="shared" si="30"/>
        <v>55.217511752835094</v>
      </c>
      <c r="K86" s="38">
        <f t="shared" si="30"/>
        <v>88.348018804536153</v>
      </c>
      <c r="L86" s="38">
        <f t="shared" si="30"/>
        <v>16.565253525850526</v>
      </c>
      <c r="M86" s="38">
        <f t="shared" si="33"/>
        <v>1104.3502350567019</v>
      </c>
    </row>
    <row r="87" spans="1:13" x14ac:dyDescent="0.25">
      <c r="A87">
        <f t="shared" si="32"/>
        <v>2025</v>
      </c>
      <c r="B87" s="1">
        <v>45992</v>
      </c>
      <c r="C87" s="6">
        <v>1111.7862059163826</v>
      </c>
      <c r="D87" s="38">
        <f t="shared" si="31"/>
        <v>378.0073100115701</v>
      </c>
      <c r="E87" s="38">
        <f t="shared" si="31"/>
        <v>355.77158589324245</v>
      </c>
      <c r="F87" s="38">
        <f t="shared" si="31"/>
        <v>44.471448236655306</v>
      </c>
      <c r="G87" s="38">
        <f t="shared" si="30"/>
        <v>27.794655147909566</v>
      </c>
      <c r="H87" s="38">
        <f t="shared" si="30"/>
        <v>133.41434470996592</v>
      </c>
      <c r="I87" s="38">
        <f t="shared" si="30"/>
        <v>11.117862059163826</v>
      </c>
      <c r="J87" s="38">
        <f t="shared" si="30"/>
        <v>55.589310295819132</v>
      </c>
      <c r="K87" s="38">
        <f t="shared" si="30"/>
        <v>88.942896473310611</v>
      </c>
      <c r="L87" s="38">
        <f t="shared" si="30"/>
        <v>16.67679308874574</v>
      </c>
      <c r="M87" s="38">
        <f t="shared" si="33"/>
        <v>1111.7862059163826</v>
      </c>
    </row>
    <row r="88" spans="1:13" x14ac:dyDescent="0.25">
      <c r="A88">
        <f t="shared" si="32"/>
        <v>2026</v>
      </c>
      <c r="B88" s="1">
        <v>46023</v>
      </c>
      <c r="C88" s="6">
        <v>1327.695884512186</v>
      </c>
      <c r="D88" s="38">
        <f t="shared" si="31"/>
        <v>451.41660073414329</v>
      </c>
      <c r="E88" s="38">
        <f t="shared" si="31"/>
        <v>424.86268304389955</v>
      </c>
      <c r="F88" s="38">
        <f t="shared" si="31"/>
        <v>53.107835380487444</v>
      </c>
      <c r="G88" s="38">
        <f t="shared" si="30"/>
        <v>33.192397112804649</v>
      </c>
      <c r="H88" s="38">
        <f t="shared" si="30"/>
        <v>159.3235061414623</v>
      </c>
      <c r="I88" s="38">
        <f t="shared" si="30"/>
        <v>13.276958845121861</v>
      </c>
      <c r="J88" s="38">
        <f t="shared" si="30"/>
        <v>66.384794225609298</v>
      </c>
      <c r="K88" s="38">
        <f t="shared" si="30"/>
        <v>106.21567076097489</v>
      </c>
      <c r="L88" s="38">
        <f t="shared" si="30"/>
        <v>19.915438267682788</v>
      </c>
      <c r="M88" s="38">
        <f t="shared" si="33"/>
        <v>1327.6958845121862</v>
      </c>
    </row>
    <row r="89" spans="1:13" x14ac:dyDescent="0.25">
      <c r="A89">
        <f t="shared" si="32"/>
        <v>2026</v>
      </c>
      <c r="B89" s="1">
        <v>46054</v>
      </c>
      <c r="C89" s="6">
        <v>1292.9042983112865</v>
      </c>
      <c r="D89" s="38">
        <f t="shared" si="31"/>
        <v>439.58746142583743</v>
      </c>
      <c r="E89" s="38">
        <f t="shared" si="31"/>
        <v>413.72937545961167</v>
      </c>
      <c r="F89" s="38">
        <f t="shared" si="31"/>
        <v>51.716171932451459</v>
      </c>
      <c r="G89" s="38">
        <f t="shared" si="30"/>
        <v>32.322607457782162</v>
      </c>
      <c r="H89" s="38">
        <f t="shared" si="30"/>
        <v>155.14851579735438</v>
      </c>
      <c r="I89" s="38">
        <f t="shared" si="30"/>
        <v>12.929042983112865</v>
      </c>
      <c r="J89" s="38">
        <f t="shared" si="30"/>
        <v>64.645214915564324</v>
      </c>
      <c r="K89" s="38">
        <f t="shared" si="30"/>
        <v>103.43234386490292</v>
      </c>
      <c r="L89" s="38">
        <f t="shared" si="30"/>
        <v>19.393564474669297</v>
      </c>
      <c r="M89" s="38">
        <f t="shared" si="33"/>
        <v>1292.9042983112863</v>
      </c>
    </row>
    <row r="90" spans="1:13" x14ac:dyDescent="0.25">
      <c r="A90">
        <f t="shared" si="32"/>
        <v>2026</v>
      </c>
      <c r="B90" s="1">
        <v>46082</v>
      </c>
      <c r="C90" s="6">
        <v>1248.7338609570352</v>
      </c>
      <c r="D90" s="38">
        <f t="shared" si="31"/>
        <v>424.56951272539197</v>
      </c>
      <c r="E90" s="38">
        <f t="shared" si="31"/>
        <v>399.59483550625129</v>
      </c>
      <c r="F90" s="38">
        <f t="shared" si="31"/>
        <v>49.949354438281411</v>
      </c>
      <c r="G90" s="38">
        <f t="shared" si="30"/>
        <v>31.218346523925881</v>
      </c>
      <c r="H90" s="38">
        <f t="shared" si="30"/>
        <v>149.84806331484421</v>
      </c>
      <c r="I90" s="38">
        <f t="shared" si="30"/>
        <v>12.487338609570353</v>
      </c>
      <c r="J90" s="38">
        <f t="shared" si="30"/>
        <v>62.436693047851762</v>
      </c>
      <c r="K90" s="38">
        <f t="shared" si="30"/>
        <v>99.898708876562822</v>
      </c>
      <c r="L90" s="38">
        <f t="shared" si="30"/>
        <v>18.731007914355526</v>
      </c>
      <c r="M90" s="38">
        <f t="shared" si="33"/>
        <v>1248.7338609570352</v>
      </c>
    </row>
    <row r="91" spans="1:13" x14ac:dyDescent="0.25">
      <c r="A91">
        <f t="shared" si="32"/>
        <v>2026</v>
      </c>
      <c r="B91" s="1">
        <v>46113</v>
      </c>
      <c r="C91" s="6">
        <v>1227.8926839864462</v>
      </c>
      <c r="D91" s="38">
        <f t="shared" si="31"/>
        <v>417.48351255539171</v>
      </c>
      <c r="E91" s="38">
        <f t="shared" si="31"/>
        <v>392.9256588756628</v>
      </c>
      <c r="F91" s="38">
        <f t="shared" si="31"/>
        <v>49.115707359457851</v>
      </c>
      <c r="G91" s="38">
        <f t="shared" si="30"/>
        <v>30.697317099661156</v>
      </c>
      <c r="H91" s="38">
        <f t="shared" si="30"/>
        <v>147.34712207837353</v>
      </c>
      <c r="I91" s="38">
        <f t="shared" si="30"/>
        <v>12.278926839864463</v>
      </c>
      <c r="J91" s="38">
        <f t="shared" si="30"/>
        <v>61.394634199322311</v>
      </c>
      <c r="K91" s="38">
        <f t="shared" si="30"/>
        <v>98.231414718915701</v>
      </c>
      <c r="L91" s="38">
        <f t="shared" si="30"/>
        <v>18.418390259796691</v>
      </c>
      <c r="M91" s="38">
        <f t="shared" si="33"/>
        <v>1227.8926839864462</v>
      </c>
    </row>
    <row r="92" spans="1:13" x14ac:dyDescent="0.25">
      <c r="A92">
        <f t="shared" si="32"/>
        <v>2026</v>
      </c>
      <c r="B92" s="1">
        <v>46143</v>
      </c>
      <c r="C92" s="6">
        <v>1221.3272482793632</v>
      </c>
      <c r="D92" s="38">
        <f t="shared" si="31"/>
        <v>415.2512644149835</v>
      </c>
      <c r="E92" s="38">
        <f t="shared" si="31"/>
        <v>390.82471944939624</v>
      </c>
      <c r="F92" s="38">
        <f t="shared" si="31"/>
        <v>48.85308993117453</v>
      </c>
      <c r="G92" s="38">
        <f t="shared" si="30"/>
        <v>30.533181206984082</v>
      </c>
      <c r="H92" s="38">
        <f t="shared" si="30"/>
        <v>146.55926979352358</v>
      </c>
      <c r="I92" s="38">
        <f t="shared" si="30"/>
        <v>12.213272482793633</v>
      </c>
      <c r="J92" s="38">
        <f t="shared" si="30"/>
        <v>61.066362413968164</v>
      </c>
      <c r="K92" s="38">
        <f t="shared" si="30"/>
        <v>97.70617986234906</v>
      </c>
      <c r="L92" s="38">
        <f t="shared" si="30"/>
        <v>18.319908724190448</v>
      </c>
      <c r="M92" s="38">
        <f t="shared" si="33"/>
        <v>1221.3272482793632</v>
      </c>
    </row>
    <row r="93" spans="1:13" x14ac:dyDescent="0.25">
      <c r="A93">
        <f t="shared" si="32"/>
        <v>2026</v>
      </c>
      <c r="B93" s="1">
        <v>46174</v>
      </c>
      <c r="C93" s="6">
        <v>1255.1428862647069</v>
      </c>
      <c r="D93" s="38">
        <f t="shared" si="31"/>
        <v>426.74858133000038</v>
      </c>
      <c r="E93" s="38">
        <f t="shared" si="31"/>
        <v>401.64572360470623</v>
      </c>
      <c r="F93" s="38">
        <f t="shared" si="31"/>
        <v>50.205715450588279</v>
      </c>
      <c r="G93" s="38">
        <f t="shared" si="30"/>
        <v>31.378572156617675</v>
      </c>
      <c r="H93" s="38">
        <f t="shared" si="30"/>
        <v>150.61714635176483</v>
      </c>
      <c r="I93" s="38">
        <f t="shared" si="30"/>
        <v>12.55142886264707</v>
      </c>
      <c r="J93" s="38">
        <f t="shared" si="30"/>
        <v>62.757144313235351</v>
      </c>
      <c r="K93" s="38">
        <f t="shared" si="30"/>
        <v>100.41143090117656</v>
      </c>
      <c r="L93" s="38">
        <f t="shared" si="30"/>
        <v>18.827143293970604</v>
      </c>
      <c r="M93" s="38">
        <f t="shared" si="33"/>
        <v>1255.1428862647069</v>
      </c>
    </row>
    <row r="94" spans="1:13" x14ac:dyDescent="0.25">
      <c r="A94">
        <f t="shared" si="32"/>
        <v>2026</v>
      </c>
      <c r="B94" s="1">
        <v>46204</v>
      </c>
      <c r="C94" s="6">
        <v>1159.2694125830308</v>
      </c>
      <c r="D94" s="38">
        <f t="shared" si="31"/>
        <v>394.15160027823049</v>
      </c>
      <c r="E94" s="38">
        <f t="shared" si="31"/>
        <v>370.96621202656985</v>
      </c>
      <c r="F94" s="38">
        <f t="shared" si="31"/>
        <v>46.370776503321231</v>
      </c>
      <c r="G94" s="38">
        <f t="shared" si="30"/>
        <v>28.981735314575772</v>
      </c>
      <c r="H94" s="38">
        <f t="shared" si="30"/>
        <v>139.1123295099637</v>
      </c>
      <c r="I94" s="38">
        <f t="shared" si="30"/>
        <v>11.592694125830308</v>
      </c>
      <c r="J94" s="38">
        <f t="shared" si="30"/>
        <v>57.963470629151544</v>
      </c>
      <c r="K94" s="38">
        <f t="shared" si="30"/>
        <v>92.741553006642462</v>
      </c>
      <c r="L94" s="38">
        <f t="shared" si="30"/>
        <v>17.389041188745463</v>
      </c>
      <c r="M94" s="38">
        <f t="shared" si="33"/>
        <v>1159.269412583031</v>
      </c>
    </row>
    <row r="95" spans="1:13" x14ac:dyDescent="0.25">
      <c r="A95">
        <f t="shared" si="32"/>
        <v>2026</v>
      </c>
      <c r="B95" s="1">
        <v>46235</v>
      </c>
      <c r="C95" s="6">
        <v>1158.7595715439595</v>
      </c>
      <c r="D95" s="38">
        <f t="shared" si="31"/>
        <v>393.97825432494625</v>
      </c>
      <c r="E95" s="38">
        <f t="shared" si="31"/>
        <v>370.80306289406707</v>
      </c>
      <c r="F95" s="38">
        <f t="shared" si="31"/>
        <v>46.350382861758384</v>
      </c>
      <c r="G95" s="38">
        <f t="shared" si="30"/>
        <v>28.968989288598991</v>
      </c>
      <c r="H95" s="38">
        <f t="shared" si="30"/>
        <v>139.05114858527514</v>
      </c>
      <c r="I95" s="38">
        <f t="shared" si="30"/>
        <v>11.587595715439596</v>
      </c>
      <c r="J95" s="38">
        <f t="shared" si="30"/>
        <v>57.937978577197981</v>
      </c>
      <c r="K95" s="38">
        <f t="shared" si="30"/>
        <v>92.700765723516767</v>
      </c>
      <c r="L95" s="38">
        <f t="shared" si="30"/>
        <v>17.381393573159393</v>
      </c>
      <c r="M95" s="38">
        <f t="shared" si="33"/>
        <v>1158.7595715439595</v>
      </c>
    </row>
    <row r="96" spans="1:13" x14ac:dyDescent="0.25">
      <c r="A96">
        <f t="shared" si="32"/>
        <v>2026</v>
      </c>
      <c r="B96" s="1">
        <v>46266</v>
      </c>
      <c r="C96" s="6">
        <v>1209.0580077319003</v>
      </c>
      <c r="D96" s="38">
        <f t="shared" si="31"/>
        <v>411.07972262884613</v>
      </c>
      <c r="E96" s="38">
        <f t="shared" si="31"/>
        <v>386.89856247420812</v>
      </c>
      <c r="F96" s="38">
        <f t="shared" si="31"/>
        <v>48.362320309276015</v>
      </c>
      <c r="G96" s="38">
        <f t="shared" si="30"/>
        <v>30.226450193297509</v>
      </c>
      <c r="H96" s="38">
        <f t="shared" si="30"/>
        <v>145.08696092782802</v>
      </c>
      <c r="I96" s="38">
        <f t="shared" si="30"/>
        <v>12.090580077319004</v>
      </c>
      <c r="J96" s="38">
        <f t="shared" si="30"/>
        <v>60.452900386595019</v>
      </c>
      <c r="K96" s="38">
        <f t="shared" si="30"/>
        <v>96.72464061855203</v>
      </c>
      <c r="L96" s="38">
        <f t="shared" si="30"/>
        <v>18.135870115978502</v>
      </c>
      <c r="M96" s="38">
        <f t="shared" si="33"/>
        <v>1209.0580077319005</v>
      </c>
    </row>
    <row r="97" spans="1:13" x14ac:dyDescent="0.25">
      <c r="A97">
        <f t="shared" si="32"/>
        <v>2026</v>
      </c>
      <c r="B97" s="1">
        <v>46296</v>
      </c>
      <c r="C97" s="6">
        <v>1163.2806901432168</v>
      </c>
      <c r="D97" s="38">
        <f t="shared" si="31"/>
        <v>395.51543464869377</v>
      </c>
      <c r="E97" s="38">
        <f t="shared" si="31"/>
        <v>372.24982084582939</v>
      </c>
      <c r="F97" s="38">
        <f t="shared" si="31"/>
        <v>46.531227605728674</v>
      </c>
      <c r="G97" s="38">
        <f t="shared" si="31"/>
        <v>29.082017253580421</v>
      </c>
      <c r="H97" s="38">
        <f t="shared" si="31"/>
        <v>139.59368281718602</v>
      </c>
      <c r="I97" s="38">
        <f t="shared" si="31"/>
        <v>11.632806901432168</v>
      </c>
      <c r="J97" s="38">
        <f t="shared" si="31"/>
        <v>58.164034507160842</v>
      </c>
      <c r="K97" s="38">
        <f t="shared" si="31"/>
        <v>93.062455211457348</v>
      </c>
      <c r="L97" s="38">
        <f t="shared" si="31"/>
        <v>17.449210352148253</v>
      </c>
      <c r="M97" s="38">
        <f t="shared" si="33"/>
        <v>1163.2806901432168</v>
      </c>
    </row>
    <row r="98" spans="1:13" x14ac:dyDescent="0.25">
      <c r="A98">
        <f t="shared" si="32"/>
        <v>2026</v>
      </c>
      <c r="B98" s="1">
        <v>46327</v>
      </c>
      <c r="C98" s="6">
        <v>1195.1178401829645</v>
      </c>
      <c r="D98" s="38">
        <f t="shared" ref="D98:L126" si="34">+$C98*D$1</f>
        <v>406.34006566220796</v>
      </c>
      <c r="E98" s="38">
        <f t="shared" si="34"/>
        <v>382.43770885854866</v>
      </c>
      <c r="F98" s="38">
        <f t="shared" si="34"/>
        <v>47.804713607318583</v>
      </c>
      <c r="G98" s="38">
        <f t="shared" si="34"/>
        <v>29.877946004574113</v>
      </c>
      <c r="H98" s="38">
        <f t="shared" si="34"/>
        <v>143.41414082195573</v>
      </c>
      <c r="I98" s="38">
        <f t="shared" si="34"/>
        <v>11.951178401829646</v>
      </c>
      <c r="J98" s="38">
        <f t="shared" si="34"/>
        <v>59.755892009148226</v>
      </c>
      <c r="K98" s="38">
        <f t="shared" si="34"/>
        <v>95.609427214637165</v>
      </c>
      <c r="L98" s="38">
        <f t="shared" si="34"/>
        <v>17.926767602744466</v>
      </c>
      <c r="M98" s="38">
        <f t="shared" si="33"/>
        <v>1195.1178401829648</v>
      </c>
    </row>
    <row r="99" spans="1:13" x14ac:dyDescent="0.25">
      <c r="A99">
        <f t="shared" si="32"/>
        <v>2026</v>
      </c>
      <c r="B99" s="1">
        <v>46357</v>
      </c>
      <c r="C99" s="6">
        <v>1168.2239888085342</v>
      </c>
      <c r="D99" s="38">
        <f t="shared" si="34"/>
        <v>397.19615619490162</v>
      </c>
      <c r="E99" s="38">
        <f t="shared" si="34"/>
        <v>373.83167641873092</v>
      </c>
      <c r="F99" s="38">
        <f t="shared" si="34"/>
        <v>46.728959552341365</v>
      </c>
      <c r="G99" s="38">
        <f t="shared" si="34"/>
        <v>29.205599720213357</v>
      </c>
      <c r="H99" s="38">
        <f t="shared" si="34"/>
        <v>140.1868786570241</v>
      </c>
      <c r="I99" s="38">
        <f t="shared" si="34"/>
        <v>11.682239888085341</v>
      </c>
      <c r="J99" s="38">
        <f t="shared" si="34"/>
        <v>58.411199440426714</v>
      </c>
      <c r="K99" s="38">
        <f t="shared" si="34"/>
        <v>93.45791910468273</v>
      </c>
      <c r="L99" s="38">
        <f t="shared" si="34"/>
        <v>17.523359832128012</v>
      </c>
      <c r="M99" s="38">
        <f t="shared" si="33"/>
        <v>1168.2239888085344</v>
      </c>
    </row>
    <row r="100" spans="1:13" x14ac:dyDescent="0.25">
      <c r="A100">
        <f t="shared" si="32"/>
        <v>2027</v>
      </c>
      <c r="B100" s="1">
        <v>46388</v>
      </c>
      <c r="C100" s="6">
        <v>1313.9550830388287</v>
      </c>
      <c r="D100" s="38">
        <f t="shared" si="34"/>
        <v>446.74472823320178</v>
      </c>
      <c r="E100" s="38">
        <f t="shared" si="34"/>
        <v>420.46562657242521</v>
      </c>
      <c r="F100" s="38">
        <f t="shared" si="34"/>
        <v>52.558203321553151</v>
      </c>
      <c r="G100" s="38">
        <f t="shared" si="34"/>
        <v>32.848877075970719</v>
      </c>
      <c r="H100" s="38">
        <f t="shared" si="34"/>
        <v>157.67460996465942</v>
      </c>
      <c r="I100" s="38">
        <f t="shared" si="34"/>
        <v>13.139550830388288</v>
      </c>
      <c r="J100" s="38">
        <f t="shared" si="34"/>
        <v>65.697754151941439</v>
      </c>
      <c r="K100" s="38">
        <f t="shared" si="34"/>
        <v>105.1164066431063</v>
      </c>
      <c r="L100" s="38">
        <f t="shared" si="34"/>
        <v>19.709326245582428</v>
      </c>
      <c r="M100" s="38">
        <f t="shared" si="33"/>
        <v>1313.9550830388287</v>
      </c>
    </row>
    <row r="101" spans="1:13" x14ac:dyDescent="0.25">
      <c r="A101">
        <f t="shared" si="32"/>
        <v>2027</v>
      </c>
      <c r="B101" s="1">
        <v>46419</v>
      </c>
      <c r="C101" s="6">
        <v>1312.6197805006834</v>
      </c>
      <c r="D101" s="38">
        <f t="shared" si="34"/>
        <v>446.29072537023239</v>
      </c>
      <c r="E101" s="38">
        <f t="shared" si="34"/>
        <v>420.03832976021869</v>
      </c>
      <c r="F101" s="38">
        <f t="shared" si="34"/>
        <v>52.504791220027336</v>
      </c>
      <c r="G101" s="38">
        <f t="shared" si="34"/>
        <v>32.815494512517084</v>
      </c>
      <c r="H101" s="38">
        <f t="shared" si="34"/>
        <v>157.51437366008201</v>
      </c>
      <c r="I101" s="38">
        <f t="shared" si="34"/>
        <v>13.126197805006834</v>
      </c>
      <c r="J101" s="38">
        <f t="shared" si="34"/>
        <v>65.630989025034168</v>
      </c>
      <c r="K101" s="38">
        <f t="shared" si="34"/>
        <v>105.00958244005467</v>
      </c>
      <c r="L101" s="38">
        <f t="shared" si="34"/>
        <v>19.689296707510252</v>
      </c>
      <c r="M101" s="38">
        <f t="shared" si="33"/>
        <v>1312.6197805006832</v>
      </c>
    </row>
    <row r="102" spans="1:13" x14ac:dyDescent="0.25">
      <c r="A102">
        <f t="shared" si="32"/>
        <v>2027</v>
      </c>
      <c r="B102" s="1">
        <v>46447</v>
      </c>
      <c r="C102" s="6">
        <v>1343.4690059274101</v>
      </c>
      <c r="D102" s="38">
        <f t="shared" si="34"/>
        <v>456.77946201531944</v>
      </c>
      <c r="E102" s="38">
        <f t="shared" si="34"/>
        <v>429.91008189677126</v>
      </c>
      <c r="F102" s="38">
        <f t="shared" si="34"/>
        <v>53.738760237096407</v>
      </c>
      <c r="G102" s="38">
        <f t="shared" si="34"/>
        <v>33.586725148185252</v>
      </c>
      <c r="H102" s="38">
        <f t="shared" si="34"/>
        <v>161.21628071128922</v>
      </c>
      <c r="I102" s="38">
        <f t="shared" si="34"/>
        <v>13.434690059274102</v>
      </c>
      <c r="J102" s="38">
        <f t="shared" si="34"/>
        <v>67.173450296370504</v>
      </c>
      <c r="K102" s="38">
        <f t="shared" si="34"/>
        <v>107.47752047419281</v>
      </c>
      <c r="L102" s="38">
        <f t="shared" si="34"/>
        <v>20.152035088911152</v>
      </c>
      <c r="M102" s="38">
        <f t="shared" si="33"/>
        <v>1343.4690059274099</v>
      </c>
    </row>
    <row r="103" spans="1:13" x14ac:dyDescent="0.25">
      <c r="A103">
        <f t="shared" si="32"/>
        <v>2027</v>
      </c>
      <c r="B103" s="1">
        <v>46478</v>
      </c>
      <c r="C103" s="6">
        <v>1257.2371607081179</v>
      </c>
      <c r="D103" s="38">
        <f t="shared" si="34"/>
        <v>427.46063464076013</v>
      </c>
      <c r="E103" s="38">
        <f t="shared" si="34"/>
        <v>402.31589142659777</v>
      </c>
      <c r="F103" s="38">
        <f t="shared" si="34"/>
        <v>50.289486428324722</v>
      </c>
      <c r="G103" s="38">
        <f t="shared" si="34"/>
        <v>31.430929017702951</v>
      </c>
      <c r="H103" s="38">
        <f t="shared" si="34"/>
        <v>150.86845928497414</v>
      </c>
      <c r="I103" s="38">
        <f t="shared" si="34"/>
        <v>12.57237160708118</v>
      </c>
      <c r="J103" s="38">
        <f t="shared" si="34"/>
        <v>62.861858035405902</v>
      </c>
      <c r="K103" s="38">
        <f t="shared" si="34"/>
        <v>100.57897285664944</v>
      </c>
      <c r="L103" s="38">
        <f t="shared" si="34"/>
        <v>18.858557410621767</v>
      </c>
      <c r="M103" s="38">
        <f t="shared" si="33"/>
        <v>1257.2371607081182</v>
      </c>
    </row>
    <row r="104" spans="1:13" x14ac:dyDescent="0.25">
      <c r="A104">
        <f t="shared" si="32"/>
        <v>2027</v>
      </c>
      <c r="B104" s="1">
        <v>46508</v>
      </c>
      <c r="C104" s="6">
        <v>1272.520925934881</v>
      </c>
      <c r="D104" s="38">
        <f t="shared" si="34"/>
        <v>432.65711481785956</v>
      </c>
      <c r="E104" s="38">
        <f t="shared" si="34"/>
        <v>407.20669629916193</v>
      </c>
      <c r="F104" s="38">
        <f t="shared" si="34"/>
        <v>50.900837037395242</v>
      </c>
      <c r="G104" s="38">
        <f t="shared" si="34"/>
        <v>31.813023148372025</v>
      </c>
      <c r="H104" s="38">
        <f t="shared" si="34"/>
        <v>152.7025111121857</v>
      </c>
      <c r="I104" s="38">
        <f t="shared" si="34"/>
        <v>12.72520925934881</v>
      </c>
      <c r="J104" s="38">
        <f t="shared" si="34"/>
        <v>63.62604629674405</v>
      </c>
      <c r="K104" s="38">
        <f t="shared" si="34"/>
        <v>101.80167407479048</v>
      </c>
      <c r="L104" s="38">
        <f t="shared" si="34"/>
        <v>19.087813889023213</v>
      </c>
      <c r="M104" s="38">
        <f t="shared" si="33"/>
        <v>1272.520925934881</v>
      </c>
    </row>
    <row r="105" spans="1:13" x14ac:dyDescent="0.25">
      <c r="A105">
        <f t="shared" si="32"/>
        <v>2027</v>
      </c>
      <c r="B105" s="1">
        <v>46539</v>
      </c>
      <c r="C105" s="6">
        <v>1408.242962981476</v>
      </c>
      <c r="D105" s="38">
        <f t="shared" si="34"/>
        <v>478.80260741370188</v>
      </c>
      <c r="E105" s="38">
        <f t="shared" si="34"/>
        <v>450.63774815407231</v>
      </c>
      <c r="F105" s="38">
        <f t="shared" si="34"/>
        <v>56.329718519259039</v>
      </c>
      <c r="G105" s="38">
        <f t="shared" si="34"/>
        <v>35.2060740745369</v>
      </c>
      <c r="H105" s="38">
        <f t="shared" si="34"/>
        <v>168.98915555777711</v>
      </c>
      <c r="I105" s="38">
        <f t="shared" si="34"/>
        <v>14.08242962981476</v>
      </c>
      <c r="J105" s="38">
        <f t="shared" si="34"/>
        <v>70.412148149073801</v>
      </c>
      <c r="K105" s="38">
        <f t="shared" si="34"/>
        <v>112.65943703851808</v>
      </c>
      <c r="L105" s="38">
        <f t="shared" si="34"/>
        <v>21.123644444722139</v>
      </c>
      <c r="M105" s="38">
        <f t="shared" si="33"/>
        <v>1408.242962981476</v>
      </c>
    </row>
    <row r="106" spans="1:13" x14ac:dyDescent="0.25">
      <c r="A106">
        <f t="shared" si="32"/>
        <v>2027</v>
      </c>
      <c r="B106" s="1">
        <v>46569</v>
      </c>
      <c r="C106" s="6">
        <v>1216.4056008437562</v>
      </c>
      <c r="D106" s="38">
        <f t="shared" si="34"/>
        <v>413.57790428687713</v>
      </c>
      <c r="E106" s="38">
        <f t="shared" si="34"/>
        <v>389.24979227000199</v>
      </c>
      <c r="F106" s="38">
        <f t="shared" si="34"/>
        <v>48.656224033750249</v>
      </c>
      <c r="G106" s="38">
        <f t="shared" si="34"/>
        <v>30.410140021093909</v>
      </c>
      <c r="H106" s="38">
        <f t="shared" si="34"/>
        <v>145.96867210125075</v>
      </c>
      <c r="I106" s="38">
        <f t="shared" si="34"/>
        <v>12.164056008437562</v>
      </c>
      <c r="J106" s="38">
        <f t="shared" si="34"/>
        <v>60.820280042187818</v>
      </c>
      <c r="K106" s="38">
        <f t="shared" si="34"/>
        <v>97.312448067500497</v>
      </c>
      <c r="L106" s="38">
        <f t="shared" si="34"/>
        <v>18.246084012656343</v>
      </c>
      <c r="M106" s="38">
        <f t="shared" si="33"/>
        <v>1216.4056008437562</v>
      </c>
    </row>
    <row r="107" spans="1:13" x14ac:dyDescent="0.25">
      <c r="A107">
        <f t="shared" si="32"/>
        <v>2027</v>
      </c>
      <c r="B107" s="1">
        <v>46600</v>
      </c>
      <c r="C107" s="6">
        <v>1216.372140939432</v>
      </c>
      <c r="D107" s="38">
        <f t="shared" si="34"/>
        <v>413.56652791940689</v>
      </c>
      <c r="E107" s="38">
        <f t="shared" si="34"/>
        <v>389.23908510061824</v>
      </c>
      <c r="F107" s="38">
        <f t="shared" si="34"/>
        <v>48.65488563757728</v>
      </c>
      <c r="G107" s="38">
        <f t="shared" si="34"/>
        <v>30.409303523485804</v>
      </c>
      <c r="H107" s="38">
        <f t="shared" si="34"/>
        <v>145.96465691273184</v>
      </c>
      <c r="I107" s="38">
        <f t="shared" si="34"/>
        <v>12.16372140939432</v>
      </c>
      <c r="J107" s="38">
        <f t="shared" si="34"/>
        <v>60.818607046971607</v>
      </c>
      <c r="K107" s="38">
        <f t="shared" si="34"/>
        <v>97.30977127515456</v>
      </c>
      <c r="L107" s="38">
        <f t="shared" si="34"/>
        <v>18.24558211409148</v>
      </c>
      <c r="M107" s="38">
        <f t="shared" si="33"/>
        <v>1216.3721409394325</v>
      </c>
    </row>
    <row r="108" spans="1:13" x14ac:dyDescent="0.25">
      <c r="A108">
        <f t="shared" si="32"/>
        <v>2027</v>
      </c>
      <c r="B108" s="1">
        <v>46631</v>
      </c>
      <c r="C108" s="6">
        <v>1309.87147543694</v>
      </c>
      <c r="D108" s="38">
        <f t="shared" si="34"/>
        <v>445.35630164855962</v>
      </c>
      <c r="E108" s="38">
        <f t="shared" si="34"/>
        <v>419.1588721398208</v>
      </c>
      <c r="F108" s="38">
        <f t="shared" si="34"/>
        <v>52.3948590174776</v>
      </c>
      <c r="G108" s="38">
        <f t="shared" si="34"/>
        <v>32.746786885923505</v>
      </c>
      <c r="H108" s="38">
        <f t="shared" si="34"/>
        <v>157.18457705243279</v>
      </c>
      <c r="I108" s="38">
        <f t="shared" si="34"/>
        <v>13.0987147543694</v>
      </c>
      <c r="J108" s="38">
        <f t="shared" si="34"/>
        <v>65.493573771847011</v>
      </c>
      <c r="K108" s="38">
        <f t="shared" si="34"/>
        <v>104.7897180349552</v>
      </c>
      <c r="L108" s="38">
        <f t="shared" si="34"/>
        <v>19.648072131554098</v>
      </c>
      <c r="M108" s="38">
        <f t="shared" si="33"/>
        <v>1309.87147543694</v>
      </c>
    </row>
    <row r="109" spans="1:13" x14ac:dyDescent="0.25">
      <c r="A109">
        <f t="shared" si="32"/>
        <v>2027</v>
      </c>
      <c r="B109" s="1">
        <v>46661</v>
      </c>
      <c r="C109" s="6">
        <v>1245.9795702305471</v>
      </c>
      <c r="D109" s="38">
        <f t="shared" si="34"/>
        <v>423.63305387838602</v>
      </c>
      <c r="E109" s="38">
        <f t="shared" si="34"/>
        <v>398.71346247377505</v>
      </c>
      <c r="F109" s="38">
        <f t="shared" si="34"/>
        <v>49.839182809221882</v>
      </c>
      <c r="G109" s="38">
        <f t="shared" si="34"/>
        <v>31.14948925576368</v>
      </c>
      <c r="H109" s="38">
        <f t="shared" si="34"/>
        <v>149.51754842766564</v>
      </c>
      <c r="I109" s="38">
        <f t="shared" si="34"/>
        <v>12.45979570230547</v>
      </c>
      <c r="J109" s="38">
        <f t="shared" si="34"/>
        <v>62.298978511527359</v>
      </c>
      <c r="K109" s="38">
        <f t="shared" si="34"/>
        <v>99.678365618443763</v>
      </c>
      <c r="L109" s="38">
        <f t="shared" si="34"/>
        <v>18.689693553458206</v>
      </c>
      <c r="M109" s="38">
        <f t="shared" si="33"/>
        <v>1245.9795702305469</v>
      </c>
    </row>
    <row r="110" spans="1:13" x14ac:dyDescent="0.25">
      <c r="A110">
        <f t="shared" si="32"/>
        <v>2027</v>
      </c>
      <c r="B110" s="1">
        <v>46692</v>
      </c>
      <c r="C110" s="6">
        <v>1302.3286442215738</v>
      </c>
      <c r="D110" s="38">
        <f t="shared" si="34"/>
        <v>442.79173903533513</v>
      </c>
      <c r="E110" s="38">
        <f t="shared" si="34"/>
        <v>416.74516615090363</v>
      </c>
      <c r="F110" s="38">
        <f t="shared" si="34"/>
        <v>52.093145768862954</v>
      </c>
      <c r="G110" s="38">
        <f t="shared" si="34"/>
        <v>32.558216105539344</v>
      </c>
      <c r="H110" s="38">
        <f t="shared" si="34"/>
        <v>156.27943730658885</v>
      </c>
      <c r="I110" s="38">
        <f t="shared" si="34"/>
        <v>13.023286442215738</v>
      </c>
      <c r="J110" s="38">
        <f t="shared" si="34"/>
        <v>65.116432211078688</v>
      </c>
      <c r="K110" s="38">
        <f t="shared" si="34"/>
        <v>104.18629153772591</v>
      </c>
      <c r="L110" s="38">
        <f t="shared" si="34"/>
        <v>19.534929663323606</v>
      </c>
      <c r="M110" s="38">
        <f t="shared" si="33"/>
        <v>1302.328644221574</v>
      </c>
    </row>
    <row r="111" spans="1:13" x14ac:dyDescent="0.25">
      <c r="A111">
        <f t="shared" si="32"/>
        <v>2027</v>
      </c>
      <c r="B111" s="1">
        <v>46722</v>
      </c>
      <c r="C111" s="6">
        <v>1317.9528663547583</v>
      </c>
      <c r="D111" s="38">
        <f t="shared" si="34"/>
        <v>448.10397456061787</v>
      </c>
      <c r="E111" s="38">
        <f t="shared" si="34"/>
        <v>421.74491723352264</v>
      </c>
      <c r="F111" s="38">
        <f t="shared" si="34"/>
        <v>52.71811465419033</v>
      </c>
      <c r="G111" s="38">
        <f t="shared" si="34"/>
        <v>32.948821658868958</v>
      </c>
      <c r="H111" s="38">
        <f t="shared" si="34"/>
        <v>158.15434396257098</v>
      </c>
      <c r="I111" s="38">
        <f t="shared" si="34"/>
        <v>13.179528663547583</v>
      </c>
      <c r="J111" s="38">
        <f t="shared" si="34"/>
        <v>65.897643317737916</v>
      </c>
      <c r="K111" s="38">
        <f t="shared" si="34"/>
        <v>105.43622930838066</v>
      </c>
      <c r="L111" s="38">
        <f t="shared" si="34"/>
        <v>19.769292995321372</v>
      </c>
      <c r="M111" s="38">
        <f t="shared" si="33"/>
        <v>1317.9528663547585</v>
      </c>
    </row>
    <row r="112" spans="1:13" x14ac:dyDescent="0.25">
      <c r="A112">
        <f t="shared" si="32"/>
        <v>2028</v>
      </c>
      <c r="B112" s="1">
        <v>46753</v>
      </c>
      <c r="C112" s="6">
        <v>1545.9618518300681</v>
      </c>
      <c r="D112" s="38">
        <f t="shared" si="34"/>
        <v>525.62702962222318</v>
      </c>
      <c r="E112" s="38">
        <f t="shared" si="34"/>
        <v>494.7077925856218</v>
      </c>
      <c r="F112" s="38">
        <f t="shared" si="34"/>
        <v>61.838474073202725</v>
      </c>
      <c r="G112" s="38">
        <f t="shared" si="34"/>
        <v>38.649046295751702</v>
      </c>
      <c r="H112" s="38">
        <f t="shared" si="34"/>
        <v>185.51542221960815</v>
      </c>
      <c r="I112" s="38">
        <f t="shared" si="34"/>
        <v>15.459618518300681</v>
      </c>
      <c r="J112" s="38">
        <f t="shared" si="34"/>
        <v>77.298092591503405</v>
      </c>
      <c r="K112" s="38">
        <f t="shared" si="34"/>
        <v>123.67694814640545</v>
      </c>
      <c r="L112" s="38">
        <f t="shared" si="34"/>
        <v>23.189427777451019</v>
      </c>
      <c r="M112" s="38">
        <f t="shared" si="33"/>
        <v>1545.9618518300681</v>
      </c>
    </row>
    <row r="113" spans="1:13" x14ac:dyDescent="0.25">
      <c r="A113">
        <f t="shared" si="32"/>
        <v>2028</v>
      </c>
      <c r="B113" s="1">
        <v>46784</v>
      </c>
      <c r="C113" s="6">
        <v>1498.7355878669821</v>
      </c>
      <c r="D113" s="38">
        <f t="shared" si="34"/>
        <v>509.57009987477397</v>
      </c>
      <c r="E113" s="38">
        <f t="shared" si="34"/>
        <v>479.59538811743425</v>
      </c>
      <c r="F113" s="38">
        <f t="shared" si="34"/>
        <v>59.949423514679282</v>
      </c>
      <c r="G113" s="38">
        <f t="shared" si="34"/>
        <v>37.468389696674556</v>
      </c>
      <c r="H113" s="38">
        <f t="shared" si="34"/>
        <v>179.84827054403783</v>
      </c>
      <c r="I113" s="38">
        <f t="shared" si="34"/>
        <v>14.98735587866982</v>
      </c>
      <c r="J113" s="38">
        <f t="shared" si="34"/>
        <v>74.936779393349113</v>
      </c>
      <c r="K113" s="38">
        <f t="shared" si="34"/>
        <v>119.89884702935856</v>
      </c>
      <c r="L113" s="38">
        <f t="shared" si="34"/>
        <v>22.481033818004729</v>
      </c>
      <c r="M113" s="38">
        <f t="shared" si="33"/>
        <v>1498.7355878669823</v>
      </c>
    </row>
    <row r="114" spans="1:13" x14ac:dyDescent="0.25">
      <c r="A114">
        <f t="shared" si="32"/>
        <v>2028</v>
      </c>
      <c r="B114" s="1">
        <v>46813</v>
      </c>
      <c r="C114" s="6">
        <v>1358.209482410301</v>
      </c>
      <c r="D114" s="38">
        <f t="shared" si="34"/>
        <v>461.79122401950235</v>
      </c>
      <c r="E114" s="38">
        <f t="shared" si="34"/>
        <v>434.6270343712963</v>
      </c>
      <c r="F114" s="38">
        <f t="shared" si="34"/>
        <v>54.328379296412038</v>
      </c>
      <c r="G114" s="38">
        <f t="shared" si="34"/>
        <v>33.955237060257524</v>
      </c>
      <c r="H114" s="38">
        <f t="shared" si="34"/>
        <v>162.98513788923611</v>
      </c>
      <c r="I114" s="38">
        <f t="shared" si="34"/>
        <v>13.58209482410301</v>
      </c>
      <c r="J114" s="38">
        <f t="shared" si="34"/>
        <v>67.910474120515048</v>
      </c>
      <c r="K114" s="38">
        <f t="shared" si="34"/>
        <v>108.65675859282408</v>
      </c>
      <c r="L114" s="38">
        <f t="shared" si="34"/>
        <v>20.373142236154514</v>
      </c>
      <c r="M114" s="38">
        <f t="shared" si="33"/>
        <v>1358.2094824103012</v>
      </c>
    </row>
    <row r="115" spans="1:13" x14ac:dyDescent="0.25">
      <c r="A115">
        <f t="shared" si="32"/>
        <v>2028</v>
      </c>
      <c r="B115" s="1">
        <v>46844</v>
      </c>
      <c r="C115" s="6">
        <v>1479.5730118353961</v>
      </c>
      <c r="D115" s="38">
        <f t="shared" si="34"/>
        <v>503.0548240240347</v>
      </c>
      <c r="E115" s="38">
        <f t="shared" si="34"/>
        <v>473.46336378732673</v>
      </c>
      <c r="F115" s="38">
        <f t="shared" si="34"/>
        <v>59.182920473415841</v>
      </c>
      <c r="G115" s="38">
        <f t="shared" si="34"/>
        <v>36.989325295884903</v>
      </c>
      <c r="H115" s="38">
        <f t="shared" si="34"/>
        <v>177.54876142024753</v>
      </c>
      <c r="I115" s="38">
        <f t="shared" si="34"/>
        <v>14.79573011835396</v>
      </c>
      <c r="J115" s="38">
        <f t="shared" si="34"/>
        <v>73.978650591769807</v>
      </c>
      <c r="K115" s="38">
        <f t="shared" si="34"/>
        <v>118.36584094683168</v>
      </c>
      <c r="L115" s="38">
        <f t="shared" si="34"/>
        <v>22.193595177530941</v>
      </c>
      <c r="M115" s="38">
        <f t="shared" si="33"/>
        <v>1479.5730118353963</v>
      </c>
    </row>
    <row r="116" spans="1:13" x14ac:dyDescent="0.25">
      <c r="A116">
        <f t="shared" si="32"/>
        <v>2028</v>
      </c>
      <c r="B116" s="1">
        <v>46874</v>
      </c>
      <c r="C116" s="6">
        <v>1336.4722676419713</v>
      </c>
      <c r="D116" s="38">
        <f t="shared" si="34"/>
        <v>454.40057099827027</v>
      </c>
      <c r="E116" s="38">
        <f t="shared" si="34"/>
        <v>427.67112564543083</v>
      </c>
      <c r="F116" s="38">
        <f t="shared" si="34"/>
        <v>53.458890705678854</v>
      </c>
      <c r="G116" s="38">
        <f t="shared" si="34"/>
        <v>33.411806691049286</v>
      </c>
      <c r="H116" s="38">
        <f t="shared" si="34"/>
        <v>160.37667211703655</v>
      </c>
      <c r="I116" s="38">
        <f t="shared" si="34"/>
        <v>13.364722676419714</v>
      </c>
      <c r="J116" s="38">
        <f t="shared" si="34"/>
        <v>66.823613382098571</v>
      </c>
      <c r="K116" s="38">
        <f t="shared" si="34"/>
        <v>106.91778141135771</v>
      </c>
      <c r="L116" s="38">
        <f t="shared" si="34"/>
        <v>20.047084014629569</v>
      </c>
      <c r="M116" s="38">
        <f t="shared" si="33"/>
        <v>1336.4722676419713</v>
      </c>
    </row>
    <row r="117" spans="1:13" x14ac:dyDescent="0.25">
      <c r="A117">
        <f t="shared" si="32"/>
        <v>2028</v>
      </c>
      <c r="B117" s="1">
        <v>46905</v>
      </c>
      <c r="C117" s="6">
        <v>1278.2265982226572</v>
      </c>
      <c r="D117" s="38">
        <f t="shared" si="34"/>
        <v>434.59704339570351</v>
      </c>
      <c r="E117" s="38">
        <f t="shared" si="34"/>
        <v>409.03251143125033</v>
      </c>
      <c r="F117" s="38">
        <f t="shared" si="34"/>
        <v>51.129063928906291</v>
      </c>
      <c r="G117" s="38">
        <f t="shared" si="34"/>
        <v>31.955664955566434</v>
      </c>
      <c r="H117" s="38">
        <f t="shared" si="34"/>
        <v>153.38719178671886</v>
      </c>
      <c r="I117" s="38">
        <f t="shared" si="34"/>
        <v>12.782265982226573</v>
      </c>
      <c r="J117" s="38">
        <f t="shared" si="34"/>
        <v>63.911329911132867</v>
      </c>
      <c r="K117" s="38">
        <f t="shared" si="34"/>
        <v>102.25812785781258</v>
      </c>
      <c r="L117" s="38">
        <f t="shared" si="34"/>
        <v>19.173398973339857</v>
      </c>
      <c r="M117" s="38">
        <f t="shared" si="33"/>
        <v>1278.2265982226572</v>
      </c>
    </row>
    <row r="118" spans="1:13" x14ac:dyDescent="0.25">
      <c r="A118">
        <f t="shared" si="32"/>
        <v>2028</v>
      </c>
      <c r="B118" s="1">
        <v>46935</v>
      </c>
      <c r="C118" s="6">
        <v>1207.0802549651855</v>
      </c>
      <c r="D118" s="38">
        <f t="shared" si="34"/>
        <v>410.40728668816308</v>
      </c>
      <c r="E118" s="38">
        <f t="shared" si="34"/>
        <v>386.26568158885937</v>
      </c>
      <c r="F118" s="38">
        <f t="shared" si="34"/>
        <v>48.283210198607421</v>
      </c>
      <c r="G118" s="38">
        <f t="shared" si="34"/>
        <v>30.17700637412964</v>
      </c>
      <c r="H118" s="38">
        <f t="shared" si="34"/>
        <v>144.84963059582225</v>
      </c>
      <c r="I118" s="38">
        <f t="shared" si="34"/>
        <v>12.070802549651855</v>
      </c>
      <c r="J118" s="38">
        <f t="shared" si="34"/>
        <v>60.354012748259279</v>
      </c>
      <c r="K118" s="38">
        <f t="shared" si="34"/>
        <v>96.566420397214841</v>
      </c>
      <c r="L118" s="38">
        <f t="shared" si="34"/>
        <v>18.106203824477781</v>
      </c>
      <c r="M118" s="38">
        <f t="shared" si="33"/>
        <v>1207.0802549651855</v>
      </c>
    </row>
    <row r="119" spans="1:13" x14ac:dyDescent="0.25">
      <c r="A119">
        <f t="shared" si="32"/>
        <v>2028</v>
      </c>
      <c r="B119" s="1">
        <v>46966</v>
      </c>
      <c r="C119" s="6">
        <v>1213.9094135777148</v>
      </c>
      <c r="D119" s="38">
        <f t="shared" si="34"/>
        <v>412.72920061642304</v>
      </c>
      <c r="E119" s="38">
        <f t="shared" si="34"/>
        <v>388.45101234486873</v>
      </c>
      <c r="F119" s="38">
        <f t="shared" si="34"/>
        <v>48.556376543108591</v>
      </c>
      <c r="G119" s="38">
        <f t="shared" si="34"/>
        <v>30.34773533944287</v>
      </c>
      <c r="H119" s="38">
        <f t="shared" si="34"/>
        <v>145.66912962932577</v>
      </c>
      <c r="I119" s="38">
        <f t="shared" si="34"/>
        <v>12.139094135777148</v>
      </c>
      <c r="J119" s="38">
        <f t="shared" si="34"/>
        <v>60.695470678885741</v>
      </c>
      <c r="K119" s="38">
        <f t="shared" si="34"/>
        <v>97.112753086217182</v>
      </c>
      <c r="L119" s="38">
        <f t="shared" si="34"/>
        <v>18.208641203665721</v>
      </c>
      <c r="M119" s="38">
        <f t="shared" si="33"/>
        <v>1213.9094135777152</v>
      </c>
    </row>
    <row r="120" spans="1:13" x14ac:dyDescent="0.25">
      <c r="A120">
        <f t="shared" si="32"/>
        <v>2028</v>
      </c>
      <c r="B120" s="1">
        <v>46997</v>
      </c>
      <c r="C120" s="6">
        <v>1209.1939828535833</v>
      </c>
      <c r="D120" s="38">
        <f t="shared" si="34"/>
        <v>411.12595417021834</v>
      </c>
      <c r="E120" s="38">
        <f t="shared" si="34"/>
        <v>386.94207451314668</v>
      </c>
      <c r="F120" s="38">
        <f t="shared" si="34"/>
        <v>48.367759314143335</v>
      </c>
      <c r="G120" s="38">
        <f t="shared" si="34"/>
        <v>30.229849571339585</v>
      </c>
      <c r="H120" s="38">
        <f t="shared" si="34"/>
        <v>145.10327794243</v>
      </c>
      <c r="I120" s="38">
        <f t="shared" si="34"/>
        <v>12.091939828535834</v>
      </c>
      <c r="J120" s="38">
        <f t="shared" si="34"/>
        <v>60.45969914267917</v>
      </c>
      <c r="K120" s="38">
        <f t="shared" si="34"/>
        <v>96.73551862828667</v>
      </c>
      <c r="L120" s="38">
        <f t="shared" si="34"/>
        <v>18.13790974280375</v>
      </c>
      <c r="M120" s="38">
        <f t="shared" si="33"/>
        <v>1209.1939828535835</v>
      </c>
    </row>
    <row r="121" spans="1:13" x14ac:dyDescent="0.25">
      <c r="A121">
        <f t="shared" si="32"/>
        <v>2028</v>
      </c>
      <c r="B121" s="1">
        <v>47027</v>
      </c>
      <c r="C121" s="6">
        <v>1213.0755762430783</v>
      </c>
      <c r="D121" s="38">
        <f t="shared" si="34"/>
        <v>412.44569592264668</v>
      </c>
      <c r="E121" s="38">
        <f t="shared" si="34"/>
        <v>388.18418439778509</v>
      </c>
      <c r="F121" s="38">
        <f t="shared" si="34"/>
        <v>48.523023049723136</v>
      </c>
      <c r="G121" s="38">
        <f t="shared" si="34"/>
        <v>30.326889406076958</v>
      </c>
      <c r="H121" s="38">
        <f t="shared" si="34"/>
        <v>145.56906914916939</v>
      </c>
      <c r="I121" s="38">
        <f t="shared" si="34"/>
        <v>12.130755762430784</v>
      </c>
      <c r="J121" s="38">
        <f t="shared" si="34"/>
        <v>60.653778812153917</v>
      </c>
      <c r="K121" s="38">
        <f t="shared" si="34"/>
        <v>97.046046099446272</v>
      </c>
      <c r="L121" s="38">
        <f t="shared" si="34"/>
        <v>18.196133643646174</v>
      </c>
      <c r="M121" s="38">
        <f t="shared" si="33"/>
        <v>1213.0755762430783</v>
      </c>
    </row>
    <row r="122" spans="1:13" x14ac:dyDescent="0.25">
      <c r="A122">
        <f t="shared" si="32"/>
        <v>2028</v>
      </c>
      <c r="B122" s="1">
        <v>47058</v>
      </c>
      <c r="C122" s="6">
        <v>1214.0033690870293</v>
      </c>
      <c r="D122" s="38">
        <f t="shared" si="34"/>
        <v>412.76114548958998</v>
      </c>
      <c r="E122" s="38">
        <f t="shared" si="34"/>
        <v>388.48107810784938</v>
      </c>
      <c r="F122" s="38">
        <f t="shared" si="34"/>
        <v>48.560134763481173</v>
      </c>
      <c r="G122" s="38">
        <f t="shared" si="34"/>
        <v>30.350084227175735</v>
      </c>
      <c r="H122" s="38">
        <f t="shared" si="34"/>
        <v>145.68040429044351</v>
      </c>
      <c r="I122" s="38">
        <f t="shared" si="34"/>
        <v>12.140033690870293</v>
      </c>
      <c r="J122" s="38">
        <f t="shared" si="34"/>
        <v>60.70016845435147</v>
      </c>
      <c r="K122" s="38">
        <f t="shared" si="34"/>
        <v>97.120269526962346</v>
      </c>
      <c r="L122" s="38">
        <f t="shared" si="34"/>
        <v>18.210050536305438</v>
      </c>
      <c r="M122" s="38">
        <f t="shared" si="33"/>
        <v>1214.0033690870296</v>
      </c>
    </row>
    <row r="123" spans="1:13" x14ac:dyDescent="0.25">
      <c r="A123">
        <f t="shared" si="32"/>
        <v>2028</v>
      </c>
      <c r="B123" s="1">
        <v>47088</v>
      </c>
      <c r="C123" s="6">
        <v>1211.108452387715</v>
      </c>
      <c r="D123" s="38">
        <f t="shared" si="34"/>
        <v>411.77687381182312</v>
      </c>
      <c r="E123" s="38">
        <f t="shared" si="34"/>
        <v>387.55470476406884</v>
      </c>
      <c r="F123" s="38">
        <f t="shared" si="34"/>
        <v>48.444338095508606</v>
      </c>
      <c r="G123" s="38">
        <f t="shared" si="34"/>
        <v>30.277711309692876</v>
      </c>
      <c r="H123" s="38">
        <f t="shared" si="34"/>
        <v>145.33301428652581</v>
      </c>
      <c r="I123" s="38">
        <f t="shared" si="34"/>
        <v>12.111084523877151</v>
      </c>
      <c r="J123" s="38">
        <f t="shared" si="34"/>
        <v>60.555422619385752</v>
      </c>
      <c r="K123" s="38">
        <f t="shared" si="34"/>
        <v>96.888676191017211</v>
      </c>
      <c r="L123" s="38">
        <f t="shared" si="34"/>
        <v>18.166626785815726</v>
      </c>
      <c r="M123" s="38">
        <f t="shared" si="33"/>
        <v>1211.108452387715</v>
      </c>
    </row>
    <row r="124" spans="1:13" x14ac:dyDescent="0.25">
      <c r="A124">
        <f t="shared" si="32"/>
        <v>2029</v>
      </c>
      <c r="B124" s="1">
        <v>47119</v>
      </c>
      <c r="C124" s="6">
        <v>1475.6033177733352</v>
      </c>
      <c r="D124" s="38">
        <f t="shared" si="34"/>
        <v>501.70512804293401</v>
      </c>
      <c r="E124" s="38">
        <f t="shared" si="34"/>
        <v>472.19306168746726</v>
      </c>
      <c r="F124" s="38">
        <f t="shared" si="34"/>
        <v>59.024132710933408</v>
      </c>
      <c r="G124" s="38">
        <f t="shared" si="34"/>
        <v>36.890082944333379</v>
      </c>
      <c r="H124" s="38">
        <f t="shared" si="34"/>
        <v>177.07239813280023</v>
      </c>
      <c r="I124" s="38">
        <f t="shared" si="34"/>
        <v>14.756033177733352</v>
      </c>
      <c r="J124" s="38">
        <f t="shared" si="34"/>
        <v>73.780165888666758</v>
      </c>
      <c r="K124" s="38">
        <f t="shared" si="34"/>
        <v>118.04826542186682</v>
      </c>
      <c r="L124" s="38">
        <f t="shared" si="34"/>
        <v>22.134049766600029</v>
      </c>
      <c r="M124" s="38">
        <f t="shared" si="33"/>
        <v>1475.6033177733352</v>
      </c>
    </row>
    <row r="125" spans="1:13" x14ac:dyDescent="0.25">
      <c r="A125">
        <f t="shared" si="32"/>
        <v>2029</v>
      </c>
      <c r="B125" s="1">
        <v>47150</v>
      </c>
      <c r="C125" s="6">
        <v>1393.4248985386296</v>
      </c>
      <c r="D125" s="38">
        <f t="shared" si="34"/>
        <v>473.76446550313409</v>
      </c>
      <c r="E125" s="38">
        <f t="shared" si="34"/>
        <v>445.89596753236145</v>
      </c>
      <c r="F125" s="38">
        <f t="shared" si="34"/>
        <v>55.736995941545182</v>
      </c>
      <c r="G125" s="38">
        <f t="shared" si="34"/>
        <v>34.835622463465739</v>
      </c>
      <c r="H125" s="38">
        <f t="shared" si="34"/>
        <v>167.21098782463554</v>
      </c>
      <c r="I125" s="38">
        <f t="shared" si="34"/>
        <v>13.934248985386295</v>
      </c>
      <c r="J125" s="38">
        <f t="shared" si="34"/>
        <v>69.671244926931479</v>
      </c>
      <c r="K125" s="38">
        <f t="shared" si="34"/>
        <v>111.47399188309036</v>
      </c>
      <c r="L125" s="38">
        <f t="shared" si="34"/>
        <v>20.901373478079442</v>
      </c>
      <c r="M125" s="38">
        <f t="shared" si="33"/>
        <v>1393.4248985386296</v>
      </c>
    </row>
    <row r="126" spans="1:13" x14ac:dyDescent="0.25">
      <c r="A126">
        <f t="shared" si="32"/>
        <v>2029</v>
      </c>
      <c r="B126" s="1">
        <v>47178</v>
      </c>
      <c r="C126" s="6">
        <v>1320.1387561903009</v>
      </c>
      <c r="D126" s="38">
        <f t="shared" si="34"/>
        <v>448.84717710470233</v>
      </c>
      <c r="E126" s="38">
        <f t="shared" si="34"/>
        <v>422.44440198089632</v>
      </c>
      <c r="F126" s="38">
        <f t="shared" si="34"/>
        <v>52.80555024761204</v>
      </c>
      <c r="G126" s="38">
        <f t="shared" ref="G126:L157" si="35">+$C126*G$1</f>
        <v>33.003468904757526</v>
      </c>
      <c r="H126" s="38">
        <f t="shared" si="35"/>
        <v>158.41665074283611</v>
      </c>
      <c r="I126" s="38">
        <f t="shared" si="35"/>
        <v>13.20138756190301</v>
      </c>
      <c r="J126" s="38">
        <f t="shared" si="35"/>
        <v>66.006937809515051</v>
      </c>
      <c r="K126" s="38">
        <f t="shared" si="35"/>
        <v>105.61110049522408</v>
      </c>
      <c r="L126" s="38">
        <f t="shared" si="35"/>
        <v>19.802081342854514</v>
      </c>
      <c r="M126" s="38">
        <f t="shared" si="33"/>
        <v>1320.1387561903007</v>
      </c>
    </row>
    <row r="127" spans="1:13" x14ac:dyDescent="0.25">
      <c r="A127">
        <f t="shared" si="32"/>
        <v>2029</v>
      </c>
      <c r="B127" s="1">
        <v>47209</v>
      </c>
      <c r="C127" s="6">
        <v>1379.6770943874019</v>
      </c>
      <c r="D127" s="38">
        <f t="shared" ref="D127:L158" si="36">+$C127*D$1</f>
        <v>469.09021209171669</v>
      </c>
      <c r="E127" s="38">
        <f t="shared" si="36"/>
        <v>441.49667020396862</v>
      </c>
      <c r="F127" s="38">
        <f t="shared" si="36"/>
        <v>55.187083775496077</v>
      </c>
      <c r="G127" s="38">
        <f t="shared" si="35"/>
        <v>34.49192735968505</v>
      </c>
      <c r="H127" s="38">
        <f t="shared" si="35"/>
        <v>165.56125132648822</v>
      </c>
      <c r="I127" s="38">
        <f t="shared" si="35"/>
        <v>13.796770943874019</v>
      </c>
      <c r="J127" s="38">
        <f t="shared" si="35"/>
        <v>68.9838547193701</v>
      </c>
      <c r="K127" s="38">
        <f t="shared" si="35"/>
        <v>110.37416755099215</v>
      </c>
      <c r="L127" s="38">
        <f t="shared" si="35"/>
        <v>20.695156415811027</v>
      </c>
      <c r="M127" s="38">
        <f t="shared" si="33"/>
        <v>1379.6770943874019</v>
      </c>
    </row>
    <row r="128" spans="1:13" x14ac:dyDescent="0.25">
      <c r="A128">
        <f t="shared" si="32"/>
        <v>2029</v>
      </c>
      <c r="B128" s="1">
        <v>47239</v>
      </c>
      <c r="C128" s="6">
        <v>1378.4738326220709</v>
      </c>
      <c r="D128" s="38">
        <f t="shared" si="36"/>
        <v>468.6811030915041</v>
      </c>
      <c r="E128" s="38">
        <f t="shared" si="36"/>
        <v>441.11162643906266</v>
      </c>
      <c r="F128" s="38">
        <f t="shared" si="36"/>
        <v>55.138953304882833</v>
      </c>
      <c r="G128" s="38">
        <f t="shared" si="35"/>
        <v>34.461845815551776</v>
      </c>
      <c r="H128" s="38">
        <f t="shared" si="35"/>
        <v>165.41685991464848</v>
      </c>
      <c r="I128" s="38">
        <f t="shared" si="35"/>
        <v>13.784738326220708</v>
      </c>
      <c r="J128" s="38">
        <f t="shared" si="35"/>
        <v>68.923691631103551</v>
      </c>
      <c r="K128" s="38">
        <f t="shared" si="35"/>
        <v>110.27790660976567</v>
      </c>
      <c r="L128" s="38">
        <f t="shared" si="35"/>
        <v>20.67710748933106</v>
      </c>
      <c r="M128" s="38">
        <f t="shared" si="33"/>
        <v>1378.4738326220711</v>
      </c>
    </row>
    <row r="129" spans="1:13" x14ac:dyDescent="0.25">
      <c r="A129">
        <f t="shared" si="32"/>
        <v>2029</v>
      </c>
      <c r="B129" s="1">
        <v>47270</v>
      </c>
      <c r="C129" s="6">
        <v>1288.6028216814611</v>
      </c>
      <c r="D129" s="38">
        <f t="shared" si="36"/>
        <v>438.12495937169683</v>
      </c>
      <c r="E129" s="38">
        <f t="shared" si="36"/>
        <v>412.35290293806759</v>
      </c>
      <c r="F129" s="38">
        <f t="shared" si="36"/>
        <v>51.544112867258448</v>
      </c>
      <c r="G129" s="38">
        <f t="shared" si="35"/>
        <v>32.215070542036528</v>
      </c>
      <c r="H129" s="38">
        <f t="shared" si="35"/>
        <v>154.63233860177533</v>
      </c>
      <c r="I129" s="38">
        <f t="shared" si="35"/>
        <v>12.886028216814612</v>
      </c>
      <c r="J129" s="38">
        <f t="shared" si="35"/>
        <v>64.430141084073057</v>
      </c>
      <c r="K129" s="38">
        <f t="shared" si="35"/>
        <v>103.0882257345169</v>
      </c>
      <c r="L129" s="38">
        <f t="shared" si="35"/>
        <v>19.329042325221916</v>
      </c>
      <c r="M129" s="38">
        <f t="shared" si="33"/>
        <v>1288.6028216814614</v>
      </c>
    </row>
    <row r="130" spans="1:13" x14ac:dyDescent="0.25">
      <c r="A130">
        <f t="shared" si="32"/>
        <v>2029</v>
      </c>
      <c r="B130" s="1">
        <v>47300</v>
      </c>
      <c r="C130" s="6">
        <v>1240.3079310887388</v>
      </c>
      <c r="D130" s="38">
        <f t="shared" si="36"/>
        <v>421.70469657017122</v>
      </c>
      <c r="E130" s="38">
        <f t="shared" si="36"/>
        <v>396.89853794839644</v>
      </c>
      <c r="F130" s="38">
        <f t="shared" si="36"/>
        <v>49.612317243549555</v>
      </c>
      <c r="G130" s="38">
        <f t="shared" si="35"/>
        <v>31.00769827721847</v>
      </c>
      <c r="H130" s="38">
        <f t="shared" si="35"/>
        <v>148.83695173064865</v>
      </c>
      <c r="I130" s="38">
        <f t="shared" si="35"/>
        <v>12.403079310887389</v>
      </c>
      <c r="J130" s="38">
        <f t="shared" si="35"/>
        <v>62.01539655443694</v>
      </c>
      <c r="K130" s="38">
        <f t="shared" si="35"/>
        <v>99.224634487099109</v>
      </c>
      <c r="L130" s="38">
        <f t="shared" si="35"/>
        <v>18.604618966331081</v>
      </c>
      <c r="M130" s="38">
        <f t="shared" si="33"/>
        <v>1240.3079310887388</v>
      </c>
    </row>
    <row r="131" spans="1:13" x14ac:dyDescent="0.25">
      <c r="A131">
        <f t="shared" si="32"/>
        <v>2029</v>
      </c>
      <c r="B131" s="1">
        <v>47331</v>
      </c>
      <c r="C131" s="6">
        <v>1292.0084088468991</v>
      </c>
      <c r="D131" s="38">
        <f t="shared" si="36"/>
        <v>439.28285900794572</v>
      </c>
      <c r="E131" s="38">
        <f t="shared" si="36"/>
        <v>413.44269083100772</v>
      </c>
      <c r="F131" s="38">
        <f t="shared" si="36"/>
        <v>51.680336353875965</v>
      </c>
      <c r="G131" s="38">
        <f t="shared" si="35"/>
        <v>32.300210221172478</v>
      </c>
      <c r="H131" s="38">
        <f t="shared" si="35"/>
        <v>155.04100906162788</v>
      </c>
      <c r="I131" s="38">
        <f t="shared" si="35"/>
        <v>12.920084088468991</v>
      </c>
      <c r="J131" s="38">
        <f t="shared" si="35"/>
        <v>64.600420442344955</v>
      </c>
      <c r="K131" s="38">
        <f t="shared" si="35"/>
        <v>103.36067270775193</v>
      </c>
      <c r="L131" s="38">
        <f t="shared" si="35"/>
        <v>19.380126132703484</v>
      </c>
      <c r="M131" s="38">
        <f t="shared" si="33"/>
        <v>1292.0084088468991</v>
      </c>
    </row>
    <row r="132" spans="1:13" x14ac:dyDescent="0.25">
      <c r="A132">
        <f t="shared" si="32"/>
        <v>2029</v>
      </c>
      <c r="B132" s="1">
        <v>47362</v>
      </c>
      <c r="C132" s="6">
        <v>1246.662301473704</v>
      </c>
      <c r="D132" s="38">
        <f t="shared" si="36"/>
        <v>423.86518250105939</v>
      </c>
      <c r="E132" s="38">
        <f t="shared" si="36"/>
        <v>398.93193647158529</v>
      </c>
      <c r="F132" s="38">
        <f t="shared" si="36"/>
        <v>49.866492058948161</v>
      </c>
      <c r="G132" s="38">
        <f t="shared" si="35"/>
        <v>31.166557536842603</v>
      </c>
      <c r="H132" s="38">
        <f t="shared" si="35"/>
        <v>149.59947617684449</v>
      </c>
      <c r="I132" s="38">
        <f t="shared" si="35"/>
        <v>12.46662301473704</v>
      </c>
      <c r="J132" s="38">
        <f t="shared" si="35"/>
        <v>62.333115073685207</v>
      </c>
      <c r="K132" s="38">
        <f t="shared" si="35"/>
        <v>99.732984117896322</v>
      </c>
      <c r="L132" s="38">
        <f t="shared" si="35"/>
        <v>18.699934522105561</v>
      </c>
      <c r="M132" s="38">
        <f t="shared" si="33"/>
        <v>1246.6623014737042</v>
      </c>
    </row>
    <row r="133" spans="1:13" x14ac:dyDescent="0.25">
      <c r="A133">
        <f t="shared" ref="A133:A183" si="37">+YEAR(B133)</f>
        <v>2029</v>
      </c>
      <c r="B133" s="1">
        <v>47392</v>
      </c>
      <c r="C133" s="6">
        <v>1223.7581183342072</v>
      </c>
      <c r="D133" s="38">
        <f t="shared" si="36"/>
        <v>416.0777602336305</v>
      </c>
      <c r="E133" s="38">
        <f t="shared" si="36"/>
        <v>391.60259786694633</v>
      </c>
      <c r="F133" s="38">
        <f t="shared" si="36"/>
        <v>48.950324733368291</v>
      </c>
      <c r="G133" s="38">
        <f t="shared" si="35"/>
        <v>30.593952958355182</v>
      </c>
      <c r="H133" s="38">
        <f t="shared" si="35"/>
        <v>146.85097420010487</v>
      </c>
      <c r="I133" s="38">
        <f t="shared" si="35"/>
        <v>12.237581183342073</v>
      </c>
      <c r="J133" s="38">
        <f t="shared" si="35"/>
        <v>61.187905916710363</v>
      </c>
      <c r="K133" s="38">
        <f t="shared" si="35"/>
        <v>97.900649466736581</v>
      </c>
      <c r="L133" s="38">
        <f t="shared" si="35"/>
        <v>18.356371775013109</v>
      </c>
      <c r="M133" s="38">
        <f t="shared" ref="M133:M183" si="38">+SUM(D133:L133)</f>
        <v>1223.7581183342072</v>
      </c>
    </row>
    <row r="134" spans="1:13" x14ac:dyDescent="0.25">
      <c r="A134">
        <f t="shared" si="37"/>
        <v>2029</v>
      </c>
      <c r="B134" s="1">
        <v>47423</v>
      </c>
      <c r="C134" s="6">
        <v>1242.0292982842616</v>
      </c>
      <c r="D134" s="38">
        <f t="shared" si="36"/>
        <v>422.28996141664896</v>
      </c>
      <c r="E134" s="38">
        <f t="shared" si="36"/>
        <v>397.44937545096371</v>
      </c>
      <c r="F134" s="38">
        <f t="shared" si="36"/>
        <v>49.681171931370464</v>
      </c>
      <c r="G134" s="38">
        <f t="shared" si="35"/>
        <v>31.050732457106541</v>
      </c>
      <c r="H134" s="38">
        <f t="shared" si="35"/>
        <v>149.04351579411139</v>
      </c>
      <c r="I134" s="38">
        <f t="shared" si="35"/>
        <v>12.420292982842616</v>
      </c>
      <c r="J134" s="38">
        <f t="shared" si="35"/>
        <v>62.101464914213082</v>
      </c>
      <c r="K134" s="38">
        <f t="shared" si="35"/>
        <v>99.362343862740929</v>
      </c>
      <c r="L134" s="38">
        <f t="shared" si="35"/>
        <v>18.630439474263923</v>
      </c>
      <c r="M134" s="38">
        <f t="shared" si="38"/>
        <v>1242.0292982842616</v>
      </c>
    </row>
    <row r="135" spans="1:13" x14ac:dyDescent="0.25">
      <c r="A135">
        <f t="shared" si="37"/>
        <v>2029</v>
      </c>
      <c r="B135" s="1">
        <v>47453</v>
      </c>
      <c r="C135" s="6">
        <v>1236.0448777940348</v>
      </c>
      <c r="D135" s="38">
        <f t="shared" si="36"/>
        <v>420.2552584499719</v>
      </c>
      <c r="E135" s="38">
        <f t="shared" si="36"/>
        <v>395.53436089409115</v>
      </c>
      <c r="F135" s="38">
        <f t="shared" si="36"/>
        <v>49.441795111761394</v>
      </c>
      <c r="G135" s="38">
        <f t="shared" si="35"/>
        <v>30.901121944850871</v>
      </c>
      <c r="H135" s="38">
        <f t="shared" si="35"/>
        <v>148.32538533528418</v>
      </c>
      <c r="I135" s="38">
        <f t="shared" si="35"/>
        <v>12.360448777940348</v>
      </c>
      <c r="J135" s="38">
        <f t="shared" si="35"/>
        <v>61.802243889701742</v>
      </c>
      <c r="K135" s="38">
        <f t="shared" si="35"/>
        <v>98.883590223522788</v>
      </c>
      <c r="L135" s="38">
        <f t="shared" si="35"/>
        <v>18.540673166910523</v>
      </c>
      <c r="M135" s="38">
        <f t="shared" si="38"/>
        <v>1236.0448777940348</v>
      </c>
    </row>
    <row r="136" spans="1:13" x14ac:dyDescent="0.25">
      <c r="A136">
        <f t="shared" si="37"/>
        <v>2030</v>
      </c>
      <c r="B136" s="1">
        <v>47484</v>
      </c>
      <c r="C136" s="6">
        <v>1424.8650557568528</v>
      </c>
      <c r="D136" s="38">
        <f t="shared" si="36"/>
        <v>484.45411895732997</v>
      </c>
      <c r="E136" s="38">
        <f t="shared" si="36"/>
        <v>455.95681784219289</v>
      </c>
      <c r="F136" s="38">
        <f t="shared" si="36"/>
        <v>56.994602230274111</v>
      </c>
      <c r="G136" s="38">
        <f t="shared" si="35"/>
        <v>35.621626393921325</v>
      </c>
      <c r="H136" s="38">
        <f t="shared" si="35"/>
        <v>170.98380669082232</v>
      </c>
      <c r="I136" s="38">
        <f t="shared" si="35"/>
        <v>14.248650557568528</v>
      </c>
      <c r="J136" s="38">
        <f t="shared" si="35"/>
        <v>71.24325278784265</v>
      </c>
      <c r="K136" s="38">
        <f t="shared" si="35"/>
        <v>113.98920446054822</v>
      </c>
      <c r="L136" s="38">
        <f t="shared" si="35"/>
        <v>21.37297583635279</v>
      </c>
      <c r="M136" s="38">
        <f t="shared" si="38"/>
        <v>1424.8650557568528</v>
      </c>
    </row>
    <row r="137" spans="1:13" x14ac:dyDescent="0.25">
      <c r="A137">
        <f t="shared" si="37"/>
        <v>2030</v>
      </c>
      <c r="B137" s="1">
        <v>47515</v>
      </c>
      <c r="C137" s="6">
        <v>1492.6157110432821</v>
      </c>
      <c r="D137" s="38">
        <f t="shared" si="36"/>
        <v>507.48934175471595</v>
      </c>
      <c r="E137" s="38">
        <f t="shared" si="36"/>
        <v>477.6370275338503</v>
      </c>
      <c r="F137" s="38">
        <f t="shared" si="36"/>
        <v>59.704628441731288</v>
      </c>
      <c r="G137" s="38">
        <f t="shared" si="35"/>
        <v>37.315392776082057</v>
      </c>
      <c r="H137" s="38">
        <f t="shared" si="35"/>
        <v>179.11388532519385</v>
      </c>
      <c r="I137" s="38">
        <f t="shared" si="35"/>
        <v>14.926157110432822</v>
      </c>
      <c r="J137" s="38">
        <f t="shared" si="35"/>
        <v>74.630785552164113</v>
      </c>
      <c r="K137" s="38">
        <f t="shared" si="35"/>
        <v>119.40925688346258</v>
      </c>
      <c r="L137" s="38">
        <f t="shared" si="35"/>
        <v>22.389235665649231</v>
      </c>
      <c r="M137" s="38">
        <f t="shared" si="38"/>
        <v>1492.6157110432821</v>
      </c>
    </row>
    <row r="138" spans="1:13" x14ac:dyDescent="0.25">
      <c r="A138">
        <f t="shared" si="37"/>
        <v>2030</v>
      </c>
      <c r="B138" s="1">
        <v>47543</v>
      </c>
      <c r="C138" s="6">
        <v>1470.9420810771126</v>
      </c>
      <c r="D138" s="38">
        <f t="shared" si="36"/>
        <v>500.12030756621829</v>
      </c>
      <c r="E138" s="38">
        <f t="shared" si="36"/>
        <v>470.70146594467604</v>
      </c>
      <c r="F138" s="38">
        <f t="shared" si="36"/>
        <v>58.837683243084506</v>
      </c>
      <c r="G138" s="38">
        <f t="shared" si="35"/>
        <v>36.773552026927817</v>
      </c>
      <c r="H138" s="38">
        <f t="shared" si="35"/>
        <v>176.51304972925351</v>
      </c>
      <c r="I138" s="38">
        <f t="shared" si="35"/>
        <v>14.709420810771126</v>
      </c>
      <c r="J138" s="38">
        <f t="shared" si="35"/>
        <v>73.547104053855634</v>
      </c>
      <c r="K138" s="38">
        <f t="shared" si="35"/>
        <v>117.67536648616901</v>
      </c>
      <c r="L138" s="38">
        <f t="shared" si="35"/>
        <v>22.064131216156689</v>
      </c>
      <c r="M138" s="38">
        <f t="shared" si="38"/>
        <v>1470.9420810771128</v>
      </c>
    </row>
    <row r="139" spans="1:13" x14ac:dyDescent="0.25">
      <c r="A139">
        <f t="shared" si="37"/>
        <v>2030</v>
      </c>
      <c r="B139" s="1">
        <v>47574</v>
      </c>
      <c r="C139" s="6">
        <v>1443.7245544475245</v>
      </c>
      <c r="D139" s="38">
        <f t="shared" si="36"/>
        <v>490.86634851215837</v>
      </c>
      <c r="E139" s="38">
        <f t="shared" si="36"/>
        <v>461.99185742320788</v>
      </c>
      <c r="F139" s="38">
        <f t="shared" si="36"/>
        <v>57.748982177900984</v>
      </c>
      <c r="G139" s="38">
        <f t="shared" si="35"/>
        <v>36.093113861188115</v>
      </c>
      <c r="H139" s="38">
        <f t="shared" si="35"/>
        <v>173.24694653370292</v>
      </c>
      <c r="I139" s="38">
        <f t="shared" si="35"/>
        <v>14.437245544475246</v>
      </c>
      <c r="J139" s="38">
        <f t="shared" si="35"/>
        <v>72.186227722376231</v>
      </c>
      <c r="K139" s="38">
        <f t="shared" si="35"/>
        <v>115.49796435580197</v>
      </c>
      <c r="L139" s="38">
        <f t="shared" si="35"/>
        <v>21.655868316712866</v>
      </c>
      <c r="M139" s="38">
        <f t="shared" si="38"/>
        <v>1443.7245544475245</v>
      </c>
    </row>
    <row r="140" spans="1:13" x14ac:dyDescent="0.25">
      <c r="A140">
        <f t="shared" si="37"/>
        <v>2030</v>
      </c>
      <c r="B140" s="1">
        <v>47604</v>
      </c>
      <c r="C140" s="6">
        <v>1415.0772244202108</v>
      </c>
      <c r="D140" s="38">
        <f t="shared" si="36"/>
        <v>481.1262563028717</v>
      </c>
      <c r="E140" s="38">
        <f t="shared" si="36"/>
        <v>452.82471181446743</v>
      </c>
      <c r="F140" s="38">
        <f t="shared" si="36"/>
        <v>56.603088976808429</v>
      </c>
      <c r="G140" s="38">
        <f t="shared" si="35"/>
        <v>35.376930610505269</v>
      </c>
      <c r="H140" s="38">
        <f t="shared" si="35"/>
        <v>169.80926693042528</v>
      </c>
      <c r="I140" s="38">
        <f t="shared" si="35"/>
        <v>14.150772244202107</v>
      </c>
      <c r="J140" s="38">
        <f t="shared" si="35"/>
        <v>70.753861221010538</v>
      </c>
      <c r="K140" s="38">
        <f t="shared" si="35"/>
        <v>113.20617795361686</v>
      </c>
      <c r="L140" s="38">
        <f t="shared" si="35"/>
        <v>21.22615836630316</v>
      </c>
      <c r="M140" s="38">
        <f t="shared" si="38"/>
        <v>1415.0772244202108</v>
      </c>
    </row>
    <row r="141" spans="1:13" x14ac:dyDescent="0.25">
      <c r="A141">
        <f t="shared" si="37"/>
        <v>2030</v>
      </c>
      <c r="B141" s="1">
        <v>47635</v>
      </c>
      <c r="C141" s="6">
        <v>1466.333846049376</v>
      </c>
      <c r="D141" s="38">
        <f t="shared" si="36"/>
        <v>498.55350765678787</v>
      </c>
      <c r="E141" s="38">
        <f t="shared" si="36"/>
        <v>469.22683073580032</v>
      </c>
      <c r="F141" s="38">
        <f t="shared" si="36"/>
        <v>58.65335384197504</v>
      </c>
      <c r="G141" s="38">
        <f t="shared" si="35"/>
        <v>36.658346151234404</v>
      </c>
      <c r="H141" s="38">
        <f t="shared" si="35"/>
        <v>175.96006152592511</v>
      </c>
      <c r="I141" s="38">
        <f t="shared" si="35"/>
        <v>14.66333846049376</v>
      </c>
      <c r="J141" s="38">
        <f t="shared" si="35"/>
        <v>73.316692302468809</v>
      </c>
      <c r="K141" s="38">
        <f t="shared" si="35"/>
        <v>117.30670768395008</v>
      </c>
      <c r="L141" s="38">
        <f t="shared" si="35"/>
        <v>21.995007690740639</v>
      </c>
      <c r="M141" s="38">
        <f t="shared" si="38"/>
        <v>1466.333846049376</v>
      </c>
    </row>
    <row r="142" spans="1:13" x14ac:dyDescent="0.25">
      <c r="A142">
        <f t="shared" si="37"/>
        <v>2030</v>
      </c>
      <c r="B142" s="1">
        <v>47665</v>
      </c>
      <c r="C142" s="6">
        <v>1265.1979619681285</v>
      </c>
      <c r="D142" s="38">
        <f t="shared" si="36"/>
        <v>430.16730706916371</v>
      </c>
      <c r="E142" s="38">
        <f t="shared" si="36"/>
        <v>404.86334782980111</v>
      </c>
      <c r="F142" s="38">
        <f t="shared" si="36"/>
        <v>50.607918478725139</v>
      </c>
      <c r="G142" s="38">
        <f t="shared" si="35"/>
        <v>31.629949049203216</v>
      </c>
      <c r="H142" s="38">
        <f t="shared" si="35"/>
        <v>151.82375543617542</v>
      </c>
      <c r="I142" s="38">
        <f t="shared" si="35"/>
        <v>12.651979619681285</v>
      </c>
      <c r="J142" s="38">
        <f t="shared" si="35"/>
        <v>63.259898098406431</v>
      </c>
      <c r="K142" s="38">
        <f t="shared" si="35"/>
        <v>101.21583695745028</v>
      </c>
      <c r="L142" s="38">
        <f t="shared" si="35"/>
        <v>18.977969429521927</v>
      </c>
      <c r="M142" s="38">
        <f t="shared" si="38"/>
        <v>1265.1979619681285</v>
      </c>
    </row>
    <row r="143" spans="1:13" x14ac:dyDescent="0.25">
      <c r="A143">
        <f t="shared" si="37"/>
        <v>2030</v>
      </c>
      <c r="B143" s="1">
        <v>47696</v>
      </c>
      <c r="C143" s="6">
        <v>1377.914195045001</v>
      </c>
      <c r="D143" s="38">
        <f t="shared" si="36"/>
        <v>468.49082631530035</v>
      </c>
      <c r="E143" s="38">
        <f t="shared" si="36"/>
        <v>440.9325424144003</v>
      </c>
      <c r="F143" s="38">
        <f t="shared" si="36"/>
        <v>55.116567801800038</v>
      </c>
      <c r="G143" s="38">
        <f t="shared" si="35"/>
        <v>34.447854876125028</v>
      </c>
      <c r="H143" s="38">
        <f t="shared" si="35"/>
        <v>165.34970340540011</v>
      </c>
      <c r="I143" s="38">
        <f t="shared" si="35"/>
        <v>13.779141950450009</v>
      </c>
      <c r="J143" s="38">
        <f t="shared" si="35"/>
        <v>68.895709752250056</v>
      </c>
      <c r="K143" s="38">
        <f t="shared" si="35"/>
        <v>110.23313560360008</v>
      </c>
      <c r="L143" s="38">
        <f t="shared" si="35"/>
        <v>20.668712925675013</v>
      </c>
      <c r="M143" s="38">
        <f t="shared" si="38"/>
        <v>1377.9141950450007</v>
      </c>
    </row>
    <row r="144" spans="1:13" x14ac:dyDescent="0.25">
      <c r="A144">
        <f t="shared" si="37"/>
        <v>2030</v>
      </c>
      <c r="B144" s="1">
        <v>47727</v>
      </c>
      <c r="C144" s="6">
        <v>1390.2351662036854</v>
      </c>
      <c r="D144" s="38">
        <f t="shared" si="36"/>
        <v>472.67995650925303</v>
      </c>
      <c r="E144" s="38">
        <f t="shared" si="36"/>
        <v>444.8752531851793</v>
      </c>
      <c r="F144" s="38">
        <f t="shared" si="36"/>
        <v>55.609406648147413</v>
      </c>
      <c r="G144" s="38">
        <f t="shared" si="35"/>
        <v>34.755879155092138</v>
      </c>
      <c r="H144" s="38">
        <f t="shared" si="35"/>
        <v>166.82821994444222</v>
      </c>
      <c r="I144" s="38">
        <f t="shared" si="35"/>
        <v>13.902351662036853</v>
      </c>
      <c r="J144" s="38">
        <f t="shared" si="35"/>
        <v>69.511758310184277</v>
      </c>
      <c r="K144" s="38">
        <f t="shared" si="35"/>
        <v>111.21881329629483</v>
      </c>
      <c r="L144" s="38">
        <f t="shared" si="35"/>
        <v>20.853527493055278</v>
      </c>
      <c r="M144" s="38">
        <f t="shared" si="38"/>
        <v>1390.2351662036851</v>
      </c>
    </row>
    <row r="145" spans="1:13" x14ac:dyDescent="0.25">
      <c r="A145">
        <f t="shared" si="37"/>
        <v>2030</v>
      </c>
      <c r="B145" s="1">
        <v>47757</v>
      </c>
      <c r="C145" s="6">
        <v>1418.1630447663979</v>
      </c>
      <c r="D145" s="38">
        <f t="shared" si="36"/>
        <v>482.17543522057531</v>
      </c>
      <c r="E145" s="38">
        <f t="shared" si="36"/>
        <v>453.81217432524733</v>
      </c>
      <c r="F145" s="38">
        <f t="shared" si="36"/>
        <v>56.726521790655916</v>
      </c>
      <c r="G145" s="38">
        <f t="shared" si="35"/>
        <v>35.45407611915995</v>
      </c>
      <c r="H145" s="38">
        <f t="shared" si="35"/>
        <v>170.17956537196773</v>
      </c>
      <c r="I145" s="38">
        <f t="shared" si="35"/>
        <v>14.181630447663979</v>
      </c>
      <c r="J145" s="38">
        <f t="shared" si="35"/>
        <v>70.9081522383199</v>
      </c>
      <c r="K145" s="38">
        <f t="shared" si="35"/>
        <v>113.45304358131183</v>
      </c>
      <c r="L145" s="38">
        <f t="shared" si="35"/>
        <v>21.272445671495966</v>
      </c>
      <c r="M145" s="38">
        <f t="shared" si="38"/>
        <v>1418.1630447663981</v>
      </c>
    </row>
    <row r="146" spans="1:13" x14ac:dyDescent="0.25">
      <c r="A146">
        <f t="shared" si="37"/>
        <v>2030</v>
      </c>
      <c r="B146" s="1">
        <v>47788</v>
      </c>
      <c r="C146" s="6">
        <v>1393.691121439834</v>
      </c>
      <c r="D146" s="38">
        <f t="shared" si="36"/>
        <v>473.85498128954356</v>
      </c>
      <c r="E146" s="38">
        <f t="shared" si="36"/>
        <v>445.98115886074686</v>
      </c>
      <c r="F146" s="38">
        <f t="shared" si="36"/>
        <v>55.747644857593357</v>
      </c>
      <c r="G146" s="38">
        <f t="shared" si="35"/>
        <v>34.842278035995854</v>
      </c>
      <c r="H146" s="38">
        <f t="shared" si="35"/>
        <v>167.24293457278006</v>
      </c>
      <c r="I146" s="38">
        <f t="shared" si="35"/>
        <v>13.936911214398339</v>
      </c>
      <c r="J146" s="38">
        <f t="shared" si="35"/>
        <v>69.684556071991707</v>
      </c>
      <c r="K146" s="38">
        <f t="shared" si="35"/>
        <v>111.49528971518671</v>
      </c>
      <c r="L146" s="38">
        <f t="shared" si="35"/>
        <v>20.905366821597507</v>
      </c>
      <c r="M146" s="38">
        <f t="shared" si="38"/>
        <v>1393.691121439834</v>
      </c>
    </row>
    <row r="147" spans="1:13" x14ac:dyDescent="0.25">
      <c r="A147">
        <f t="shared" si="37"/>
        <v>2030</v>
      </c>
      <c r="B147" s="1">
        <v>47818</v>
      </c>
      <c r="C147" s="6">
        <v>1373.646069263239</v>
      </c>
      <c r="D147" s="38">
        <f t="shared" si="36"/>
        <v>467.03966354950131</v>
      </c>
      <c r="E147" s="38">
        <f t="shared" si="36"/>
        <v>439.56674216423653</v>
      </c>
      <c r="F147" s="38">
        <f t="shared" si="36"/>
        <v>54.945842770529566</v>
      </c>
      <c r="G147" s="38">
        <f t="shared" si="35"/>
        <v>34.341151731580979</v>
      </c>
      <c r="H147" s="38">
        <f t="shared" si="35"/>
        <v>164.83752831158867</v>
      </c>
      <c r="I147" s="38">
        <f t="shared" si="35"/>
        <v>13.736460692632392</v>
      </c>
      <c r="J147" s="38">
        <f t="shared" si="35"/>
        <v>68.682303463161958</v>
      </c>
      <c r="K147" s="38">
        <f t="shared" si="35"/>
        <v>109.89168554105913</v>
      </c>
      <c r="L147" s="38">
        <f t="shared" si="35"/>
        <v>20.604691038948584</v>
      </c>
      <c r="M147" s="38">
        <f t="shared" si="38"/>
        <v>1373.6460692632393</v>
      </c>
    </row>
    <row r="148" spans="1:13" x14ac:dyDescent="0.25">
      <c r="A148">
        <f t="shared" si="37"/>
        <v>2031</v>
      </c>
      <c r="B148" s="1">
        <v>47849</v>
      </c>
      <c r="C148" s="6">
        <v>1642.9000352094165</v>
      </c>
      <c r="D148" s="38">
        <f t="shared" si="36"/>
        <v>558.58601197120163</v>
      </c>
      <c r="E148" s="38">
        <f t="shared" si="36"/>
        <v>525.72801126701324</v>
      </c>
      <c r="F148" s="38">
        <f t="shared" si="36"/>
        <v>65.716001408376655</v>
      </c>
      <c r="G148" s="38">
        <f t="shared" si="35"/>
        <v>41.072500880235417</v>
      </c>
      <c r="H148" s="38">
        <f t="shared" si="35"/>
        <v>197.14800422512997</v>
      </c>
      <c r="I148" s="38">
        <f t="shared" si="35"/>
        <v>16.429000352094164</v>
      </c>
      <c r="J148" s="38">
        <f t="shared" si="35"/>
        <v>82.145001760470834</v>
      </c>
      <c r="K148" s="38">
        <f t="shared" si="35"/>
        <v>131.43200281675331</v>
      </c>
      <c r="L148" s="38">
        <f t="shared" si="35"/>
        <v>24.643500528141246</v>
      </c>
      <c r="M148" s="38">
        <f t="shared" si="38"/>
        <v>1642.900035209416</v>
      </c>
    </row>
    <row r="149" spans="1:13" x14ac:dyDescent="0.25">
      <c r="A149">
        <f t="shared" si="37"/>
        <v>2031</v>
      </c>
      <c r="B149" s="1">
        <v>47880</v>
      </c>
      <c r="C149" s="6">
        <v>1552.634945911062</v>
      </c>
      <c r="D149" s="38">
        <f t="shared" si="36"/>
        <v>527.89588160976109</v>
      </c>
      <c r="E149" s="38">
        <f t="shared" si="36"/>
        <v>496.84318269153988</v>
      </c>
      <c r="F149" s="38">
        <f t="shared" si="36"/>
        <v>62.105397836442485</v>
      </c>
      <c r="G149" s="38">
        <f t="shared" si="35"/>
        <v>38.815873647776556</v>
      </c>
      <c r="H149" s="38">
        <f t="shared" si="35"/>
        <v>186.31619350932743</v>
      </c>
      <c r="I149" s="38">
        <f t="shared" si="35"/>
        <v>15.526349459110621</v>
      </c>
      <c r="J149" s="38">
        <f t="shared" si="35"/>
        <v>77.631747295553112</v>
      </c>
      <c r="K149" s="38">
        <f t="shared" si="35"/>
        <v>124.21079567288497</v>
      </c>
      <c r="L149" s="38">
        <f t="shared" si="35"/>
        <v>23.289524188665929</v>
      </c>
      <c r="M149" s="38">
        <f t="shared" si="38"/>
        <v>1552.634945911062</v>
      </c>
    </row>
    <row r="150" spans="1:13" x14ac:dyDescent="0.25">
      <c r="A150">
        <f t="shared" si="37"/>
        <v>2031</v>
      </c>
      <c r="B150" s="1">
        <v>47908</v>
      </c>
      <c r="C150" s="6">
        <v>1575.7091168364605</v>
      </c>
      <c r="D150" s="38">
        <f t="shared" si="36"/>
        <v>535.74109972439658</v>
      </c>
      <c r="E150" s="38">
        <f t="shared" si="36"/>
        <v>504.22691738766736</v>
      </c>
      <c r="F150" s="38">
        <f t="shared" si="36"/>
        <v>63.02836467345842</v>
      </c>
      <c r="G150" s="38">
        <f t="shared" si="35"/>
        <v>39.392727920911511</v>
      </c>
      <c r="H150" s="38">
        <f t="shared" si="35"/>
        <v>189.08509402037524</v>
      </c>
      <c r="I150" s="38">
        <f t="shared" si="35"/>
        <v>15.757091168364605</v>
      </c>
      <c r="J150" s="38">
        <f t="shared" si="35"/>
        <v>78.785455841823023</v>
      </c>
      <c r="K150" s="38">
        <f t="shared" si="35"/>
        <v>126.05672934691684</v>
      </c>
      <c r="L150" s="38">
        <f t="shared" si="35"/>
        <v>23.635636752546905</v>
      </c>
      <c r="M150" s="38">
        <f t="shared" si="38"/>
        <v>1575.7091168364605</v>
      </c>
    </row>
    <row r="151" spans="1:13" x14ac:dyDescent="0.25">
      <c r="A151">
        <f t="shared" si="37"/>
        <v>2031</v>
      </c>
      <c r="B151" s="1">
        <v>47939</v>
      </c>
      <c r="C151" s="6">
        <v>1531.9642165041846</v>
      </c>
      <c r="D151" s="38">
        <f t="shared" si="36"/>
        <v>520.86783361142284</v>
      </c>
      <c r="E151" s="38">
        <f t="shared" si="36"/>
        <v>490.2285492813391</v>
      </c>
      <c r="F151" s="38">
        <f t="shared" si="36"/>
        <v>61.278568660167387</v>
      </c>
      <c r="G151" s="38">
        <f t="shared" si="35"/>
        <v>38.299105412604618</v>
      </c>
      <c r="H151" s="38">
        <f t="shared" si="35"/>
        <v>183.83570598050215</v>
      </c>
      <c r="I151" s="38">
        <f t="shared" si="35"/>
        <v>15.319642165041847</v>
      </c>
      <c r="J151" s="38">
        <f t="shared" si="35"/>
        <v>76.598210825209236</v>
      </c>
      <c r="K151" s="38">
        <f t="shared" si="35"/>
        <v>122.55713732033477</v>
      </c>
      <c r="L151" s="38">
        <f t="shared" si="35"/>
        <v>22.979463247562769</v>
      </c>
      <c r="M151" s="38">
        <f t="shared" si="38"/>
        <v>1531.9642165041846</v>
      </c>
    </row>
    <row r="152" spans="1:13" x14ac:dyDescent="0.25">
      <c r="A152">
        <f t="shared" si="37"/>
        <v>2031</v>
      </c>
      <c r="B152" s="1">
        <v>47969</v>
      </c>
      <c r="C152" s="6">
        <v>1438.3550699522816</v>
      </c>
      <c r="D152" s="38">
        <f t="shared" si="36"/>
        <v>489.04072378377577</v>
      </c>
      <c r="E152" s="38">
        <f t="shared" si="36"/>
        <v>460.27362238473012</v>
      </c>
      <c r="F152" s="38">
        <f t="shared" si="36"/>
        <v>57.534202798091265</v>
      </c>
      <c r="G152" s="38">
        <f t="shared" si="35"/>
        <v>35.958876748807043</v>
      </c>
      <c r="H152" s="38">
        <f t="shared" si="35"/>
        <v>172.60260839427377</v>
      </c>
      <c r="I152" s="38">
        <f t="shared" si="35"/>
        <v>14.383550699522816</v>
      </c>
      <c r="J152" s="38">
        <f t="shared" si="35"/>
        <v>71.917753497614086</v>
      </c>
      <c r="K152" s="38">
        <f t="shared" si="35"/>
        <v>115.06840559618253</v>
      </c>
      <c r="L152" s="38">
        <f t="shared" si="35"/>
        <v>21.575326049284222</v>
      </c>
      <c r="M152" s="38">
        <f t="shared" si="38"/>
        <v>1438.3550699522818</v>
      </c>
    </row>
    <row r="153" spans="1:13" x14ac:dyDescent="0.25">
      <c r="A153">
        <f t="shared" si="37"/>
        <v>2031</v>
      </c>
      <c r="B153" s="1">
        <v>48000</v>
      </c>
      <c r="C153" s="6">
        <v>1419.5049734096335</v>
      </c>
      <c r="D153" s="38">
        <f t="shared" si="36"/>
        <v>482.63169095927543</v>
      </c>
      <c r="E153" s="38">
        <f t="shared" si="36"/>
        <v>454.24159149108272</v>
      </c>
      <c r="F153" s="38">
        <f t="shared" si="36"/>
        <v>56.780198936385339</v>
      </c>
      <c r="G153" s="38">
        <f t="shared" si="35"/>
        <v>35.487624335240838</v>
      </c>
      <c r="H153" s="38">
        <f t="shared" si="35"/>
        <v>170.34059680915601</v>
      </c>
      <c r="I153" s="38">
        <f t="shared" si="35"/>
        <v>14.195049734096335</v>
      </c>
      <c r="J153" s="38">
        <f t="shared" si="35"/>
        <v>70.975248670481676</v>
      </c>
      <c r="K153" s="38">
        <f t="shared" si="35"/>
        <v>113.56039787277068</v>
      </c>
      <c r="L153" s="38">
        <f t="shared" si="35"/>
        <v>21.292574601144501</v>
      </c>
      <c r="M153" s="38">
        <f t="shared" si="38"/>
        <v>1419.5049734096335</v>
      </c>
    </row>
    <row r="154" spans="1:13" x14ac:dyDescent="0.25">
      <c r="A154">
        <f t="shared" si="37"/>
        <v>2031</v>
      </c>
      <c r="B154" s="1">
        <v>48030</v>
      </c>
      <c r="C154" s="6">
        <v>1313.622525430621</v>
      </c>
      <c r="D154" s="38">
        <f t="shared" si="36"/>
        <v>446.63165864641115</v>
      </c>
      <c r="E154" s="38">
        <f t="shared" si="36"/>
        <v>420.3592081377987</v>
      </c>
      <c r="F154" s="38">
        <f t="shared" si="36"/>
        <v>52.544901017224838</v>
      </c>
      <c r="G154" s="38">
        <f t="shared" si="35"/>
        <v>32.840563135765528</v>
      </c>
      <c r="H154" s="38">
        <f t="shared" si="35"/>
        <v>157.63470305167451</v>
      </c>
      <c r="I154" s="38">
        <f t="shared" si="35"/>
        <v>13.136225254306209</v>
      </c>
      <c r="J154" s="38">
        <f t="shared" si="35"/>
        <v>65.681126271531056</v>
      </c>
      <c r="K154" s="38">
        <f t="shared" si="35"/>
        <v>105.08980203444968</v>
      </c>
      <c r="L154" s="38">
        <f t="shared" si="35"/>
        <v>19.704337881459313</v>
      </c>
      <c r="M154" s="38">
        <f t="shared" si="38"/>
        <v>1313.622525430621</v>
      </c>
    </row>
    <row r="155" spans="1:13" x14ac:dyDescent="0.25">
      <c r="A155">
        <f t="shared" si="37"/>
        <v>2031</v>
      </c>
      <c r="B155" s="1">
        <v>48061</v>
      </c>
      <c r="C155" s="6">
        <v>1287.1423647323518</v>
      </c>
      <c r="D155" s="38">
        <f t="shared" si="36"/>
        <v>437.62840400899961</v>
      </c>
      <c r="E155" s="38">
        <f t="shared" si="36"/>
        <v>411.88555671435256</v>
      </c>
      <c r="F155" s="38">
        <f t="shared" si="36"/>
        <v>51.48569458929407</v>
      </c>
      <c r="G155" s="38">
        <f t="shared" si="35"/>
        <v>32.178559118308797</v>
      </c>
      <c r="H155" s="38">
        <f t="shared" si="35"/>
        <v>154.45708376788221</v>
      </c>
      <c r="I155" s="38">
        <f t="shared" si="35"/>
        <v>12.871423647323518</v>
      </c>
      <c r="J155" s="38">
        <f t="shared" si="35"/>
        <v>64.357118236617595</v>
      </c>
      <c r="K155" s="38">
        <f t="shared" si="35"/>
        <v>102.97138917858814</v>
      </c>
      <c r="L155" s="38">
        <f t="shared" si="35"/>
        <v>19.307135470985276</v>
      </c>
      <c r="M155" s="38">
        <f t="shared" si="38"/>
        <v>1287.142364732352</v>
      </c>
    </row>
    <row r="156" spans="1:13" x14ac:dyDescent="0.25">
      <c r="A156">
        <f t="shared" si="37"/>
        <v>2031</v>
      </c>
      <c r="B156" s="1">
        <v>48092</v>
      </c>
      <c r="C156" s="6">
        <v>1276.3750351669189</v>
      </c>
      <c r="D156" s="38">
        <f t="shared" si="36"/>
        <v>433.96751195675245</v>
      </c>
      <c r="E156" s="38">
        <f t="shared" si="36"/>
        <v>408.44001125341407</v>
      </c>
      <c r="F156" s="38">
        <f t="shared" si="36"/>
        <v>51.055001406676759</v>
      </c>
      <c r="G156" s="38">
        <f t="shared" si="35"/>
        <v>31.909375879172973</v>
      </c>
      <c r="H156" s="38">
        <f t="shared" si="35"/>
        <v>153.16500422003026</v>
      </c>
      <c r="I156" s="38">
        <f t="shared" si="35"/>
        <v>12.76375035166919</v>
      </c>
      <c r="J156" s="38">
        <f t="shared" si="35"/>
        <v>63.818751758345947</v>
      </c>
      <c r="K156" s="38">
        <f t="shared" si="35"/>
        <v>102.11000281335352</v>
      </c>
      <c r="L156" s="38">
        <f t="shared" si="35"/>
        <v>19.145625527503782</v>
      </c>
      <c r="M156" s="38">
        <f t="shared" si="38"/>
        <v>1276.3750351669191</v>
      </c>
    </row>
    <row r="157" spans="1:13" x14ac:dyDescent="0.25">
      <c r="A157">
        <f t="shared" si="37"/>
        <v>2031</v>
      </c>
      <c r="B157" s="1">
        <v>48122</v>
      </c>
      <c r="C157" s="6">
        <v>1305.0197787710952</v>
      </c>
      <c r="D157" s="38">
        <f t="shared" si="36"/>
        <v>443.70672478217239</v>
      </c>
      <c r="E157" s="38">
        <f t="shared" si="36"/>
        <v>417.60632920675044</v>
      </c>
      <c r="F157" s="38">
        <f t="shared" si="36"/>
        <v>52.200791150843806</v>
      </c>
      <c r="G157" s="38">
        <f t="shared" si="35"/>
        <v>32.625494469277378</v>
      </c>
      <c r="H157" s="38">
        <f t="shared" si="35"/>
        <v>156.60237345253142</v>
      </c>
      <c r="I157" s="38">
        <f t="shared" si="35"/>
        <v>13.050197787710951</v>
      </c>
      <c r="J157" s="38">
        <f t="shared" si="35"/>
        <v>65.250988938554755</v>
      </c>
      <c r="K157" s="38">
        <f t="shared" si="35"/>
        <v>104.40158230168761</v>
      </c>
      <c r="L157" s="38">
        <f t="shared" si="35"/>
        <v>19.575296681566428</v>
      </c>
      <c r="M157" s="38">
        <f t="shared" si="38"/>
        <v>1305.0197787710949</v>
      </c>
    </row>
    <row r="158" spans="1:13" x14ac:dyDescent="0.25">
      <c r="A158">
        <f t="shared" si="37"/>
        <v>2031</v>
      </c>
      <c r="B158" s="1">
        <v>48153</v>
      </c>
      <c r="C158" s="6">
        <v>1300.0192255520615</v>
      </c>
      <c r="D158" s="38">
        <f t="shared" si="36"/>
        <v>442.00653668770093</v>
      </c>
      <c r="E158" s="38">
        <f t="shared" si="36"/>
        <v>416.00615217665967</v>
      </c>
      <c r="F158" s="38">
        <f t="shared" si="36"/>
        <v>52.000769022082459</v>
      </c>
      <c r="G158" s="38">
        <f t="shared" si="36"/>
        <v>32.500480638801541</v>
      </c>
      <c r="H158" s="38">
        <f t="shared" si="36"/>
        <v>156.00230706624737</v>
      </c>
      <c r="I158" s="38">
        <f t="shared" si="36"/>
        <v>13.000192255520615</v>
      </c>
      <c r="J158" s="38">
        <f t="shared" si="36"/>
        <v>65.000961277603082</v>
      </c>
      <c r="K158" s="38">
        <f t="shared" si="36"/>
        <v>104.00153804416492</v>
      </c>
      <c r="L158" s="38">
        <f t="shared" si="36"/>
        <v>19.500288383280921</v>
      </c>
      <c r="M158" s="38">
        <f t="shared" si="38"/>
        <v>1300.0192255520615</v>
      </c>
    </row>
    <row r="159" spans="1:13" x14ac:dyDescent="0.25">
      <c r="A159">
        <f t="shared" si="37"/>
        <v>2031</v>
      </c>
      <c r="B159" s="1">
        <v>48183</v>
      </c>
      <c r="C159" s="6">
        <v>1290.0319989689367</v>
      </c>
      <c r="D159" s="38">
        <f t="shared" ref="D159:L183" si="39">+$C159*D$1</f>
        <v>438.61087964943852</v>
      </c>
      <c r="E159" s="38">
        <f t="shared" si="39"/>
        <v>412.81023967005973</v>
      </c>
      <c r="F159" s="38">
        <f t="shared" si="39"/>
        <v>51.601279958757466</v>
      </c>
      <c r="G159" s="38">
        <f t="shared" si="39"/>
        <v>32.250799974223419</v>
      </c>
      <c r="H159" s="38">
        <f t="shared" si="39"/>
        <v>154.80383987627241</v>
      </c>
      <c r="I159" s="38">
        <f t="shared" si="39"/>
        <v>12.900319989689367</v>
      </c>
      <c r="J159" s="38">
        <f t="shared" si="39"/>
        <v>64.501599948446838</v>
      </c>
      <c r="K159" s="38">
        <f t="shared" si="39"/>
        <v>103.20255991751493</v>
      </c>
      <c r="L159" s="38">
        <f t="shared" si="39"/>
        <v>19.350479984534051</v>
      </c>
      <c r="M159" s="38">
        <f t="shared" si="38"/>
        <v>1290.0319989689372</v>
      </c>
    </row>
    <row r="160" spans="1:13" x14ac:dyDescent="0.25">
      <c r="A160">
        <f t="shared" si="37"/>
        <v>2032</v>
      </c>
      <c r="B160" s="1">
        <v>48214</v>
      </c>
      <c r="C160" s="6">
        <v>1456.0029740833193</v>
      </c>
      <c r="D160" s="38">
        <f t="shared" si="39"/>
        <v>495.04101118832858</v>
      </c>
      <c r="E160" s="38">
        <f t="shared" si="39"/>
        <v>465.92095170666215</v>
      </c>
      <c r="F160" s="38">
        <f t="shared" si="39"/>
        <v>58.240118963332769</v>
      </c>
      <c r="G160" s="38">
        <f t="shared" si="39"/>
        <v>36.400074352082981</v>
      </c>
      <c r="H160" s="38">
        <f t="shared" si="39"/>
        <v>174.7203568899983</v>
      </c>
      <c r="I160" s="38">
        <f t="shared" si="39"/>
        <v>14.560029740833192</v>
      </c>
      <c r="J160" s="38">
        <f t="shared" si="39"/>
        <v>72.800148704165963</v>
      </c>
      <c r="K160" s="38">
        <f t="shared" si="39"/>
        <v>116.48023792666554</v>
      </c>
      <c r="L160" s="38">
        <f t="shared" si="39"/>
        <v>21.840044611249787</v>
      </c>
      <c r="M160" s="38">
        <f t="shared" si="38"/>
        <v>1456.0029740833193</v>
      </c>
    </row>
    <row r="161" spans="1:13" x14ac:dyDescent="0.25">
      <c r="A161">
        <f t="shared" si="37"/>
        <v>2032</v>
      </c>
      <c r="B161" s="1">
        <v>48245</v>
      </c>
      <c r="C161" s="6">
        <v>1474.3345380086253</v>
      </c>
      <c r="D161" s="38">
        <f t="shared" si="39"/>
        <v>501.27374292293263</v>
      </c>
      <c r="E161" s="38">
        <f t="shared" si="39"/>
        <v>471.78705216276012</v>
      </c>
      <c r="F161" s="38">
        <f t="shared" si="39"/>
        <v>58.973381520345015</v>
      </c>
      <c r="G161" s="38">
        <f t="shared" si="39"/>
        <v>36.858363450215634</v>
      </c>
      <c r="H161" s="38">
        <f t="shared" si="39"/>
        <v>176.92014456103502</v>
      </c>
      <c r="I161" s="38">
        <f t="shared" si="39"/>
        <v>14.743345380086254</v>
      </c>
      <c r="J161" s="38">
        <f t="shared" si="39"/>
        <v>73.716726900431269</v>
      </c>
      <c r="K161" s="38">
        <f t="shared" si="39"/>
        <v>117.94676304069003</v>
      </c>
      <c r="L161" s="38">
        <f t="shared" si="39"/>
        <v>22.115018070129377</v>
      </c>
      <c r="M161" s="38">
        <f t="shared" si="38"/>
        <v>1474.3345380086253</v>
      </c>
    </row>
    <row r="162" spans="1:13" x14ac:dyDescent="0.25">
      <c r="A162">
        <f t="shared" si="37"/>
        <v>2032</v>
      </c>
      <c r="B162" s="1">
        <v>48274</v>
      </c>
      <c r="C162" s="6">
        <v>1410.4049186807604</v>
      </c>
      <c r="D162" s="38">
        <f t="shared" si="39"/>
        <v>479.53767235145858</v>
      </c>
      <c r="E162" s="38">
        <f t="shared" si="39"/>
        <v>451.32957397784332</v>
      </c>
      <c r="F162" s="38">
        <f t="shared" si="39"/>
        <v>56.416196747230416</v>
      </c>
      <c r="G162" s="38">
        <f t="shared" si="39"/>
        <v>35.260122967019008</v>
      </c>
      <c r="H162" s="38">
        <f t="shared" si="39"/>
        <v>169.24859024169123</v>
      </c>
      <c r="I162" s="38">
        <f t="shared" si="39"/>
        <v>14.104049186807604</v>
      </c>
      <c r="J162" s="38">
        <f t="shared" si="39"/>
        <v>70.520245934038016</v>
      </c>
      <c r="K162" s="38">
        <f t="shared" si="39"/>
        <v>112.83239349446083</v>
      </c>
      <c r="L162" s="38">
        <f t="shared" si="39"/>
        <v>21.156073780211404</v>
      </c>
      <c r="M162" s="38">
        <f t="shared" si="38"/>
        <v>1410.4049186807604</v>
      </c>
    </row>
    <row r="163" spans="1:13" x14ac:dyDescent="0.25">
      <c r="A163">
        <f t="shared" si="37"/>
        <v>2032</v>
      </c>
      <c r="B163" s="1">
        <v>48305</v>
      </c>
      <c r="C163" s="6">
        <v>1473.9149526255028</v>
      </c>
      <c r="D163" s="38">
        <f t="shared" si="39"/>
        <v>501.13108389267097</v>
      </c>
      <c r="E163" s="38">
        <f t="shared" si="39"/>
        <v>471.6527848401609</v>
      </c>
      <c r="F163" s="38">
        <f t="shared" si="39"/>
        <v>58.956598105020113</v>
      </c>
      <c r="G163" s="38">
        <f t="shared" si="39"/>
        <v>36.84787381563757</v>
      </c>
      <c r="H163" s="38">
        <f t="shared" si="39"/>
        <v>176.86979431506032</v>
      </c>
      <c r="I163" s="38">
        <f t="shared" si="39"/>
        <v>14.739149526255028</v>
      </c>
      <c r="J163" s="38">
        <f t="shared" si="39"/>
        <v>73.69574763127514</v>
      </c>
      <c r="K163" s="38">
        <f t="shared" si="39"/>
        <v>117.91319621004023</v>
      </c>
      <c r="L163" s="38">
        <f t="shared" si="39"/>
        <v>22.10872428938254</v>
      </c>
      <c r="M163" s="38">
        <f t="shared" si="38"/>
        <v>1473.9149526255028</v>
      </c>
    </row>
    <row r="164" spans="1:13" x14ac:dyDescent="0.25">
      <c r="A164">
        <f t="shared" si="37"/>
        <v>2032</v>
      </c>
      <c r="B164" s="1">
        <v>48335</v>
      </c>
      <c r="C164" s="6">
        <v>1378.5387367846529</v>
      </c>
      <c r="D164" s="38">
        <f t="shared" si="39"/>
        <v>468.70317050678199</v>
      </c>
      <c r="E164" s="38">
        <f t="shared" si="39"/>
        <v>441.13239577108891</v>
      </c>
      <c r="F164" s="38">
        <f t="shared" si="39"/>
        <v>55.141549471386114</v>
      </c>
      <c r="G164" s="38">
        <f t="shared" si="39"/>
        <v>34.463468419616326</v>
      </c>
      <c r="H164" s="38">
        <f t="shared" si="39"/>
        <v>165.42464841415833</v>
      </c>
      <c r="I164" s="38">
        <f t="shared" si="39"/>
        <v>13.785387367846528</v>
      </c>
      <c r="J164" s="38">
        <f t="shared" si="39"/>
        <v>68.926936839232653</v>
      </c>
      <c r="K164" s="38">
        <f t="shared" si="39"/>
        <v>110.28309894277223</v>
      </c>
      <c r="L164" s="38">
        <f t="shared" si="39"/>
        <v>20.678081051769791</v>
      </c>
      <c r="M164" s="38">
        <f t="shared" si="38"/>
        <v>1378.5387367846531</v>
      </c>
    </row>
    <row r="165" spans="1:13" x14ac:dyDescent="0.25">
      <c r="A165">
        <f t="shared" si="37"/>
        <v>2032</v>
      </c>
      <c r="B165" s="1">
        <v>48366</v>
      </c>
      <c r="C165" s="6">
        <v>1434.528460594192</v>
      </c>
      <c r="D165" s="38">
        <f t="shared" si="39"/>
        <v>487.73967660202533</v>
      </c>
      <c r="E165" s="38">
        <f t="shared" si="39"/>
        <v>459.04910739014144</v>
      </c>
      <c r="F165" s="38">
        <f t="shared" si="39"/>
        <v>57.38113842376768</v>
      </c>
      <c r="G165" s="38">
        <f t="shared" si="39"/>
        <v>35.863211514854804</v>
      </c>
      <c r="H165" s="38">
        <f t="shared" si="39"/>
        <v>172.14341527130304</v>
      </c>
      <c r="I165" s="38">
        <f t="shared" si="39"/>
        <v>14.34528460594192</v>
      </c>
      <c r="J165" s="38">
        <f t="shared" si="39"/>
        <v>71.726423029709608</v>
      </c>
      <c r="K165" s="38">
        <f t="shared" si="39"/>
        <v>114.76227684753536</v>
      </c>
      <c r="L165" s="38">
        <f t="shared" si="39"/>
        <v>21.51792690891288</v>
      </c>
      <c r="M165" s="38">
        <f t="shared" si="38"/>
        <v>1434.528460594192</v>
      </c>
    </row>
    <row r="166" spans="1:13" x14ac:dyDescent="0.25">
      <c r="A166">
        <f t="shared" si="37"/>
        <v>2032</v>
      </c>
      <c r="B166" s="1">
        <v>48396</v>
      </c>
      <c r="C166" s="6">
        <v>1347.8655244585143</v>
      </c>
      <c r="D166" s="38">
        <f t="shared" si="39"/>
        <v>458.27427831589489</v>
      </c>
      <c r="E166" s="38">
        <f t="shared" si="39"/>
        <v>431.31696782672458</v>
      </c>
      <c r="F166" s="38">
        <f t="shared" si="39"/>
        <v>53.914620978340572</v>
      </c>
      <c r="G166" s="38">
        <f t="shared" si="39"/>
        <v>33.69663811146286</v>
      </c>
      <c r="H166" s="38">
        <f t="shared" si="39"/>
        <v>161.74386293502172</v>
      </c>
      <c r="I166" s="38">
        <f t="shared" si="39"/>
        <v>13.478655244585143</v>
      </c>
      <c r="J166" s="38">
        <f t="shared" si="39"/>
        <v>67.393276222925721</v>
      </c>
      <c r="K166" s="38">
        <f t="shared" si="39"/>
        <v>107.82924195668114</v>
      </c>
      <c r="L166" s="38">
        <f t="shared" si="39"/>
        <v>20.217982866877716</v>
      </c>
      <c r="M166" s="38">
        <f t="shared" si="38"/>
        <v>1347.8655244585145</v>
      </c>
    </row>
    <row r="167" spans="1:13" x14ac:dyDescent="0.25">
      <c r="A167">
        <f t="shared" si="37"/>
        <v>2032</v>
      </c>
      <c r="B167" s="1">
        <v>48427</v>
      </c>
      <c r="C167" s="6">
        <v>1341.6701064564766</v>
      </c>
      <c r="D167" s="38">
        <f t="shared" si="39"/>
        <v>456.16783619520209</v>
      </c>
      <c r="E167" s="38">
        <f t="shared" si="39"/>
        <v>429.3344340660725</v>
      </c>
      <c r="F167" s="38">
        <f t="shared" si="39"/>
        <v>53.666804258259063</v>
      </c>
      <c r="G167" s="38">
        <f t="shared" si="39"/>
        <v>33.541752661411913</v>
      </c>
      <c r="H167" s="38">
        <f t="shared" si="39"/>
        <v>161.00041277477717</v>
      </c>
      <c r="I167" s="38">
        <f t="shared" si="39"/>
        <v>13.416701064564766</v>
      </c>
      <c r="J167" s="38">
        <f t="shared" si="39"/>
        <v>67.083505322823825</v>
      </c>
      <c r="K167" s="38">
        <f t="shared" si="39"/>
        <v>107.33360851651813</v>
      </c>
      <c r="L167" s="38">
        <f t="shared" si="39"/>
        <v>20.125051596847147</v>
      </c>
      <c r="M167" s="38">
        <f t="shared" si="38"/>
        <v>1341.6701064564766</v>
      </c>
    </row>
    <row r="168" spans="1:13" x14ac:dyDescent="0.25">
      <c r="A168">
        <f t="shared" si="37"/>
        <v>2032</v>
      </c>
      <c r="B168" s="1">
        <v>48458</v>
      </c>
      <c r="C168" s="6">
        <v>1313.7123782517806</v>
      </c>
      <c r="D168" s="38">
        <f t="shared" si="39"/>
        <v>446.66220860560543</v>
      </c>
      <c r="E168" s="38">
        <f t="shared" si="39"/>
        <v>420.38796104056979</v>
      </c>
      <c r="F168" s="38">
        <f t="shared" si="39"/>
        <v>52.548495130071224</v>
      </c>
      <c r="G168" s="38">
        <f t="shared" si="39"/>
        <v>32.842809456294518</v>
      </c>
      <c r="H168" s="38">
        <f t="shared" si="39"/>
        <v>157.64548539021368</v>
      </c>
      <c r="I168" s="38">
        <f t="shared" si="39"/>
        <v>13.137123782517806</v>
      </c>
      <c r="J168" s="38">
        <f t="shared" si="39"/>
        <v>65.685618912589035</v>
      </c>
      <c r="K168" s="38">
        <f t="shared" si="39"/>
        <v>105.09699026014245</v>
      </c>
      <c r="L168" s="38">
        <f t="shared" si="39"/>
        <v>19.70568567377671</v>
      </c>
      <c r="M168" s="38">
        <f t="shared" si="38"/>
        <v>1313.7123782517808</v>
      </c>
    </row>
    <row r="169" spans="1:13" x14ac:dyDescent="0.25">
      <c r="A169">
        <f t="shared" si="37"/>
        <v>2032</v>
      </c>
      <c r="B169" s="1">
        <v>48488</v>
      </c>
      <c r="C169" s="6">
        <v>1370.2369277305313</v>
      </c>
      <c r="D169" s="38">
        <f t="shared" si="39"/>
        <v>465.88055542838066</v>
      </c>
      <c r="E169" s="38">
        <f t="shared" si="39"/>
        <v>438.47581687377004</v>
      </c>
      <c r="F169" s="38">
        <f t="shared" si="39"/>
        <v>54.809477109221255</v>
      </c>
      <c r="G169" s="38">
        <f t="shared" si="39"/>
        <v>34.255923193263285</v>
      </c>
      <c r="H169" s="38">
        <f t="shared" si="39"/>
        <v>164.42843132766376</v>
      </c>
      <c r="I169" s="38">
        <f t="shared" si="39"/>
        <v>13.702369277305314</v>
      </c>
      <c r="J169" s="38">
        <f t="shared" si="39"/>
        <v>68.511846386526571</v>
      </c>
      <c r="K169" s="38">
        <f t="shared" si="39"/>
        <v>109.61895421844251</v>
      </c>
      <c r="L169" s="38">
        <f t="shared" si="39"/>
        <v>20.55355391595797</v>
      </c>
      <c r="M169" s="38">
        <f t="shared" si="38"/>
        <v>1370.2369277305311</v>
      </c>
    </row>
    <row r="170" spans="1:13" x14ac:dyDescent="0.25">
      <c r="A170">
        <f t="shared" si="37"/>
        <v>2032</v>
      </c>
      <c r="B170" s="1">
        <v>48519</v>
      </c>
      <c r="C170" s="6">
        <v>1352.2651240576943</v>
      </c>
      <c r="D170" s="38">
        <f t="shared" si="39"/>
        <v>459.77014217961607</v>
      </c>
      <c r="E170" s="38">
        <f t="shared" si="39"/>
        <v>432.72483969846218</v>
      </c>
      <c r="F170" s="38">
        <f t="shared" si="39"/>
        <v>54.090604962307772</v>
      </c>
      <c r="G170" s="38">
        <f t="shared" si="39"/>
        <v>33.806628101442357</v>
      </c>
      <c r="H170" s="38">
        <f t="shared" si="39"/>
        <v>162.27181488692329</v>
      </c>
      <c r="I170" s="38">
        <f t="shared" si="39"/>
        <v>13.522651240576943</v>
      </c>
      <c r="J170" s="38">
        <f t="shared" si="39"/>
        <v>67.613256202884713</v>
      </c>
      <c r="K170" s="38">
        <f t="shared" si="39"/>
        <v>108.18120992461554</v>
      </c>
      <c r="L170" s="38">
        <f t="shared" si="39"/>
        <v>20.283976860865412</v>
      </c>
      <c r="M170" s="38">
        <f t="shared" si="38"/>
        <v>1352.2651240576945</v>
      </c>
    </row>
    <row r="171" spans="1:13" x14ac:dyDescent="0.25">
      <c r="A171">
        <f t="shared" si="37"/>
        <v>2032</v>
      </c>
      <c r="B171" s="1">
        <v>48549</v>
      </c>
      <c r="C171" s="6">
        <v>1313.125744862361</v>
      </c>
      <c r="D171" s="38">
        <f t="shared" si="39"/>
        <v>446.46275325320278</v>
      </c>
      <c r="E171" s="38">
        <f t="shared" si="39"/>
        <v>420.20023835595555</v>
      </c>
      <c r="F171" s="38">
        <f t="shared" si="39"/>
        <v>52.525029794494444</v>
      </c>
      <c r="G171" s="38">
        <f t="shared" si="39"/>
        <v>32.828143621559029</v>
      </c>
      <c r="H171" s="38">
        <f t="shared" si="39"/>
        <v>157.57508938348332</v>
      </c>
      <c r="I171" s="38">
        <f t="shared" si="39"/>
        <v>13.131257448623611</v>
      </c>
      <c r="J171" s="38">
        <f t="shared" si="39"/>
        <v>65.656287243118058</v>
      </c>
      <c r="K171" s="38">
        <f t="shared" si="39"/>
        <v>105.05005958898889</v>
      </c>
      <c r="L171" s="38">
        <f t="shared" si="39"/>
        <v>19.696886172935415</v>
      </c>
      <c r="M171" s="38">
        <f t="shared" si="38"/>
        <v>1313.1257448623608</v>
      </c>
    </row>
    <row r="172" spans="1:13" x14ac:dyDescent="0.25">
      <c r="A172">
        <f t="shared" si="37"/>
        <v>2033</v>
      </c>
      <c r="B172" s="1">
        <v>48580</v>
      </c>
      <c r="C172" s="6">
        <v>1446.4649550926606</v>
      </c>
      <c r="D172" s="38">
        <f t="shared" si="39"/>
        <v>491.79808473150462</v>
      </c>
      <c r="E172" s="38">
        <f t="shared" si="39"/>
        <v>462.86878562965143</v>
      </c>
      <c r="F172" s="38">
        <f t="shared" si="39"/>
        <v>57.858598203706428</v>
      </c>
      <c r="G172" s="38">
        <f t="shared" si="39"/>
        <v>36.161623877316515</v>
      </c>
      <c r="H172" s="38">
        <f t="shared" si="39"/>
        <v>173.57579461111928</v>
      </c>
      <c r="I172" s="38">
        <f t="shared" si="39"/>
        <v>14.464649550926607</v>
      </c>
      <c r="J172" s="38">
        <f t="shared" si="39"/>
        <v>72.32324775463303</v>
      </c>
      <c r="K172" s="38">
        <f t="shared" si="39"/>
        <v>115.71719640741286</v>
      </c>
      <c r="L172" s="38">
        <f t="shared" si="39"/>
        <v>21.69697432638991</v>
      </c>
      <c r="M172" s="38">
        <f t="shared" si="38"/>
        <v>1446.4649550926606</v>
      </c>
    </row>
    <row r="173" spans="1:13" x14ac:dyDescent="0.25">
      <c r="A173">
        <f t="shared" si="37"/>
        <v>2033</v>
      </c>
      <c r="B173" s="1">
        <v>48611</v>
      </c>
      <c r="C173" s="6">
        <v>1491.6324527205004</v>
      </c>
      <c r="D173" s="38">
        <f t="shared" si="39"/>
        <v>507.15503392497016</v>
      </c>
      <c r="E173" s="38">
        <f t="shared" si="39"/>
        <v>477.32238487056014</v>
      </c>
      <c r="F173" s="38">
        <f t="shared" si="39"/>
        <v>59.665298108820018</v>
      </c>
      <c r="G173" s="38">
        <f t="shared" si="39"/>
        <v>37.290811318012508</v>
      </c>
      <c r="H173" s="38">
        <f t="shared" si="39"/>
        <v>178.99589432646005</v>
      </c>
      <c r="I173" s="38">
        <f t="shared" si="39"/>
        <v>14.916324527205004</v>
      </c>
      <c r="J173" s="38">
        <f t="shared" si="39"/>
        <v>74.581622636025017</v>
      </c>
      <c r="K173" s="38">
        <f t="shared" si="39"/>
        <v>119.33059621764004</v>
      </c>
      <c r="L173" s="38">
        <f t="shared" si="39"/>
        <v>22.374486790807506</v>
      </c>
      <c r="M173" s="38">
        <f t="shared" si="38"/>
        <v>1491.6324527205002</v>
      </c>
    </row>
    <row r="174" spans="1:13" x14ac:dyDescent="0.25">
      <c r="A174">
        <f t="shared" si="37"/>
        <v>2033</v>
      </c>
      <c r="B174" s="1">
        <v>48639</v>
      </c>
      <c r="C174" s="6">
        <v>1494.5923917948921</v>
      </c>
      <c r="D174" s="38">
        <f t="shared" si="39"/>
        <v>508.16141321026339</v>
      </c>
      <c r="E174" s="38">
        <f t="shared" si="39"/>
        <v>478.26956537436547</v>
      </c>
      <c r="F174" s="38">
        <f t="shared" si="39"/>
        <v>59.783695671795684</v>
      </c>
      <c r="G174" s="38">
        <f t="shared" si="39"/>
        <v>37.364809794872308</v>
      </c>
      <c r="H174" s="38">
        <f t="shared" si="39"/>
        <v>179.35108701538704</v>
      </c>
      <c r="I174" s="38">
        <f t="shared" si="39"/>
        <v>14.945923917948921</v>
      </c>
      <c r="J174" s="38">
        <f t="shared" si="39"/>
        <v>74.729619589744615</v>
      </c>
      <c r="K174" s="38">
        <f t="shared" si="39"/>
        <v>119.56739134359137</v>
      </c>
      <c r="L174" s="38">
        <f t="shared" si="39"/>
        <v>22.41888587692338</v>
      </c>
      <c r="M174" s="38">
        <f t="shared" si="38"/>
        <v>1494.5923917948924</v>
      </c>
    </row>
    <row r="175" spans="1:13" x14ac:dyDescent="0.25">
      <c r="A175">
        <f t="shared" si="37"/>
        <v>2033</v>
      </c>
      <c r="B175" s="1">
        <v>48670</v>
      </c>
      <c r="C175" s="6">
        <v>1440.3716002776446</v>
      </c>
      <c r="D175" s="38">
        <f t="shared" si="39"/>
        <v>489.72634409439917</v>
      </c>
      <c r="E175" s="38">
        <f t="shared" si="39"/>
        <v>460.9189120888463</v>
      </c>
      <c r="F175" s="38">
        <f t="shared" si="39"/>
        <v>57.614864011105787</v>
      </c>
      <c r="G175" s="38">
        <f t="shared" si="39"/>
        <v>36.009290006941114</v>
      </c>
      <c r="H175" s="38">
        <f t="shared" si="39"/>
        <v>172.84459203331735</v>
      </c>
      <c r="I175" s="38">
        <f t="shared" si="39"/>
        <v>14.403716002776447</v>
      </c>
      <c r="J175" s="38">
        <f t="shared" si="39"/>
        <v>72.018580013882229</v>
      </c>
      <c r="K175" s="38">
        <f t="shared" si="39"/>
        <v>115.22972802221157</v>
      </c>
      <c r="L175" s="38">
        <f t="shared" si="39"/>
        <v>21.605574004164669</v>
      </c>
      <c r="M175" s="38">
        <f t="shared" si="38"/>
        <v>1440.3716002776448</v>
      </c>
    </row>
    <row r="176" spans="1:13" x14ac:dyDescent="0.25">
      <c r="A176">
        <f t="shared" si="37"/>
        <v>2033</v>
      </c>
      <c r="B176" s="1">
        <v>48700</v>
      </c>
      <c r="C176" s="6">
        <v>1522.9629381407096</v>
      </c>
      <c r="D176" s="38">
        <f t="shared" si="39"/>
        <v>517.80739896784132</v>
      </c>
      <c r="E176" s="38">
        <f t="shared" si="39"/>
        <v>487.34814020502711</v>
      </c>
      <c r="F176" s="38">
        <f t="shared" si="39"/>
        <v>60.918517525628388</v>
      </c>
      <c r="G176" s="38">
        <f t="shared" si="39"/>
        <v>38.074073453517741</v>
      </c>
      <c r="H176" s="38">
        <f t="shared" si="39"/>
        <v>182.75555257688515</v>
      </c>
      <c r="I176" s="38">
        <f t="shared" si="39"/>
        <v>15.229629381407097</v>
      </c>
      <c r="J176" s="38">
        <f t="shared" si="39"/>
        <v>76.148146907035482</v>
      </c>
      <c r="K176" s="38">
        <f t="shared" si="39"/>
        <v>121.83703505125678</v>
      </c>
      <c r="L176" s="38">
        <f t="shared" si="39"/>
        <v>22.844444072110644</v>
      </c>
      <c r="M176" s="38">
        <f t="shared" si="38"/>
        <v>1522.9629381407096</v>
      </c>
    </row>
    <row r="177" spans="1:13" x14ac:dyDescent="0.25">
      <c r="A177">
        <f t="shared" si="37"/>
        <v>2033</v>
      </c>
      <c r="B177" s="1">
        <v>48731</v>
      </c>
      <c r="C177" s="6">
        <v>1457.649332961716</v>
      </c>
      <c r="D177" s="38">
        <f t="shared" si="39"/>
        <v>495.60077320698349</v>
      </c>
      <c r="E177" s="38">
        <f t="shared" si="39"/>
        <v>466.44778654774916</v>
      </c>
      <c r="F177" s="38">
        <f t="shared" si="39"/>
        <v>58.305973318468645</v>
      </c>
      <c r="G177" s="38">
        <f t="shared" si="39"/>
        <v>36.441233324042905</v>
      </c>
      <c r="H177" s="38">
        <f t="shared" si="39"/>
        <v>174.91791995540592</v>
      </c>
      <c r="I177" s="38">
        <f t="shared" si="39"/>
        <v>14.576493329617161</v>
      </c>
      <c r="J177" s="38">
        <f t="shared" si="39"/>
        <v>72.88246664808581</v>
      </c>
      <c r="K177" s="38">
        <f t="shared" si="39"/>
        <v>116.61194663693729</v>
      </c>
      <c r="L177" s="38">
        <f t="shared" si="39"/>
        <v>21.86473999442574</v>
      </c>
      <c r="M177" s="38">
        <f t="shared" si="38"/>
        <v>1457.649332961716</v>
      </c>
    </row>
    <row r="178" spans="1:13" x14ac:dyDescent="0.25">
      <c r="A178">
        <f t="shared" si="37"/>
        <v>2033</v>
      </c>
      <c r="B178" s="1">
        <v>48761</v>
      </c>
      <c r="C178" s="6">
        <v>1385.0434802639022</v>
      </c>
      <c r="D178" s="38">
        <f t="shared" si="39"/>
        <v>470.91478328972681</v>
      </c>
      <c r="E178" s="38">
        <f t="shared" si="39"/>
        <v>443.2139136844487</v>
      </c>
      <c r="F178" s="38">
        <f t="shared" si="39"/>
        <v>55.401739210556087</v>
      </c>
      <c r="G178" s="38">
        <f t="shared" si="39"/>
        <v>34.626087006597558</v>
      </c>
      <c r="H178" s="38">
        <f t="shared" si="39"/>
        <v>166.20521763166826</v>
      </c>
      <c r="I178" s="38">
        <f t="shared" si="39"/>
        <v>13.850434802639022</v>
      </c>
      <c r="J178" s="38">
        <f t="shared" si="39"/>
        <v>69.252174013195116</v>
      </c>
      <c r="K178" s="38">
        <f t="shared" si="39"/>
        <v>110.80347842111217</v>
      </c>
      <c r="L178" s="38">
        <f t="shared" si="39"/>
        <v>20.775652203958533</v>
      </c>
      <c r="M178" s="38">
        <f t="shared" si="38"/>
        <v>1385.0434802639024</v>
      </c>
    </row>
    <row r="179" spans="1:13" x14ac:dyDescent="0.25">
      <c r="A179">
        <f t="shared" si="37"/>
        <v>2033</v>
      </c>
      <c r="B179" s="1">
        <v>48792</v>
      </c>
      <c r="C179" s="6">
        <v>1365.075629584439</v>
      </c>
      <c r="D179" s="38">
        <f t="shared" si="39"/>
        <v>464.12571405870926</v>
      </c>
      <c r="E179" s="38">
        <f t="shared" si="39"/>
        <v>436.82420146702049</v>
      </c>
      <c r="F179" s="38">
        <f t="shared" si="39"/>
        <v>54.603025183377561</v>
      </c>
      <c r="G179" s="38">
        <f t="shared" si="39"/>
        <v>34.126890739610978</v>
      </c>
      <c r="H179" s="38">
        <f t="shared" si="39"/>
        <v>163.80907555013266</v>
      </c>
      <c r="I179" s="38">
        <f t="shared" si="39"/>
        <v>13.65075629584439</v>
      </c>
      <c r="J179" s="38">
        <f t="shared" si="39"/>
        <v>68.253781479221956</v>
      </c>
      <c r="K179" s="38">
        <f t="shared" si="39"/>
        <v>109.20605036675512</v>
      </c>
      <c r="L179" s="38">
        <f t="shared" si="39"/>
        <v>20.476134443766583</v>
      </c>
      <c r="M179" s="38">
        <f t="shared" si="38"/>
        <v>1365.0756295844387</v>
      </c>
    </row>
    <row r="180" spans="1:13" x14ac:dyDescent="0.25">
      <c r="A180">
        <f t="shared" si="37"/>
        <v>2033</v>
      </c>
      <c r="B180" s="1">
        <v>48823</v>
      </c>
      <c r="C180" s="6">
        <v>1418.0334304704072</v>
      </c>
      <c r="D180" s="38">
        <f t="shared" si="39"/>
        <v>482.13136635993851</v>
      </c>
      <c r="E180" s="38">
        <f t="shared" si="39"/>
        <v>453.7706977505303</v>
      </c>
      <c r="F180" s="38">
        <f t="shared" si="39"/>
        <v>56.721337218816288</v>
      </c>
      <c r="G180" s="38">
        <f t="shared" si="39"/>
        <v>35.450835761760182</v>
      </c>
      <c r="H180" s="38">
        <f t="shared" si="39"/>
        <v>170.16401165644885</v>
      </c>
      <c r="I180" s="38">
        <f t="shared" si="39"/>
        <v>14.180334304704072</v>
      </c>
      <c r="J180" s="38">
        <f t="shared" si="39"/>
        <v>70.901671523520363</v>
      </c>
      <c r="K180" s="38">
        <f t="shared" si="39"/>
        <v>113.44267443763258</v>
      </c>
      <c r="L180" s="38">
        <f t="shared" si="39"/>
        <v>21.270501457056106</v>
      </c>
      <c r="M180" s="38">
        <f t="shared" si="38"/>
        <v>1418.0334304704072</v>
      </c>
    </row>
    <row r="181" spans="1:13" x14ac:dyDescent="0.25">
      <c r="A181">
        <f t="shared" si="37"/>
        <v>2033</v>
      </c>
      <c r="B181" s="1">
        <v>48853</v>
      </c>
      <c r="C181" s="6">
        <v>1476.2960393594126</v>
      </c>
      <c r="D181" s="38">
        <f t="shared" si="39"/>
        <v>501.94065338220031</v>
      </c>
      <c r="E181" s="38">
        <f t="shared" si="39"/>
        <v>472.41473259501203</v>
      </c>
      <c r="F181" s="38">
        <f t="shared" si="39"/>
        <v>59.051841574376503</v>
      </c>
      <c r="G181" s="38">
        <f t="shared" si="39"/>
        <v>36.907400983985319</v>
      </c>
      <c r="H181" s="38">
        <f t="shared" si="39"/>
        <v>177.1555247231295</v>
      </c>
      <c r="I181" s="38">
        <f t="shared" si="39"/>
        <v>14.762960393594126</v>
      </c>
      <c r="J181" s="38">
        <f t="shared" si="39"/>
        <v>73.814801967970638</v>
      </c>
      <c r="K181" s="38">
        <f t="shared" si="39"/>
        <v>118.10368314875301</v>
      </c>
      <c r="L181" s="38">
        <f t="shared" si="39"/>
        <v>22.144440590391188</v>
      </c>
      <c r="M181" s="38">
        <f t="shared" si="38"/>
        <v>1476.2960393594126</v>
      </c>
    </row>
    <row r="182" spans="1:13" x14ac:dyDescent="0.25">
      <c r="A182">
        <f t="shared" si="37"/>
        <v>2033</v>
      </c>
      <c r="B182" s="1">
        <v>48884</v>
      </c>
      <c r="C182" s="6">
        <v>1405.4519041692959</v>
      </c>
      <c r="D182" s="38">
        <f t="shared" si="39"/>
        <v>477.85364741756064</v>
      </c>
      <c r="E182" s="38">
        <f t="shared" si="39"/>
        <v>449.7446093341747</v>
      </c>
      <c r="F182" s="38">
        <f t="shared" si="39"/>
        <v>56.218076166771837</v>
      </c>
      <c r="G182" s="38">
        <f t="shared" si="39"/>
        <v>35.136297604232396</v>
      </c>
      <c r="H182" s="38">
        <f t="shared" si="39"/>
        <v>168.6542285003155</v>
      </c>
      <c r="I182" s="38">
        <f t="shared" si="39"/>
        <v>14.054519041692959</v>
      </c>
      <c r="J182" s="38">
        <f t="shared" si="39"/>
        <v>70.272595208464793</v>
      </c>
      <c r="K182" s="38">
        <f t="shared" si="39"/>
        <v>112.43615233354367</v>
      </c>
      <c r="L182" s="38">
        <f t="shared" si="39"/>
        <v>21.081778562539437</v>
      </c>
      <c r="M182" s="38">
        <f t="shared" si="38"/>
        <v>1405.4519041692959</v>
      </c>
    </row>
    <row r="183" spans="1:13" x14ac:dyDescent="0.25">
      <c r="A183">
        <f t="shared" si="37"/>
        <v>2033</v>
      </c>
      <c r="B183" s="1">
        <v>48914</v>
      </c>
      <c r="C183" s="6">
        <v>1435.4549280879387</v>
      </c>
      <c r="D183" s="38">
        <f t="shared" si="39"/>
        <v>488.05467554989917</v>
      </c>
      <c r="E183" s="38">
        <f t="shared" si="39"/>
        <v>459.34557698814041</v>
      </c>
      <c r="F183" s="38">
        <f t="shared" si="39"/>
        <v>57.418197123517551</v>
      </c>
      <c r="G183" s="38">
        <f t="shared" si="39"/>
        <v>35.88637320219847</v>
      </c>
      <c r="H183" s="38">
        <f t="shared" si="39"/>
        <v>172.25459137055265</v>
      </c>
      <c r="I183" s="38">
        <f t="shared" si="39"/>
        <v>14.354549280879388</v>
      </c>
      <c r="J183" s="38">
        <f t="shared" si="39"/>
        <v>71.772746404396941</v>
      </c>
      <c r="K183" s="38">
        <f t="shared" si="39"/>
        <v>114.8363942470351</v>
      </c>
      <c r="L183" s="38">
        <f t="shared" si="39"/>
        <v>21.531823921319081</v>
      </c>
      <c r="M183" s="38">
        <f t="shared" si="38"/>
        <v>1435.4549280879387</v>
      </c>
    </row>
    <row r="184" spans="1:13" x14ac:dyDescent="0.25">
      <c r="C184" s="6">
        <f>+SUM(C4:C183)</f>
        <v>220528.01567014609</v>
      </c>
      <c r="M184" s="6">
        <f>+SUM(M4:M183)</f>
        <v>220528.01567014612</v>
      </c>
    </row>
  </sheetData>
  <autoFilter ref="A3:M184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showGridLines="0" workbookViewId="0">
      <pane ySplit="2" topLeftCell="A78" activePane="bottomLeft" state="frozen"/>
      <selection pane="bottomLeft" activeCell="B82" sqref="B82"/>
    </sheetView>
  </sheetViews>
  <sheetFormatPr baseColWidth="10" defaultRowHeight="15" x14ac:dyDescent="0.25"/>
  <cols>
    <col min="1" max="1" width="19.42578125" bestFit="1" customWidth="1"/>
    <col min="2" max="2" width="26.140625" bestFit="1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15" t="s">
        <v>123</v>
      </c>
      <c r="C2" s="140" t="str">
        <f>+'%  Planta'!C15</f>
        <v>SurOccidente</v>
      </c>
      <c r="D2" s="43">
        <v>0.03</v>
      </c>
      <c r="E2" s="27">
        <v>700</v>
      </c>
      <c r="F2" s="27">
        <v>2024</v>
      </c>
      <c r="G2" s="43">
        <v>0.1275</v>
      </c>
    </row>
    <row r="5" spans="1:27" ht="18.75" x14ac:dyDescent="0.3">
      <c r="A5" s="113" t="s">
        <v>88</v>
      </c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25">
        <f>+E2*'%  Planta'!E15*'%  Planta'!F4</f>
        <v>171.3851689932205</v>
      </c>
    </row>
    <row r="8" spans="1:27" x14ac:dyDescent="0.25">
      <c r="B8" t="s">
        <v>25</v>
      </c>
      <c r="C8" s="5"/>
      <c r="D8" s="5"/>
      <c r="E8" s="5"/>
      <c r="F8" s="5"/>
      <c r="G8" s="5"/>
      <c r="H8" s="5">
        <f t="shared" ref="H8:AA8" si="0">$H$7*$D$2</f>
        <v>5.141555069796615</v>
      </c>
      <c r="I8" s="5">
        <f t="shared" si="0"/>
        <v>5.141555069796615</v>
      </c>
      <c r="J8" s="5">
        <f t="shared" si="0"/>
        <v>5.141555069796615</v>
      </c>
      <c r="K8" s="5">
        <f t="shared" si="0"/>
        <v>5.141555069796615</v>
      </c>
      <c r="L8" s="5">
        <f t="shared" si="0"/>
        <v>5.141555069796615</v>
      </c>
      <c r="M8" s="5">
        <f t="shared" si="0"/>
        <v>5.141555069796615</v>
      </c>
      <c r="N8" s="5">
        <f t="shared" si="0"/>
        <v>5.141555069796615</v>
      </c>
      <c r="O8" s="5">
        <f t="shared" si="0"/>
        <v>5.141555069796615</v>
      </c>
      <c r="P8" s="5">
        <f t="shared" si="0"/>
        <v>5.141555069796615</v>
      </c>
      <c r="Q8" s="5">
        <f t="shared" si="0"/>
        <v>5.141555069796615</v>
      </c>
      <c r="R8" s="5">
        <f t="shared" si="0"/>
        <v>5.141555069796615</v>
      </c>
      <c r="S8" s="5">
        <f t="shared" si="0"/>
        <v>5.141555069796615</v>
      </c>
      <c r="T8" s="5">
        <f t="shared" si="0"/>
        <v>5.141555069796615</v>
      </c>
      <c r="U8" s="5">
        <f t="shared" si="0"/>
        <v>5.141555069796615</v>
      </c>
      <c r="V8" s="5">
        <f t="shared" si="0"/>
        <v>5.141555069796615</v>
      </c>
      <c r="W8" s="5">
        <f t="shared" si="0"/>
        <v>5.141555069796615</v>
      </c>
      <c r="X8" s="5">
        <f t="shared" si="0"/>
        <v>5.141555069796615</v>
      </c>
      <c r="Y8" s="5">
        <f t="shared" si="0"/>
        <v>5.141555069796615</v>
      </c>
      <c r="Z8" s="5">
        <f t="shared" si="0"/>
        <v>5.141555069796615</v>
      </c>
      <c r="AA8" s="5">
        <f t="shared" si="0"/>
        <v>5.141555069796615</v>
      </c>
    </row>
    <row r="9" spans="1:27" x14ac:dyDescent="0.25">
      <c r="B9" t="s">
        <v>26</v>
      </c>
      <c r="C9" s="5">
        <f>(C8/(1+$G$2)^C5)+(C7/(1+$G$2)^C5)</f>
        <v>0</v>
      </c>
      <c r="D9" s="5">
        <f t="shared" ref="D9:AA9" si="1">(D8/(1+$G$2)^D5)+(D7/(1+$G$2)^D5)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96.878567621908459</v>
      </c>
      <c r="I9" s="5">
        <f t="shared" si="1"/>
        <v>2.5026215991709932</v>
      </c>
      <c r="J9" s="5">
        <f t="shared" si="1"/>
        <v>2.2196200436106372</v>
      </c>
      <c r="K9" s="5">
        <f t="shared" si="1"/>
        <v>1.9686208812511194</v>
      </c>
      <c r="L9" s="5">
        <f t="shared" si="1"/>
        <v>1.7460052161872457</v>
      </c>
      <c r="M9" s="5">
        <f t="shared" si="1"/>
        <v>1.5485633846450071</v>
      </c>
      <c r="N9" s="5">
        <f t="shared" si="1"/>
        <v>1.3734486781773902</v>
      </c>
      <c r="O9" s="5">
        <f t="shared" si="1"/>
        <v>1.2181362999356009</v>
      </c>
      <c r="P9" s="5">
        <f t="shared" si="1"/>
        <v>1.0803869622488702</v>
      </c>
      <c r="Q9" s="5">
        <f t="shared" si="1"/>
        <v>0.95821460066418618</v>
      </c>
      <c r="R9" s="5">
        <f t="shared" si="1"/>
        <v>0.84985773894828065</v>
      </c>
      <c r="S9" s="5">
        <f t="shared" si="1"/>
        <v>0.75375409219359701</v>
      </c>
      <c r="T9" s="5">
        <f t="shared" si="1"/>
        <v>0.66851804185684882</v>
      </c>
      <c r="U9" s="5">
        <f t="shared" si="1"/>
        <v>0.592920657966163</v>
      </c>
      <c r="V9" s="5">
        <f t="shared" si="1"/>
        <v>0.52587198045779426</v>
      </c>
      <c r="W9" s="5">
        <f t="shared" si="1"/>
        <v>0.46640530417542725</v>
      </c>
      <c r="X9" s="5">
        <f t="shared" si="1"/>
        <v>0.41366324095381579</v>
      </c>
      <c r="Y9" s="5">
        <f t="shared" si="1"/>
        <v>0.3668853578304353</v>
      </c>
      <c r="Z9" s="5">
        <f t="shared" si="1"/>
        <v>0.32539721315337949</v>
      </c>
      <c r="AA9" s="5">
        <f t="shared" si="1"/>
        <v>0.28860063250854051</v>
      </c>
    </row>
    <row r="10" spans="1:27" ht="18.75" x14ac:dyDescent="0.3">
      <c r="B10" t="s">
        <v>27</v>
      </c>
      <c r="C10" s="11">
        <f>SUM(C9:AA9)*1000000</f>
        <v>116746059.54784378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7" ht="16.5" customHeight="1" x14ac:dyDescent="0.25">
      <c r="C11" s="20"/>
    </row>
    <row r="12" spans="1:27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7" x14ac:dyDescent="0.25"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  <c r="Z14" s="10">
        <v>23</v>
      </c>
      <c r="AA14" s="10">
        <v>24</v>
      </c>
    </row>
    <row r="15" spans="1:27" x14ac:dyDescent="0.25">
      <c r="A15" s="10"/>
      <c r="B15" s="12" t="s">
        <v>28</v>
      </c>
      <c r="C15" s="10">
        <v>2019</v>
      </c>
      <c r="D15" s="10">
        <v>2020</v>
      </c>
      <c r="E15" s="10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  <c r="Z15" s="10">
        <v>2042</v>
      </c>
      <c r="AA15" s="10">
        <v>2043</v>
      </c>
    </row>
    <row r="16" spans="1:27" x14ac:dyDescent="0.25">
      <c r="A16">
        <v>2024</v>
      </c>
      <c r="B16" s="14" t="s">
        <v>105</v>
      </c>
      <c r="C16" s="5"/>
      <c r="D16" s="5"/>
      <c r="E16" s="5"/>
      <c r="F16" s="5"/>
      <c r="G16" s="5"/>
      <c r="H16" s="23">
        <f>+'Demanda Regional'!V11</f>
        <v>33285724.271534849</v>
      </c>
      <c r="I16" s="23">
        <f>+'Demanda Regional'!W11</f>
        <v>34480183.414512098</v>
      </c>
      <c r="J16" s="23">
        <f>+'Demanda Regional'!X11</f>
        <v>35593355.508374602</v>
      </c>
      <c r="K16" s="23">
        <f>+'Demanda Regional'!Y11</f>
        <v>37757924.361654788</v>
      </c>
      <c r="L16" s="23">
        <f>+'Demanda Regional'!Z11</f>
        <v>38362837.965709426</v>
      </c>
      <c r="M16" s="23">
        <f>+'Demanda Regional'!AA11</f>
        <v>38244047.032069944</v>
      </c>
      <c r="N16" s="23">
        <f>+'Demanda Regional'!AB11</f>
        <v>41202188.009936243</v>
      </c>
      <c r="O16" s="23">
        <f>+'Demanda Regional'!AC11</f>
        <v>41204312.930349551</v>
      </c>
      <c r="P16" s="23">
        <f>+'Demanda Regional'!AD11</f>
        <v>40555394.274046399</v>
      </c>
      <c r="Q16" s="23">
        <f>+'Demanda Regional'!AE11</f>
        <v>42191637.435113892</v>
      </c>
      <c r="R16" s="23">
        <f>+'Demanda Regional'!AF11</f>
        <v>42191637.435113892</v>
      </c>
      <c r="S16" s="23">
        <f>+'Demanda Regional'!AG11</f>
        <v>42191637.435113892</v>
      </c>
      <c r="T16" s="23">
        <f>+'Demanda Regional'!AH11</f>
        <v>42191637.435113892</v>
      </c>
      <c r="U16" s="23">
        <f>+'Demanda Regional'!AI11</f>
        <v>42191637.435113892</v>
      </c>
      <c r="V16" s="23">
        <f>+'Demanda Regional'!AJ11</f>
        <v>42191637.435113892</v>
      </c>
      <c r="W16" s="23">
        <f>+'Demanda Regional'!AK11</f>
        <v>42191637.435113892</v>
      </c>
      <c r="X16" s="23">
        <f>+'Demanda Regional'!AL11</f>
        <v>42191637.435113892</v>
      </c>
      <c r="Y16" s="23">
        <f>+'Demanda Regional'!AM11</f>
        <v>42191637.435113892</v>
      </c>
      <c r="Z16" s="23">
        <f>+'Demanda Regional'!AN11</f>
        <v>42191637.435113892</v>
      </c>
      <c r="AA16" s="23">
        <f>+'Demanda Regional'!AO11</f>
        <v>42191637.435113892</v>
      </c>
    </row>
    <row r="17" spans="1:27" x14ac:dyDescent="0.25">
      <c r="A17">
        <v>2043</v>
      </c>
      <c r="B17" t="s">
        <v>29</v>
      </c>
      <c r="C17" s="5">
        <f>(C16)/(1+$G$2)^C14</f>
        <v>0</v>
      </c>
      <c r="D17" s="5">
        <f t="shared" ref="D17:AA17" si="2">(D16)/(1+$G$2)^D14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18267337.746169999</v>
      </c>
      <c r="I17" s="5">
        <f t="shared" si="2"/>
        <v>16783025.871577185</v>
      </c>
      <c r="J17" s="5">
        <f t="shared" si="2"/>
        <v>15365725.78398397</v>
      </c>
      <c r="K17" s="5">
        <f t="shared" si="2"/>
        <v>14456917.66829491</v>
      </c>
      <c r="L17" s="5">
        <f t="shared" si="2"/>
        <v>13027520.718264788</v>
      </c>
      <c r="M17" s="5">
        <f t="shared" si="2"/>
        <v>11518563.95789762</v>
      </c>
      <c r="N17" s="5">
        <f t="shared" si="2"/>
        <v>11006220.85965555</v>
      </c>
      <c r="O17" s="5">
        <f t="shared" si="2"/>
        <v>9762118.3888924308</v>
      </c>
      <c r="P17" s="5">
        <f t="shared" si="2"/>
        <v>8521841.8606329206</v>
      </c>
      <c r="Q17" s="5">
        <f t="shared" si="2"/>
        <v>7863115.8214658638</v>
      </c>
      <c r="R17" s="5">
        <f t="shared" si="2"/>
        <v>6973938.6443156237</v>
      </c>
      <c r="S17" s="5">
        <f t="shared" si="2"/>
        <v>6185311.4362001093</v>
      </c>
      <c r="T17" s="5">
        <f t="shared" si="2"/>
        <v>5485863.8015078576</v>
      </c>
      <c r="U17" s="5">
        <f t="shared" si="2"/>
        <v>4865511.1321577448</v>
      </c>
      <c r="V17" s="5">
        <f t="shared" si="2"/>
        <v>4315309.2081221687</v>
      </c>
      <c r="W17" s="5">
        <f t="shared" si="2"/>
        <v>3827325.2400196618</v>
      </c>
      <c r="X17" s="5">
        <f t="shared" si="2"/>
        <v>3394523.4944742015</v>
      </c>
      <c r="Y17" s="5">
        <f t="shared" si="2"/>
        <v>3010663.8531921962</v>
      </c>
      <c r="Z17" s="5">
        <f t="shared" si="2"/>
        <v>2670211.8431859841</v>
      </c>
      <c r="AA17" s="5">
        <f t="shared" si="2"/>
        <v>2368258.8409631783</v>
      </c>
    </row>
    <row r="18" spans="1:27" ht="18.75" x14ac:dyDescent="0.3">
      <c r="B18" t="s">
        <v>30</v>
      </c>
      <c r="C18" s="11">
        <f>SUM(H17:AA17)</f>
        <v>169669306.17097399</v>
      </c>
    </row>
    <row r="19" spans="1:27" x14ac:dyDescent="0.25">
      <c r="E19" s="10"/>
    </row>
    <row r="20" spans="1:2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B23" s="12" t="s">
        <v>41</v>
      </c>
      <c r="E23" s="10"/>
    </row>
    <row r="24" spans="1:27" x14ac:dyDescent="0.25">
      <c r="B24" s="10" t="s">
        <v>31</v>
      </c>
      <c r="E24" s="10"/>
    </row>
    <row r="25" spans="1:27" ht="18.75" x14ac:dyDescent="0.3">
      <c r="B25" s="10" t="s">
        <v>40</v>
      </c>
      <c r="C25" s="21">
        <f>+C10/C18</f>
        <v>0.68808001978979039</v>
      </c>
      <c r="D25" s="10"/>
      <c r="E25" s="10"/>
    </row>
    <row r="31" spans="1:27" ht="18.75" x14ac:dyDescent="0.3">
      <c r="A31" s="113" t="s">
        <v>87</v>
      </c>
    </row>
    <row r="32" spans="1:27" x14ac:dyDescent="0.25">
      <c r="C32" s="10">
        <v>0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0">
        <v>14</v>
      </c>
      <c r="R32" s="10">
        <v>15</v>
      </c>
      <c r="S32" s="10">
        <v>16</v>
      </c>
      <c r="T32" s="10">
        <v>17</v>
      </c>
      <c r="U32" s="10">
        <v>18</v>
      </c>
      <c r="V32" s="10">
        <v>19</v>
      </c>
      <c r="W32" s="10">
        <v>20</v>
      </c>
      <c r="X32" s="10">
        <v>21</v>
      </c>
      <c r="Y32" s="10">
        <v>22</v>
      </c>
      <c r="Z32" s="10">
        <v>23</v>
      </c>
      <c r="AA32" s="10">
        <v>24</v>
      </c>
    </row>
    <row r="33" spans="1:27" x14ac:dyDescent="0.25">
      <c r="B33" s="12" t="s">
        <v>124</v>
      </c>
      <c r="C33" s="10">
        <v>2019</v>
      </c>
      <c r="D33" s="10">
        <v>2020</v>
      </c>
      <c r="E33" s="10">
        <v>2021</v>
      </c>
      <c r="F33" s="10">
        <v>2022</v>
      </c>
      <c r="G33" s="10">
        <v>2023</v>
      </c>
      <c r="H33" s="10">
        <v>2024</v>
      </c>
      <c r="I33" s="10">
        <v>2025</v>
      </c>
      <c r="J33" s="10">
        <v>2026</v>
      </c>
      <c r="K33" s="10">
        <v>2027</v>
      </c>
      <c r="L33" s="10">
        <v>2028</v>
      </c>
      <c r="M33" s="10">
        <v>2029</v>
      </c>
      <c r="N33" s="10">
        <v>2030</v>
      </c>
      <c r="O33" s="10">
        <v>2031</v>
      </c>
      <c r="P33" s="10">
        <v>2032</v>
      </c>
      <c r="Q33" s="10">
        <v>2033</v>
      </c>
      <c r="R33" s="10">
        <v>2034</v>
      </c>
      <c r="S33" s="10">
        <v>2035</v>
      </c>
      <c r="T33" s="10">
        <v>2036</v>
      </c>
      <c r="U33" s="10">
        <v>2037</v>
      </c>
      <c r="V33" s="10">
        <v>2038</v>
      </c>
      <c r="W33" s="10">
        <v>2039</v>
      </c>
      <c r="X33" s="10">
        <v>2040</v>
      </c>
      <c r="Y33" s="10">
        <v>2041</v>
      </c>
      <c r="Z33" s="10">
        <v>2042</v>
      </c>
      <c r="AA33" s="10">
        <v>2043</v>
      </c>
    </row>
    <row r="34" spans="1:27" x14ac:dyDescent="0.25">
      <c r="B34" t="s">
        <v>24</v>
      </c>
      <c r="H34" s="25">
        <f>+E2*'%  Planta'!F3*'%  Planta'!F15</f>
        <v>28.625710737358457</v>
      </c>
    </row>
    <row r="35" spans="1:27" x14ac:dyDescent="0.25">
      <c r="B35" t="s">
        <v>25</v>
      </c>
      <c r="C35" s="5"/>
      <c r="D35" s="5"/>
      <c r="E35" s="5"/>
      <c r="F35" s="5"/>
      <c r="G35" s="5"/>
      <c r="H35" s="5">
        <f>$H$34*$D$2</f>
        <v>0.85877132212075369</v>
      </c>
      <c r="I35" s="5">
        <f t="shared" ref="I35:AA35" si="3">$H$34*$D$2</f>
        <v>0.85877132212075369</v>
      </c>
      <c r="J35" s="5">
        <f t="shared" si="3"/>
        <v>0.85877132212075369</v>
      </c>
      <c r="K35" s="5">
        <f t="shared" si="3"/>
        <v>0.85877132212075369</v>
      </c>
      <c r="L35" s="5">
        <f t="shared" si="3"/>
        <v>0.85877132212075369</v>
      </c>
      <c r="M35" s="5">
        <f t="shared" si="3"/>
        <v>0.85877132212075369</v>
      </c>
      <c r="N35" s="5">
        <f t="shared" si="3"/>
        <v>0.85877132212075369</v>
      </c>
      <c r="O35" s="5">
        <f t="shared" si="3"/>
        <v>0.85877132212075369</v>
      </c>
      <c r="P35" s="5">
        <f t="shared" si="3"/>
        <v>0.85877132212075369</v>
      </c>
      <c r="Q35" s="5">
        <f t="shared" si="3"/>
        <v>0.85877132212075369</v>
      </c>
      <c r="R35" s="5">
        <f t="shared" si="3"/>
        <v>0.85877132212075369</v>
      </c>
      <c r="S35" s="5">
        <f t="shared" si="3"/>
        <v>0.85877132212075369</v>
      </c>
      <c r="T35" s="5">
        <f t="shared" si="3"/>
        <v>0.85877132212075369</v>
      </c>
      <c r="U35" s="5">
        <f t="shared" si="3"/>
        <v>0.85877132212075369</v>
      </c>
      <c r="V35" s="5">
        <f t="shared" si="3"/>
        <v>0.85877132212075369</v>
      </c>
      <c r="W35" s="5">
        <f t="shared" si="3"/>
        <v>0.85877132212075369</v>
      </c>
      <c r="X35" s="5">
        <f t="shared" si="3"/>
        <v>0.85877132212075369</v>
      </c>
      <c r="Y35" s="5">
        <f t="shared" si="3"/>
        <v>0.85877132212075369</v>
      </c>
      <c r="Z35" s="5">
        <f t="shared" si="3"/>
        <v>0.85877132212075369</v>
      </c>
      <c r="AA35" s="5">
        <f t="shared" si="3"/>
        <v>0.85877132212075369</v>
      </c>
    </row>
    <row r="36" spans="1:27" x14ac:dyDescent="0.25">
      <c r="B36" t="s">
        <v>26</v>
      </c>
      <c r="C36" s="5">
        <f>(C35/(1+$G$2)^C32)+(C34/(1+$G$2)^C32)</f>
        <v>0</v>
      </c>
      <c r="D36" s="5">
        <f t="shared" ref="D36:AA36" si="4">(D35/(1+$G$2)^D32)+(D34/(1+$G$2)^D32)</f>
        <v>0</v>
      </c>
      <c r="E36" s="5">
        <f t="shared" si="4"/>
        <v>0</v>
      </c>
      <c r="F36" s="5">
        <f t="shared" si="4"/>
        <v>0</v>
      </c>
      <c r="G36" s="5">
        <f t="shared" si="4"/>
        <v>0</v>
      </c>
      <c r="H36" s="5">
        <f t="shared" si="4"/>
        <v>16.181200915372511</v>
      </c>
      <c r="I36" s="5">
        <f t="shared" si="4"/>
        <v>0.41800187498002311</v>
      </c>
      <c r="J36" s="5">
        <f t="shared" si="4"/>
        <v>0.37073337027053055</v>
      </c>
      <c r="K36" s="5">
        <f t="shared" si="4"/>
        <v>0.32881008449714455</v>
      </c>
      <c r="L36" s="5">
        <f t="shared" si="4"/>
        <v>0.29162756939879786</v>
      </c>
      <c r="M36" s="5">
        <f t="shared" si="4"/>
        <v>0.25864972895680516</v>
      </c>
      <c r="N36" s="5">
        <f t="shared" si="4"/>
        <v>0.22940108998386272</v>
      </c>
      <c r="O36" s="5">
        <f t="shared" si="4"/>
        <v>0.20345994677060994</v>
      </c>
      <c r="P36" s="5">
        <f t="shared" si="4"/>
        <v>0.18045228094954321</v>
      </c>
      <c r="Q36" s="5">
        <f t="shared" si="4"/>
        <v>0.16004636891312032</v>
      </c>
      <c r="R36" s="5">
        <f t="shared" si="4"/>
        <v>0.14194799903602692</v>
      </c>
      <c r="S36" s="5">
        <f t="shared" si="4"/>
        <v>0.1258962297437046</v>
      </c>
      <c r="T36" s="5">
        <f t="shared" si="4"/>
        <v>0.11165962726714376</v>
      </c>
      <c r="U36" s="5">
        <f t="shared" si="4"/>
        <v>9.9032928840038809E-2</v>
      </c>
      <c r="V36" s="5">
        <f t="shared" si="4"/>
        <v>8.7834083228415807E-2</v>
      </c>
      <c r="W36" s="5">
        <f t="shared" si="4"/>
        <v>7.7901625923206916E-2</v>
      </c>
      <c r="X36" s="5">
        <f t="shared" si="4"/>
        <v>6.9092351151403039E-2</v>
      </c>
      <c r="Y36" s="5">
        <f t="shared" si="4"/>
        <v>6.1279247140933961E-2</v>
      </c>
      <c r="Z36" s="5">
        <f t="shared" si="4"/>
        <v>5.4349664870007953E-2</v>
      </c>
      <c r="AA36" s="5">
        <f t="shared" si="4"/>
        <v>4.8203693898011483E-2</v>
      </c>
    </row>
    <row r="37" spans="1:27" ht="18.75" x14ac:dyDescent="0.3">
      <c r="B37" t="s">
        <v>27</v>
      </c>
      <c r="C37" s="11">
        <f>SUM(C36:AA36)*1000000</f>
        <v>19499580.681191847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7" ht="16.5" customHeight="1" x14ac:dyDescent="0.25">
      <c r="C38" s="20"/>
    </row>
    <row r="39" spans="1:27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1" spans="1:27" x14ac:dyDescent="0.25">
      <c r="C41" s="10">
        <v>0</v>
      </c>
      <c r="D41" s="10">
        <v>1</v>
      </c>
      <c r="E41" s="10">
        <v>2</v>
      </c>
      <c r="F41" s="10">
        <v>3</v>
      </c>
      <c r="G41" s="10">
        <v>4</v>
      </c>
      <c r="H41" s="13">
        <v>5</v>
      </c>
      <c r="I41" s="10">
        <v>6</v>
      </c>
      <c r="J41" s="10">
        <v>7</v>
      </c>
      <c r="K41" s="10">
        <v>8</v>
      </c>
      <c r="L41" s="10">
        <v>9</v>
      </c>
      <c r="M41" s="10">
        <v>10</v>
      </c>
      <c r="N41" s="10">
        <v>11</v>
      </c>
      <c r="O41" s="10">
        <v>12</v>
      </c>
      <c r="P41" s="10">
        <v>13</v>
      </c>
      <c r="Q41" s="10">
        <v>14</v>
      </c>
      <c r="R41" s="10">
        <v>15</v>
      </c>
      <c r="S41" s="10">
        <v>16</v>
      </c>
      <c r="T41" s="10">
        <v>17</v>
      </c>
      <c r="U41" s="10">
        <v>18</v>
      </c>
      <c r="V41" s="10">
        <v>19</v>
      </c>
      <c r="W41" s="10">
        <v>20</v>
      </c>
      <c r="X41" s="10">
        <v>21</v>
      </c>
      <c r="Y41" s="10">
        <v>22</v>
      </c>
      <c r="Z41" s="10">
        <v>23</v>
      </c>
      <c r="AA41" s="10">
        <v>24</v>
      </c>
    </row>
    <row r="42" spans="1:27" x14ac:dyDescent="0.25">
      <c r="A42" s="10"/>
      <c r="B42" s="12" t="s">
        <v>28</v>
      </c>
      <c r="C42" s="10">
        <v>2019</v>
      </c>
      <c r="D42" s="10">
        <v>2020</v>
      </c>
      <c r="E42" s="10">
        <v>2021</v>
      </c>
      <c r="F42" s="10">
        <v>2022</v>
      </c>
      <c r="G42" s="10">
        <v>2023</v>
      </c>
      <c r="H42" s="13">
        <v>2024</v>
      </c>
      <c r="I42" s="10">
        <v>2025</v>
      </c>
      <c r="J42" s="10">
        <v>2026</v>
      </c>
      <c r="K42" s="10">
        <v>2027</v>
      </c>
      <c r="L42" s="10">
        <v>2028</v>
      </c>
      <c r="M42" s="10">
        <v>2029</v>
      </c>
      <c r="N42" s="10">
        <v>2030</v>
      </c>
      <c r="O42" s="10">
        <v>2031</v>
      </c>
      <c r="P42" s="10">
        <v>2032</v>
      </c>
      <c r="Q42" s="10">
        <v>2033</v>
      </c>
      <c r="R42" s="10">
        <v>2034</v>
      </c>
      <c r="S42" s="10">
        <v>2035</v>
      </c>
      <c r="T42" s="10">
        <v>2036</v>
      </c>
      <c r="U42" s="10">
        <v>2037</v>
      </c>
      <c r="V42" s="10">
        <v>2038</v>
      </c>
      <c r="W42" s="10">
        <v>2039</v>
      </c>
      <c r="X42" s="10">
        <v>2040</v>
      </c>
      <c r="Y42" s="10">
        <v>2041</v>
      </c>
      <c r="Z42" s="10">
        <v>2042</v>
      </c>
      <c r="AA42" s="10">
        <v>2043</v>
      </c>
    </row>
    <row r="43" spans="1:27" x14ac:dyDescent="0.25">
      <c r="A43">
        <v>2024</v>
      </c>
      <c r="B43" s="14" t="s">
        <v>105</v>
      </c>
      <c r="C43" s="5"/>
      <c r="D43" s="5"/>
      <c r="E43" s="5"/>
      <c r="F43" s="5"/>
      <c r="G43" s="5"/>
      <c r="H43" s="23">
        <f>+'Demanda Regional'!V11</f>
        <v>33285724.271534849</v>
      </c>
      <c r="I43" s="23">
        <f>+'Demanda Regional'!W11</f>
        <v>34480183.414512098</v>
      </c>
      <c r="J43" s="23">
        <f>+'Demanda Regional'!X11</f>
        <v>35593355.508374602</v>
      </c>
      <c r="K43" s="23">
        <f>+'Demanda Regional'!Y11</f>
        <v>37757924.361654788</v>
      </c>
      <c r="L43" s="23">
        <f>+'Demanda Regional'!Z11</f>
        <v>38362837.965709426</v>
      </c>
      <c r="M43" s="23">
        <f>+'Demanda Regional'!AA11</f>
        <v>38244047.032069944</v>
      </c>
      <c r="N43" s="23">
        <f>+'Demanda Regional'!AB11</f>
        <v>41202188.009936243</v>
      </c>
      <c r="O43" s="23">
        <f>+'Demanda Regional'!AC11</f>
        <v>41204312.930349551</v>
      </c>
      <c r="P43" s="23">
        <f>+'Demanda Regional'!AD11</f>
        <v>40555394.274046399</v>
      </c>
      <c r="Q43" s="23">
        <f>+'Demanda Regional'!AE11</f>
        <v>42191637.435113892</v>
      </c>
      <c r="R43" s="23">
        <f>+'Demanda Regional'!AF11</f>
        <v>42191637.435113892</v>
      </c>
      <c r="S43" s="23">
        <f>+'Demanda Regional'!AG11</f>
        <v>42191637.435113892</v>
      </c>
      <c r="T43" s="23">
        <f>+'Demanda Regional'!AH11</f>
        <v>42191637.435113892</v>
      </c>
      <c r="U43" s="23">
        <f>+'Demanda Regional'!AI11</f>
        <v>42191637.435113892</v>
      </c>
      <c r="V43" s="23">
        <f>+'Demanda Regional'!AJ11</f>
        <v>42191637.435113892</v>
      </c>
      <c r="W43" s="23">
        <f>+'Demanda Regional'!AK11</f>
        <v>42191637.435113892</v>
      </c>
      <c r="X43" s="23">
        <f>+'Demanda Regional'!AL11</f>
        <v>42191637.435113892</v>
      </c>
      <c r="Y43" s="23">
        <f>+'Demanda Regional'!AM11</f>
        <v>42191637.435113892</v>
      </c>
      <c r="Z43" s="23">
        <f>+'Demanda Regional'!AN11</f>
        <v>42191637.435113892</v>
      </c>
      <c r="AA43" s="23">
        <f>+'Demanda Regional'!AO11</f>
        <v>42191637.435113892</v>
      </c>
    </row>
    <row r="44" spans="1:27" x14ac:dyDescent="0.25">
      <c r="A44">
        <v>2043</v>
      </c>
      <c r="B44" t="s">
        <v>29</v>
      </c>
      <c r="C44" s="5">
        <f>(C43)/(1+$G$2)^C41</f>
        <v>0</v>
      </c>
      <c r="D44" s="5">
        <f t="shared" ref="D44:AA44" si="5">(D43)/(1+$G$2)^D41</f>
        <v>0</v>
      </c>
      <c r="E44" s="5">
        <f t="shared" si="5"/>
        <v>0</v>
      </c>
      <c r="F44" s="5">
        <f t="shared" si="5"/>
        <v>0</v>
      </c>
      <c r="G44" s="5">
        <f t="shared" si="5"/>
        <v>0</v>
      </c>
      <c r="H44" s="5">
        <f t="shared" si="5"/>
        <v>18267337.746169999</v>
      </c>
      <c r="I44" s="5">
        <f t="shared" si="5"/>
        <v>16783025.871577185</v>
      </c>
      <c r="J44" s="5">
        <f t="shared" si="5"/>
        <v>15365725.78398397</v>
      </c>
      <c r="K44" s="5">
        <f t="shared" si="5"/>
        <v>14456917.66829491</v>
      </c>
      <c r="L44" s="5">
        <f t="shared" si="5"/>
        <v>13027520.718264788</v>
      </c>
      <c r="M44" s="5">
        <f t="shared" si="5"/>
        <v>11518563.95789762</v>
      </c>
      <c r="N44" s="5">
        <f t="shared" si="5"/>
        <v>11006220.85965555</v>
      </c>
      <c r="O44" s="5">
        <f t="shared" si="5"/>
        <v>9762118.3888924308</v>
      </c>
      <c r="P44" s="5">
        <f t="shared" si="5"/>
        <v>8521841.8606329206</v>
      </c>
      <c r="Q44" s="5">
        <f t="shared" si="5"/>
        <v>7863115.8214658638</v>
      </c>
      <c r="R44" s="5">
        <f t="shared" si="5"/>
        <v>6973938.6443156237</v>
      </c>
      <c r="S44" s="5">
        <f t="shared" si="5"/>
        <v>6185311.4362001093</v>
      </c>
      <c r="T44" s="5">
        <f t="shared" si="5"/>
        <v>5485863.8015078576</v>
      </c>
      <c r="U44" s="5">
        <f t="shared" si="5"/>
        <v>4865511.1321577448</v>
      </c>
      <c r="V44" s="5">
        <f t="shared" si="5"/>
        <v>4315309.2081221687</v>
      </c>
      <c r="W44" s="5">
        <f t="shared" si="5"/>
        <v>3827325.2400196618</v>
      </c>
      <c r="X44" s="5">
        <f t="shared" si="5"/>
        <v>3394523.4944742015</v>
      </c>
      <c r="Y44" s="5">
        <f t="shared" si="5"/>
        <v>3010663.8531921962</v>
      </c>
      <c r="Z44" s="5">
        <f t="shared" si="5"/>
        <v>2670211.8431859841</v>
      </c>
      <c r="AA44" s="5">
        <f t="shared" si="5"/>
        <v>2368258.8409631783</v>
      </c>
    </row>
    <row r="45" spans="1:27" ht="18.75" x14ac:dyDescent="0.3">
      <c r="B45" t="s">
        <v>30</v>
      </c>
      <c r="C45" s="11">
        <f>SUM(H44:AA44)</f>
        <v>169669306.17097399</v>
      </c>
    </row>
    <row r="46" spans="1:27" x14ac:dyDescent="0.25">
      <c r="E46" s="10"/>
    </row>
    <row r="47" spans="1:27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5">
      <c r="B50" s="12" t="s">
        <v>41</v>
      </c>
      <c r="E50" s="10"/>
    </row>
    <row r="51" spans="1:27" x14ac:dyDescent="0.25">
      <c r="B51" s="10" t="s">
        <v>31</v>
      </c>
      <c r="E51" s="10"/>
    </row>
    <row r="52" spans="1:27" ht="18.75" x14ac:dyDescent="0.3">
      <c r="B52" s="10" t="s">
        <v>40</v>
      </c>
      <c r="C52" s="21">
        <f>+C37/C45</f>
        <v>0.11492697837487661</v>
      </c>
      <c r="D52" s="10"/>
      <c r="E52" s="10"/>
    </row>
    <row r="58" spans="1:27" ht="18.75" x14ac:dyDescent="0.3">
      <c r="A58" s="113" t="s">
        <v>93</v>
      </c>
      <c r="C58" s="10">
        <v>0</v>
      </c>
      <c r="D58" s="10">
        <v>1</v>
      </c>
      <c r="E58" s="10">
        <v>2</v>
      </c>
      <c r="F58" s="10">
        <v>3</v>
      </c>
      <c r="G58" s="10">
        <v>4</v>
      </c>
      <c r="H58" s="10">
        <v>5</v>
      </c>
      <c r="I58" s="10">
        <v>6</v>
      </c>
      <c r="J58" s="10">
        <v>7</v>
      </c>
      <c r="K58" s="10">
        <v>8</v>
      </c>
      <c r="L58" s="10">
        <v>9</v>
      </c>
      <c r="M58" s="10">
        <v>10</v>
      </c>
      <c r="N58" s="10">
        <v>11</v>
      </c>
      <c r="O58" s="10">
        <v>12</v>
      </c>
      <c r="P58" s="10">
        <v>13</v>
      </c>
      <c r="Q58" s="10">
        <v>14</v>
      </c>
      <c r="R58" s="10">
        <v>15</v>
      </c>
      <c r="S58" s="10">
        <v>16</v>
      </c>
      <c r="T58" s="10">
        <v>17</v>
      </c>
      <c r="U58" s="10">
        <v>18</v>
      </c>
      <c r="V58" s="10">
        <v>19</v>
      </c>
      <c r="W58" s="10">
        <v>20</v>
      </c>
      <c r="X58" s="10">
        <v>21</v>
      </c>
      <c r="Y58" s="10">
        <v>22</v>
      </c>
      <c r="Z58" s="10">
        <v>23</v>
      </c>
      <c r="AA58" s="10">
        <v>24</v>
      </c>
    </row>
    <row r="59" spans="1:27" x14ac:dyDescent="0.25">
      <c r="B59" s="12" t="s">
        <v>124</v>
      </c>
      <c r="C59" s="10">
        <v>2019</v>
      </c>
      <c r="D59" s="10">
        <v>2020</v>
      </c>
      <c r="E59" s="10">
        <v>2021</v>
      </c>
      <c r="F59" s="10">
        <v>2022</v>
      </c>
      <c r="G59" s="10">
        <v>2023</v>
      </c>
      <c r="H59" s="10">
        <v>2024</v>
      </c>
      <c r="I59" s="10">
        <v>2025</v>
      </c>
      <c r="J59" s="10">
        <v>2026</v>
      </c>
      <c r="K59" s="10">
        <v>2027</v>
      </c>
      <c r="L59" s="10">
        <v>2028</v>
      </c>
      <c r="M59" s="10">
        <v>2029</v>
      </c>
      <c r="N59" s="10">
        <v>2030</v>
      </c>
      <c r="O59" s="10">
        <v>2031</v>
      </c>
      <c r="P59" s="10">
        <v>2032</v>
      </c>
      <c r="Q59" s="10">
        <v>2033</v>
      </c>
      <c r="R59" s="10">
        <v>2034</v>
      </c>
      <c r="S59" s="10">
        <v>2035</v>
      </c>
      <c r="T59" s="10">
        <v>2036</v>
      </c>
      <c r="U59" s="10">
        <v>2037</v>
      </c>
      <c r="V59" s="10">
        <v>2038</v>
      </c>
      <c r="W59" s="10">
        <v>2039</v>
      </c>
      <c r="X59" s="10">
        <v>2040</v>
      </c>
      <c r="Y59" s="10">
        <v>2041</v>
      </c>
      <c r="Z59" s="10">
        <v>2042</v>
      </c>
      <c r="AA59" s="10">
        <v>2043</v>
      </c>
    </row>
    <row r="60" spans="1:27" x14ac:dyDescent="0.25">
      <c r="B60" t="s">
        <v>24</v>
      </c>
      <c r="H60" s="22">
        <f>+H7*'%  Planta'!F2</f>
        <v>111.40035984559333</v>
      </c>
    </row>
    <row r="61" spans="1:27" x14ac:dyDescent="0.25">
      <c r="B61" t="s">
        <v>25</v>
      </c>
      <c r="C61" s="5"/>
      <c r="D61" s="5"/>
      <c r="E61" s="5"/>
      <c r="F61" s="5"/>
      <c r="G61" s="5"/>
      <c r="H61" s="24">
        <f>$H$60*$D$2</f>
        <v>3.3420107953677998</v>
      </c>
      <c r="I61" s="24">
        <f t="shared" ref="I61:AA61" si="6">$H$60*$D$2</f>
        <v>3.3420107953677998</v>
      </c>
      <c r="J61" s="24">
        <f t="shared" si="6"/>
        <v>3.3420107953677998</v>
      </c>
      <c r="K61" s="24">
        <f t="shared" si="6"/>
        <v>3.3420107953677998</v>
      </c>
      <c r="L61" s="24">
        <f t="shared" si="6"/>
        <v>3.3420107953677998</v>
      </c>
      <c r="M61" s="24">
        <f t="shared" si="6"/>
        <v>3.3420107953677998</v>
      </c>
      <c r="N61" s="24">
        <f t="shared" si="6"/>
        <v>3.3420107953677998</v>
      </c>
      <c r="O61" s="24">
        <f t="shared" si="6"/>
        <v>3.3420107953677998</v>
      </c>
      <c r="P61" s="24">
        <f t="shared" si="6"/>
        <v>3.3420107953677998</v>
      </c>
      <c r="Q61" s="24">
        <f t="shared" si="6"/>
        <v>3.3420107953677998</v>
      </c>
      <c r="R61" s="24">
        <f t="shared" si="6"/>
        <v>3.3420107953677998</v>
      </c>
      <c r="S61" s="24">
        <f t="shared" si="6"/>
        <v>3.3420107953677998</v>
      </c>
      <c r="T61" s="24">
        <f t="shared" si="6"/>
        <v>3.3420107953677998</v>
      </c>
      <c r="U61" s="24">
        <f t="shared" si="6"/>
        <v>3.3420107953677998</v>
      </c>
      <c r="V61" s="24">
        <f t="shared" si="6"/>
        <v>3.3420107953677998</v>
      </c>
      <c r="W61" s="24">
        <f t="shared" si="6"/>
        <v>3.3420107953677998</v>
      </c>
      <c r="X61" s="24">
        <f t="shared" si="6"/>
        <v>3.3420107953677998</v>
      </c>
      <c r="Y61" s="24">
        <f t="shared" si="6"/>
        <v>3.3420107953677998</v>
      </c>
      <c r="Z61" s="24">
        <f t="shared" si="6"/>
        <v>3.3420107953677998</v>
      </c>
      <c r="AA61" s="24">
        <f t="shared" si="6"/>
        <v>3.3420107953677998</v>
      </c>
    </row>
    <row r="62" spans="1:27" x14ac:dyDescent="0.25">
      <c r="B62" s="20"/>
      <c r="C62" s="5">
        <f>+C61+C60</f>
        <v>0</v>
      </c>
      <c r="D62" s="5">
        <f t="shared" ref="D62:AA62" si="7">+D61+D60</f>
        <v>0</v>
      </c>
      <c r="E62" s="5">
        <f t="shared" si="7"/>
        <v>0</v>
      </c>
      <c r="F62" s="5">
        <f t="shared" si="7"/>
        <v>0</v>
      </c>
      <c r="G62" s="5">
        <f t="shared" si="7"/>
        <v>0</v>
      </c>
      <c r="H62" s="5">
        <f>+H61+H60</f>
        <v>114.74237064096113</v>
      </c>
      <c r="I62" s="5">
        <f t="shared" si="7"/>
        <v>3.3420107953677998</v>
      </c>
      <c r="J62" s="5">
        <f t="shared" si="7"/>
        <v>3.3420107953677998</v>
      </c>
      <c r="K62" s="5">
        <f t="shared" si="7"/>
        <v>3.3420107953677998</v>
      </c>
      <c r="L62" s="5">
        <f t="shared" si="7"/>
        <v>3.3420107953677998</v>
      </c>
      <c r="M62" s="5">
        <f t="shared" si="7"/>
        <v>3.3420107953677998</v>
      </c>
      <c r="N62" s="5">
        <f t="shared" si="7"/>
        <v>3.3420107953677998</v>
      </c>
      <c r="O62" s="5">
        <f t="shared" si="7"/>
        <v>3.3420107953677998</v>
      </c>
      <c r="P62" s="5">
        <f t="shared" si="7"/>
        <v>3.3420107953677998</v>
      </c>
      <c r="Q62" s="5">
        <f t="shared" si="7"/>
        <v>3.3420107953677998</v>
      </c>
      <c r="R62" s="5">
        <f t="shared" si="7"/>
        <v>3.3420107953677998</v>
      </c>
      <c r="S62" s="5">
        <f t="shared" si="7"/>
        <v>3.3420107953677998</v>
      </c>
      <c r="T62" s="5">
        <f t="shared" si="7"/>
        <v>3.3420107953677998</v>
      </c>
      <c r="U62" s="5">
        <f t="shared" si="7"/>
        <v>3.3420107953677998</v>
      </c>
      <c r="V62" s="5">
        <f t="shared" si="7"/>
        <v>3.3420107953677998</v>
      </c>
      <c r="W62" s="5">
        <f t="shared" si="7"/>
        <v>3.3420107953677998</v>
      </c>
      <c r="X62" s="5">
        <f t="shared" si="7"/>
        <v>3.3420107953677998</v>
      </c>
      <c r="Y62" s="5">
        <f t="shared" si="7"/>
        <v>3.3420107953677998</v>
      </c>
      <c r="Z62" s="5">
        <f t="shared" si="7"/>
        <v>3.3420107953677998</v>
      </c>
      <c r="AA62" s="5">
        <f t="shared" si="7"/>
        <v>3.3420107953677998</v>
      </c>
    </row>
    <row r="63" spans="1:27" x14ac:dyDescent="0.25">
      <c r="B63" t="s">
        <v>26</v>
      </c>
      <c r="C63" s="5">
        <f>(C61/(1+$G$2)^C58)+(C60/(1+$G$2)^C58)</f>
        <v>0</v>
      </c>
      <c r="D63" s="5">
        <f t="shared" ref="D63:AA63" si="8">(D61/(1+$G$2)^D58)+(D60/(1+$G$2)^D58)</f>
        <v>0</v>
      </c>
      <c r="E63" s="5">
        <f t="shared" si="8"/>
        <v>0</v>
      </c>
      <c r="F63" s="5">
        <f t="shared" si="8"/>
        <v>0</v>
      </c>
      <c r="G63" s="5">
        <f t="shared" si="8"/>
        <v>0</v>
      </c>
      <c r="H63" s="5">
        <f>(H61/(1+$G$2)^H58)+(H60/(1+$G$2)^H58)</f>
        <v>62.971068954240501</v>
      </c>
      <c r="I63" s="5">
        <f t="shared" si="8"/>
        <v>1.6267040394611454</v>
      </c>
      <c r="J63" s="5">
        <f t="shared" si="8"/>
        <v>1.4427530283469141</v>
      </c>
      <c r="K63" s="5">
        <f t="shared" si="8"/>
        <v>1.2796035728132276</v>
      </c>
      <c r="L63" s="5">
        <f t="shared" si="8"/>
        <v>1.1349033905217096</v>
      </c>
      <c r="M63" s="5">
        <f t="shared" si="8"/>
        <v>1.0065662000192546</v>
      </c>
      <c r="N63" s="5">
        <f t="shared" si="8"/>
        <v>0.89274164081530361</v>
      </c>
      <c r="O63" s="5">
        <f t="shared" si="8"/>
        <v>0.79178859495814058</v>
      </c>
      <c r="P63" s="5">
        <f t="shared" si="8"/>
        <v>0.70225152546176561</v>
      </c>
      <c r="Q63" s="5">
        <f t="shared" si="8"/>
        <v>0.62283949043172104</v>
      </c>
      <c r="R63" s="5">
        <f t="shared" si="8"/>
        <v>0.55240753031638246</v>
      </c>
      <c r="S63" s="5">
        <f t="shared" si="8"/>
        <v>0.48994015992583806</v>
      </c>
      <c r="T63" s="5">
        <f t="shared" si="8"/>
        <v>0.43453672720695169</v>
      </c>
      <c r="U63" s="5">
        <f t="shared" si="8"/>
        <v>0.38539842767800592</v>
      </c>
      <c r="V63" s="5">
        <f t="shared" si="8"/>
        <v>0.34181678729756626</v>
      </c>
      <c r="W63" s="5">
        <f t="shared" si="8"/>
        <v>0.3031634477140277</v>
      </c>
      <c r="X63" s="5">
        <f t="shared" si="8"/>
        <v>0.26888110661998027</v>
      </c>
      <c r="Y63" s="5">
        <f t="shared" si="8"/>
        <v>0.23847548258978293</v>
      </c>
      <c r="Z63" s="5">
        <f t="shared" si="8"/>
        <v>0.21150818854969666</v>
      </c>
      <c r="AA63" s="5">
        <f t="shared" si="8"/>
        <v>0.18759041113055133</v>
      </c>
    </row>
    <row r="64" spans="1:27" ht="18.75" x14ac:dyDescent="0.3">
      <c r="B64" t="s">
        <v>27</v>
      </c>
      <c r="C64" s="11">
        <f>SUM(C63:AA63)*1000000</f>
        <v>75884938.706098452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7" x14ac:dyDescent="0.25">
      <c r="C65" s="20"/>
    </row>
    <row r="66" spans="1:27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8" spans="1:27" x14ac:dyDescent="0.25">
      <c r="C68" s="10">
        <v>0</v>
      </c>
      <c r="D68" s="10">
        <v>1</v>
      </c>
      <c r="E68" s="10">
        <v>2</v>
      </c>
      <c r="F68" s="10">
        <v>3</v>
      </c>
      <c r="G68" s="10">
        <v>4</v>
      </c>
      <c r="H68" s="13">
        <v>5</v>
      </c>
      <c r="I68" s="10">
        <v>6</v>
      </c>
      <c r="J68" s="10">
        <v>7</v>
      </c>
      <c r="K68" s="10">
        <v>8</v>
      </c>
      <c r="L68" s="10">
        <v>9</v>
      </c>
      <c r="M68" s="10">
        <v>10</v>
      </c>
      <c r="N68" s="10">
        <v>11</v>
      </c>
      <c r="O68" s="10">
        <v>12</v>
      </c>
      <c r="P68" s="10">
        <v>13</v>
      </c>
      <c r="Q68" s="10">
        <v>14</v>
      </c>
      <c r="R68" s="10">
        <v>15</v>
      </c>
      <c r="S68" s="10">
        <v>16</v>
      </c>
      <c r="T68" s="10">
        <v>17</v>
      </c>
      <c r="U68" s="10">
        <v>18</v>
      </c>
      <c r="V68" s="10">
        <v>19</v>
      </c>
      <c r="W68" s="10">
        <v>20</v>
      </c>
      <c r="X68" s="10">
        <v>21</v>
      </c>
      <c r="Y68" s="10">
        <v>22</v>
      </c>
      <c r="Z68" s="10">
        <v>23</v>
      </c>
      <c r="AA68" s="10">
        <v>24</v>
      </c>
    </row>
    <row r="69" spans="1:27" x14ac:dyDescent="0.25">
      <c r="B69" s="12" t="s">
        <v>28</v>
      </c>
      <c r="C69" s="10">
        <v>2019</v>
      </c>
      <c r="D69" s="10">
        <v>2020</v>
      </c>
      <c r="E69" s="10">
        <v>2021</v>
      </c>
      <c r="F69" s="10">
        <v>2022</v>
      </c>
      <c r="G69" s="10">
        <v>2023</v>
      </c>
      <c r="H69" s="13">
        <v>2024</v>
      </c>
      <c r="I69" s="10">
        <v>2025</v>
      </c>
      <c r="J69" s="10">
        <v>2026</v>
      </c>
      <c r="K69" s="10">
        <v>2027</v>
      </c>
      <c r="L69" s="10">
        <v>2028</v>
      </c>
      <c r="M69" s="10">
        <v>2029</v>
      </c>
      <c r="N69" s="10">
        <v>2030</v>
      </c>
      <c r="O69" s="10">
        <v>2031</v>
      </c>
      <c r="P69" s="10">
        <v>2032</v>
      </c>
      <c r="Q69" s="10">
        <v>2033</v>
      </c>
      <c r="R69" s="10">
        <v>2034</v>
      </c>
      <c r="S69" s="10">
        <v>2035</v>
      </c>
      <c r="T69" s="10">
        <v>2036</v>
      </c>
      <c r="U69" s="10">
        <v>2037</v>
      </c>
      <c r="V69" s="10">
        <v>2038</v>
      </c>
      <c r="W69" s="10">
        <v>2039</v>
      </c>
      <c r="X69" s="10">
        <v>2040</v>
      </c>
      <c r="Y69" s="10">
        <v>2041</v>
      </c>
      <c r="Z69" s="10">
        <v>2042</v>
      </c>
      <c r="AA69" s="10">
        <v>2043</v>
      </c>
    </row>
    <row r="70" spans="1:27" x14ac:dyDescent="0.25">
      <c r="B70" s="14" t="s">
        <v>105</v>
      </c>
      <c r="C70" s="5"/>
      <c r="D70" s="5">
        <v>0</v>
      </c>
      <c r="E70" s="5">
        <v>0</v>
      </c>
      <c r="F70" s="5">
        <v>0</v>
      </c>
      <c r="G70" s="5">
        <v>0</v>
      </c>
      <c r="H70" s="23">
        <f>+'Demanda Regional'!V29</f>
        <v>17741998.035793401</v>
      </c>
      <c r="I70" s="23">
        <f>+'Demanda Regional'!W29</f>
        <v>18936457.178770654</v>
      </c>
      <c r="J70" s="23">
        <f>+'Demanda Regional'!X29</f>
        <v>20049629.272633158</v>
      </c>
      <c r="K70" s="23">
        <f>+'Demanda Regional'!Y29</f>
        <v>22214198.125913344</v>
      </c>
      <c r="L70" s="23">
        <f>+'Demanda Regional'!Z29</f>
        <v>22819111.729967982</v>
      </c>
      <c r="M70" s="23">
        <f>+'Demanda Regional'!AA29</f>
        <v>22700320.7963285</v>
      </c>
      <c r="N70" s="23">
        <f>+'Demanda Regional'!AB29</f>
        <v>25658461.774194799</v>
      </c>
      <c r="O70" s="23">
        <f>+'Demanda Regional'!AC29</f>
        <v>25660586.694608107</v>
      </c>
      <c r="P70" s="23">
        <f>+'Demanda Regional'!AD29</f>
        <v>25011668.038304955</v>
      </c>
      <c r="Q70" s="23">
        <f>+'Demanda Regional'!AE29</f>
        <v>26647911.199372448</v>
      </c>
      <c r="R70" s="23">
        <f>+'Demanda Regional'!AF29</f>
        <v>26647911.199372448</v>
      </c>
      <c r="S70" s="23">
        <f>+'Demanda Regional'!AG29</f>
        <v>26647911.199372448</v>
      </c>
      <c r="T70" s="23">
        <f>+'Demanda Regional'!AH29</f>
        <v>26647911.199372448</v>
      </c>
      <c r="U70" s="23">
        <f>+'Demanda Regional'!AI29</f>
        <v>26647911.199372448</v>
      </c>
      <c r="V70" s="23">
        <f>+'Demanda Regional'!AJ29</f>
        <v>26647911.199372448</v>
      </c>
      <c r="W70" s="23">
        <f>+'Demanda Regional'!AK29</f>
        <v>26647911.199372448</v>
      </c>
      <c r="X70" s="23">
        <f>+'Demanda Regional'!AL29</f>
        <v>26647911.199372448</v>
      </c>
      <c r="Y70" s="23">
        <f>+'Demanda Regional'!AM29</f>
        <v>26647911.199372448</v>
      </c>
      <c r="Z70" s="23">
        <f>+'Demanda Regional'!AN29</f>
        <v>26647911.199372448</v>
      </c>
      <c r="AA70" s="23">
        <f>+'Demanda Regional'!AO29</f>
        <v>26647911.199372448</v>
      </c>
    </row>
    <row r="71" spans="1:27" x14ac:dyDescent="0.25">
      <c r="B71" t="s">
        <v>29</v>
      </c>
      <c r="C71" s="5">
        <f>(C70)/(1+$G$2)^C68</f>
        <v>0</v>
      </c>
      <c r="D71" s="5">
        <v>0</v>
      </c>
      <c r="E71" s="5">
        <v>0</v>
      </c>
      <c r="F71" s="5">
        <v>0</v>
      </c>
      <c r="G71" s="5">
        <v>0</v>
      </c>
      <c r="H71" s="5">
        <f t="shared" ref="H71:AA71" si="9">(H70)/(1+$G$2)^H68</f>
        <v>9736879.0226050299</v>
      </c>
      <c r="I71" s="5">
        <f t="shared" si="9"/>
        <v>9217208.8218521569</v>
      </c>
      <c r="J71" s="5">
        <f t="shared" si="9"/>
        <v>8655466.7598376051</v>
      </c>
      <c r="K71" s="5">
        <f t="shared" si="9"/>
        <v>8505468.4229322821</v>
      </c>
      <c r="L71" s="5">
        <f t="shared" si="9"/>
        <v>7749073.4939963799</v>
      </c>
      <c r="M71" s="5">
        <f t="shared" si="9"/>
        <v>6837014.3133136667</v>
      </c>
      <c r="N71" s="5">
        <f t="shared" si="9"/>
        <v>6854070.3988272082</v>
      </c>
      <c r="O71" s="5">
        <f t="shared" si="9"/>
        <v>6079501.572193237</v>
      </c>
      <c r="P71" s="5">
        <f t="shared" si="9"/>
        <v>5255662.8657777598</v>
      </c>
      <c r="Q71" s="5">
        <f t="shared" si="9"/>
        <v>4966283.0100643914</v>
      </c>
      <c r="R71" s="5">
        <f t="shared" si="9"/>
        <v>4404685.5965094389</v>
      </c>
      <c r="S71" s="5">
        <f t="shared" si="9"/>
        <v>3906594.7640881944</v>
      </c>
      <c r="T71" s="5">
        <f t="shared" si="9"/>
        <v>3464829.0590582653</v>
      </c>
      <c r="U71" s="5">
        <f t="shared" si="9"/>
        <v>3073019.1211159783</v>
      </c>
      <c r="V71" s="5">
        <f t="shared" si="9"/>
        <v>2725515.8502137279</v>
      </c>
      <c r="W71" s="5">
        <f t="shared" si="9"/>
        <v>2417308.9580609561</v>
      </c>
      <c r="X71" s="5">
        <f t="shared" si="9"/>
        <v>2143954.7299875445</v>
      </c>
      <c r="Y71" s="5">
        <f t="shared" si="9"/>
        <v>1901511.9556430548</v>
      </c>
      <c r="Z71" s="5">
        <f t="shared" si="9"/>
        <v>1686485.1047831974</v>
      </c>
      <c r="AA71" s="5">
        <f t="shared" si="9"/>
        <v>1495773.9288542769</v>
      </c>
    </row>
    <row r="72" spans="1:27" ht="18.75" x14ac:dyDescent="0.3">
      <c r="B72" t="s">
        <v>30</v>
      </c>
      <c r="C72" s="11">
        <f>SUM(C71:AA71)</f>
        <v>101076307.74971434</v>
      </c>
    </row>
    <row r="75" spans="1:27" x14ac:dyDescent="0.25">
      <c r="B75" s="12" t="s">
        <v>41</v>
      </c>
    </row>
    <row r="76" spans="1:27" x14ac:dyDescent="0.25">
      <c r="B76" s="10" t="s">
        <v>31</v>
      </c>
    </row>
    <row r="77" spans="1:27" ht="18.75" x14ac:dyDescent="0.3">
      <c r="B77" s="10" t="s">
        <v>40</v>
      </c>
      <c r="C77" s="115">
        <f>+C64/C72</f>
        <v>0.75076880423852754</v>
      </c>
    </row>
    <row r="80" spans="1:27" ht="18.75" x14ac:dyDescent="0.3">
      <c r="A80" s="113" t="s">
        <v>94</v>
      </c>
    </row>
    <row r="81" spans="1:27" ht="18.75" x14ac:dyDescent="0.3">
      <c r="A81" s="113"/>
      <c r="C81" s="10">
        <v>0</v>
      </c>
      <c r="D81" s="10">
        <v>1</v>
      </c>
      <c r="E81" s="10">
        <v>2</v>
      </c>
      <c r="F81" s="10">
        <v>3</v>
      </c>
      <c r="G81" s="10">
        <v>4</v>
      </c>
      <c r="H81" s="10">
        <v>5</v>
      </c>
      <c r="I81" s="10">
        <v>6</v>
      </c>
      <c r="J81" s="10">
        <v>7</v>
      </c>
      <c r="K81" s="10">
        <v>8</v>
      </c>
      <c r="L81" s="10">
        <v>9</v>
      </c>
      <c r="M81" s="10">
        <v>10</v>
      </c>
      <c r="N81" s="10">
        <v>11</v>
      </c>
      <c r="O81" s="10">
        <v>12</v>
      </c>
      <c r="P81" s="10">
        <v>13</v>
      </c>
      <c r="Q81" s="10">
        <v>14</v>
      </c>
      <c r="R81" s="10">
        <v>15</v>
      </c>
      <c r="S81" s="10">
        <v>16</v>
      </c>
      <c r="T81" s="10">
        <v>17</v>
      </c>
      <c r="U81" s="10">
        <v>18</v>
      </c>
      <c r="V81" s="10">
        <v>19</v>
      </c>
      <c r="W81" s="10">
        <v>20</v>
      </c>
      <c r="X81" s="10">
        <v>21</v>
      </c>
      <c r="Y81" s="10">
        <v>22</v>
      </c>
      <c r="Z81" s="10">
        <v>23</v>
      </c>
      <c r="AA81" s="10">
        <v>24</v>
      </c>
    </row>
    <row r="82" spans="1:27" x14ac:dyDescent="0.25">
      <c r="B82" s="12" t="s">
        <v>124</v>
      </c>
      <c r="C82" s="10">
        <v>2019</v>
      </c>
      <c r="D82" s="10">
        <v>2020</v>
      </c>
      <c r="E82" s="10">
        <v>2021</v>
      </c>
      <c r="F82" s="10">
        <v>2022</v>
      </c>
      <c r="G82" s="10">
        <v>2023</v>
      </c>
      <c r="H82" s="10">
        <v>2024</v>
      </c>
      <c r="I82" s="10">
        <v>2025</v>
      </c>
      <c r="J82" s="10">
        <v>2026</v>
      </c>
      <c r="K82" s="10">
        <v>2027</v>
      </c>
      <c r="L82" s="10">
        <v>2028</v>
      </c>
      <c r="M82" s="10">
        <v>2029</v>
      </c>
      <c r="N82" s="10">
        <v>2030</v>
      </c>
      <c r="O82" s="10">
        <v>2031</v>
      </c>
      <c r="P82" s="10">
        <v>2032</v>
      </c>
      <c r="Q82" s="10">
        <v>2033</v>
      </c>
      <c r="R82" s="10">
        <v>2034</v>
      </c>
      <c r="S82" s="10">
        <v>2035</v>
      </c>
      <c r="T82" s="10">
        <v>2036</v>
      </c>
      <c r="U82" s="10">
        <v>2037</v>
      </c>
      <c r="V82" s="10">
        <v>2038</v>
      </c>
      <c r="W82" s="10">
        <v>2039</v>
      </c>
      <c r="X82" s="10">
        <v>2040</v>
      </c>
      <c r="Y82" s="10">
        <v>2041</v>
      </c>
      <c r="Z82" s="10">
        <v>2042</v>
      </c>
      <c r="AA82" s="10">
        <v>2043</v>
      </c>
    </row>
    <row r="83" spans="1:27" x14ac:dyDescent="0.25">
      <c r="B83" t="s">
        <v>24</v>
      </c>
      <c r="H83" s="22">
        <f>+H34*'%  Planta'!F2</f>
        <v>18.606711979282998</v>
      </c>
    </row>
    <row r="84" spans="1:27" x14ac:dyDescent="0.25">
      <c r="B84" t="s">
        <v>25</v>
      </c>
      <c r="C84" s="5"/>
      <c r="D84" s="5"/>
      <c r="E84" s="5"/>
      <c r="F84" s="5"/>
      <c r="G84" s="5"/>
      <c r="H84" s="24">
        <f>$H$83*$D$2</f>
        <v>0.55820135937848991</v>
      </c>
      <c r="I84" s="24">
        <f t="shared" ref="I84:AA84" si="10">$H$83*$D$2</f>
        <v>0.55820135937848991</v>
      </c>
      <c r="J84" s="24">
        <f t="shared" si="10"/>
        <v>0.55820135937848991</v>
      </c>
      <c r="K84" s="24">
        <f t="shared" si="10"/>
        <v>0.55820135937848991</v>
      </c>
      <c r="L84" s="24">
        <f t="shared" si="10"/>
        <v>0.55820135937848991</v>
      </c>
      <c r="M84" s="24">
        <f t="shared" si="10"/>
        <v>0.55820135937848991</v>
      </c>
      <c r="N84" s="24">
        <f t="shared" si="10"/>
        <v>0.55820135937848991</v>
      </c>
      <c r="O84" s="24">
        <f t="shared" si="10"/>
        <v>0.55820135937848991</v>
      </c>
      <c r="P84" s="24">
        <f t="shared" si="10"/>
        <v>0.55820135937848991</v>
      </c>
      <c r="Q84" s="24">
        <f t="shared" si="10"/>
        <v>0.55820135937848991</v>
      </c>
      <c r="R84" s="24">
        <f t="shared" si="10"/>
        <v>0.55820135937848991</v>
      </c>
      <c r="S84" s="24">
        <f t="shared" si="10"/>
        <v>0.55820135937848991</v>
      </c>
      <c r="T84" s="24">
        <f t="shared" si="10"/>
        <v>0.55820135937848991</v>
      </c>
      <c r="U84" s="24">
        <f t="shared" si="10"/>
        <v>0.55820135937848991</v>
      </c>
      <c r="V84" s="24">
        <f t="shared" si="10"/>
        <v>0.55820135937848991</v>
      </c>
      <c r="W84" s="24">
        <f t="shared" si="10"/>
        <v>0.55820135937848991</v>
      </c>
      <c r="X84" s="24">
        <f t="shared" si="10"/>
        <v>0.55820135937848991</v>
      </c>
      <c r="Y84" s="24">
        <f t="shared" si="10"/>
        <v>0.55820135937848991</v>
      </c>
      <c r="Z84" s="24">
        <f t="shared" si="10"/>
        <v>0.55820135937848991</v>
      </c>
      <c r="AA84" s="24">
        <f t="shared" si="10"/>
        <v>0.55820135937848991</v>
      </c>
    </row>
    <row r="85" spans="1:27" x14ac:dyDescent="0.25">
      <c r="B85" s="20"/>
      <c r="C85" s="5">
        <f>+C84+C83</f>
        <v>0</v>
      </c>
      <c r="D85" s="5">
        <f t="shared" ref="D85:G85" si="11">+D84+D83</f>
        <v>0</v>
      </c>
      <c r="E85" s="5">
        <f t="shared" si="11"/>
        <v>0</v>
      </c>
      <c r="F85" s="5">
        <f t="shared" si="11"/>
        <v>0</v>
      </c>
      <c r="G85" s="5">
        <f t="shared" si="11"/>
        <v>0</v>
      </c>
      <c r="H85" s="5">
        <f>+H84+H83</f>
        <v>19.164913338661488</v>
      </c>
      <c r="I85" s="5">
        <f t="shared" ref="I85:AA85" si="12">+I84+I83</f>
        <v>0.55820135937848991</v>
      </c>
      <c r="J85" s="5">
        <f t="shared" si="12"/>
        <v>0.55820135937848991</v>
      </c>
      <c r="K85" s="5">
        <f t="shared" si="12"/>
        <v>0.55820135937848991</v>
      </c>
      <c r="L85" s="5">
        <f t="shared" si="12"/>
        <v>0.55820135937848991</v>
      </c>
      <c r="M85" s="5">
        <f t="shared" si="12"/>
        <v>0.55820135937848991</v>
      </c>
      <c r="N85" s="5">
        <f t="shared" si="12"/>
        <v>0.55820135937848991</v>
      </c>
      <c r="O85" s="5">
        <f t="shared" si="12"/>
        <v>0.55820135937848991</v>
      </c>
      <c r="P85" s="5">
        <f t="shared" si="12"/>
        <v>0.55820135937848991</v>
      </c>
      <c r="Q85" s="5">
        <f t="shared" si="12"/>
        <v>0.55820135937848991</v>
      </c>
      <c r="R85" s="5">
        <f t="shared" si="12"/>
        <v>0.55820135937848991</v>
      </c>
      <c r="S85" s="5">
        <f t="shared" si="12"/>
        <v>0.55820135937848991</v>
      </c>
      <c r="T85" s="5">
        <f t="shared" si="12"/>
        <v>0.55820135937848991</v>
      </c>
      <c r="U85" s="5">
        <f t="shared" si="12"/>
        <v>0.55820135937848991</v>
      </c>
      <c r="V85" s="5">
        <f t="shared" si="12"/>
        <v>0.55820135937848991</v>
      </c>
      <c r="W85" s="5">
        <f t="shared" si="12"/>
        <v>0.55820135937848991</v>
      </c>
      <c r="X85" s="5">
        <f t="shared" si="12"/>
        <v>0.55820135937848991</v>
      </c>
      <c r="Y85" s="5">
        <f t="shared" si="12"/>
        <v>0.55820135937848991</v>
      </c>
      <c r="Z85" s="5">
        <f t="shared" si="12"/>
        <v>0.55820135937848991</v>
      </c>
      <c r="AA85" s="5">
        <f t="shared" si="12"/>
        <v>0.55820135937848991</v>
      </c>
    </row>
    <row r="86" spans="1:27" x14ac:dyDescent="0.25">
      <c r="B86" t="s">
        <v>26</v>
      </c>
      <c r="C86" s="5">
        <f>(C84/(1+$G$2)^C81)+(C83/(1+$G$2)^C81)</f>
        <v>0</v>
      </c>
      <c r="D86" s="5">
        <f t="shared" ref="D86:G86" si="13">(D84/(1+$G$2)^D81)+(D83/(1+$G$2)^D81)</f>
        <v>0</v>
      </c>
      <c r="E86" s="5">
        <f t="shared" si="13"/>
        <v>0</v>
      </c>
      <c r="F86" s="5">
        <f t="shared" si="13"/>
        <v>0</v>
      </c>
      <c r="G86" s="5">
        <f t="shared" si="13"/>
        <v>0</v>
      </c>
      <c r="H86" s="5">
        <f>(H84/(1+$G$2)^H81)+(H83/(1+$G$2)^H81)</f>
        <v>10.517780594992134</v>
      </c>
      <c r="I86" s="5">
        <f t="shared" ref="I86:AA86" si="14">(I84/(1+$G$2)^I81)+(I83/(1+$G$2)^I81)</f>
        <v>0.27170121873701503</v>
      </c>
      <c r="J86" s="5">
        <f t="shared" si="14"/>
        <v>0.24097669067584485</v>
      </c>
      <c r="K86" s="5">
        <f t="shared" si="14"/>
        <v>0.21372655492314396</v>
      </c>
      <c r="L86" s="5">
        <f t="shared" si="14"/>
        <v>0.18955792010921863</v>
      </c>
      <c r="M86" s="5">
        <f t="shared" si="14"/>
        <v>0.16812232382192338</v>
      </c>
      <c r="N86" s="5">
        <f t="shared" si="14"/>
        <v>0.14911070848951077</v>
      </c>
      <c r="O86" s="5">
        <f t="shared" si="14"/>
        <v>0.13224896540089645</v>
      </c>
      <c r="P86" s="5">
        <f t="shared" si="14"/>
        <v>0.11729398261720309</v>
      </c>
      <c r="Q86" s="5">
        <f t="shared" si="14"/>
        <v>0.10403013979352822</v>
      </c>
      <c r="R86" s="5">
        <f t="shared" si="14"/>
        <v>9.2266199373417512E-2</v>
      </c>
      <c r="S86" s="5">
        <f t="shared" si="14"/>
        <v>8.1832549333407986E-2</v>
      </c>
      <c r="T86" s="5">
        <f t="shared" si="14"/>
        <v>7.2578757723643444E-2</v>
      </c>
      <c r="U86" s="5">
        <f t="shared" si="14"/>
        <v>6.4371403746025235E-2</v>
      </c>
      <c r="V86" s="5">
        <f t="shared" si="14"/>
        <v>5.709215409847028E-2</v>
      </c>
      <c r="W86" s="5">
        <f t="shared" si="14"/>
        <v>5.0636056850084502E-2</v>
      </c>
      <c r="X86" s="5">
        <f t="shared" si="14"/>
        <v>4.4910028248411976E-2</v>
      </c>
      <c r="Y86" s="5">
        <f t="shared" si="14"/>
        <v>3.9831510641607074E-2</v>
      </c>
      <c r="Z86" s="5">
        <f t="shared" si="14"/>
        <v>3.5327282165505174E-2</v>
      </c>
      <c r="AA86" s="5">
        <f t="shared" si="14"/>
        <v>3.1332401033707463E-2</v>
      </c>
    </row>
    <row r="87" spans="1:27" ht="18.75" x14ac:dyDescent="0.3">
      <c r="B87" t="s">
        <v>27</v>
      </c>
      <c r="C87" s="11">
        <f>SUM(C86:AA86)*1000000</f>
        <v>12674727.442774694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7" x14ac:dyDescent="0.25">
      <c r="C88" s="20"/>
    </row>
    <row r="89" spans="1:27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1" spans="1:27" x14ac:dyDescent="0.25">
      <c r="C91" s="10">
        <v>0</v>
      </c>
      <c r="D91" s="10">
        <v>1</v>
      </c>
      <c r="E91" s="10">
        <v>2</v>
      </c>
      <c r="F91" s="10">
        <v>3</v>
      </c>
      <c r="G91" s="10">
        <v>4</v>
      </c>
      <c r="H91" s="13">
        <v>5</v>
      </c>
      <c r="I91" s="10">
        <v>6</v>
      </c>
      <c r="J91" s="10">
        <v>7</v>
      </c>
      <c r="K91" s="10">
        <v>8</v>
      </c>
      <c r="L91" s="10">
        <v>9</v>
      </c>
      <c r="M91" s="10">
        <v>10</v>
      </c>
      <c r="N91" s="10">
        <v>11</v>
      </c>
      <c r="O91" s="10">
        <v>12</v>
      </c>
      <c r="P91" s="10">
        <v>13</v>
      </c>
      <c r="Q91" s="10">
        <v>14</v>
      </c>
      <c r="R91" s="10">
        <v>15</v>
      </c>
      <c r="S91" s="10">
        <v>16</v>
      </c>
      <c r="T91" s="10">
        <v>17</v>
      </c>
      <c r="U91" s="10">
        <v>18</v>
      </c>
      <c r="V91" s="10">
        <v>19</v>
      </c>
      <c r="W91" s="10">
        <v>20</v>
      </c>
      <c r="X91" s="10">
        <v>21</v>
      </c>
      <c r="Y91" s="10">
        <v>22</v>
      </c>
      <c r="Z91" s="10">
        <v>23</v>
      </c>
      <c r="AA91" s="10">
        <v>24</v>
      </c>
    </row>
    <row r="92" spans="1:27" x14ac:dyDescent="0.25">
      <c r="B92" s="12" t="s">
        <v>28</v>
      </c>
      <c r="C92" s="10">
        <v>2019</v>
      </c>
      <c r="D92" s="10">
        <v>2020</v>
      </c>
      <c r="E92" s="10">
        <v>2021</v>
      </c>
      <c r="F92" s="10">
        <v>2022</v>
      </c>
      <c r="G92" s="10">
        <v>2023</v>
      </c>
      <c r="H92" s="13">
        <v>2024</v>
      </c>
      <c r="I92" s="10">
        <v>2025</v>
      </c>
      <c r="J92" s="10">
        <v>2026</v>
      </c>
      <c r="K92" s="10">
        <v>2027</v>
      </c>
      <c r="L92" s="10">
        <v>2028</v>
      </c>
      <c r="M92" s="10">
        <v>2029</v>
      </c>
      <c r="N92" s="10">
        <v>2030</v>
      </c>
      <c r="O92" s="10">
        <v>2031</v>
      </c>
      <c r="P92" s="10">
        <v>2032</v>
      </c>
      <c r="Q92" s="10">
        <v>2033</v>
      </c>
      <c r="R92" s="10">
        <v>2034</v>
      </c>
      <c r="S92" s="10">
        <v>2035</v>
      </c>
      <c r="T92" s="10">
        <v>2036</v>
      </c>
      <c r="U92" s="10">
        <v>2037</v>
      </c>
      <c r="V92" s="10">
        <v>2038</v>
      </c>
      <c r="W92" s="10">
        <v>2039</v>
      </c>
      <c r="X92" s="10">
        <v>2040</v>
      </c>
      <c r="Y92" s="10">
        <v>2041</v>
      </c>
      <c r="Z92" s="10">
        <v>2042</v>
      </c>
      <c r="AA92" s="10">
        <v>2043</v>
      </c>
    </row>
    <row r="93" spans="1:27" x14ac:dyDescent="0.25">
      <c r="B93" s="14" t="s">
        <v>105</v>
      </c>
      <c r="C93" s="5"/>
      <c r="D93" s="5">
        <v>0</v>
      </c>
      <c r="E93" s="5">
        <v>0</v>
      </c>
      <c r="F93" s="5">
        <v>0</v>
      </c>
      <c r="G93" s="5">
        <v>0</v>
      </c>
      <c r="H93" s="23">
        <f>+'Demanda Regional'!V29</f>
        <v>17741998.035793401</v>
      </c>
      <c r="I93" s="23">
        <f>+'Demanda Regional'!W29</f>
        <v>18936457.178770654</v>
      </c>
      <c r="J93" s="23">
        <f>+'Demanda Regional'!X29</f>
        <v>20049629.272633158</v>
      </c>
      <c r="K93" s="23">
        <f>+'Demanda Regional'!Y29</f>
        <v>22214198.125913344</v>
      </c>
      <c r="L93" s="23">
        <f>+'Demanda Regional'!Z29</f>
        <v>22819111.729967982</v>
      </c>
      <c r="M93" s="23">
        <f>+'Demanda Regional'!AA29</f>
        <v>22700320.7963285</v>
      </c>
      <c r="N93" s="23">
        <f>+'Demanda Regional'!AB29</f>
        <v>25658461.774194799</v>
      </c>
      <c r="O93" s="23">
        <f>+'Demanda Regional'!AC29</f>
        <v>25660586.694608107</v>
      </c>
      <c r="P93" s="23">
        <f>+'Demanda Regional'!AD29</f>
        <v>25011668.038304955</v>
      </c>
      <c r="Q93" s="23">
        <f>+'Demanda Regional'!AE29</f>
        <v>26647911.199372448</v>
      </c>
      <c r="R93" s="23">
        <f>+'Demanda Regional'!AF29</f>
        <v>26647911.199372448</v>
      </c>
      <c r="S93" s="23">
        <f>+'Demanda Regional'!AG29</f>
        <v>26647911.199372448</v>
      </c>
      <c r="T93" s="23">
        <f>+'Demanda Regional'!AH29</f>
        <v>26647911.199372448</v>
      </c>
      <c r="U93" s="23">
        <f>+'Demanda Regional'!AI29</f>
        <v>26647911.199372448</v>
      </c>
      <c r="V93" s="23">
        <f>+'Demanda Regional'!AJ29</f>
        <v>26647911.199372448</v>
      </c>
      <c r="W93" s="23">
        <f>+'Demanda Regional'!AK29</f>
        <v>26647911.199372448</v>
      </c>
      <c r="X93" s="23">
        <f>+'Demanda Regional'!AL29</f>
        <v>26647911.199372448</v>
      </c>
      <c r="Y93" s="23">
        <f>+'Demanda Regional'!AM29</f>
        <v>26647911.199372448</v>
      </c>
      <c r="Z93" s="23">
        <f>+'Demanda Regional'!AN29</f>
        <v>26647911.199372448</v>
      </c>
      <c r="AA93" s="23">
        <f>+'Demanda Regional'!AO29</f>
        <v>26647911.199372448</v>
      </c>
    </row>
    <row r="94" spans="1:27" x14ac:dyDescent="0.25">
      <c r="B94" t="s">
        <v>29</v>
      </c>
      <c r="C94" s="5">
        <f>(C93)/(1+$G$2)^C91</f>
        <v>0</v>
      </c>
      <c r="D94" s="5">
        <v>0</v>
      </c>
      <c r="E94" s="5">
        <v>0</v>
      </c>
      <c r="F94" s="5">
        <v>0</v>
      </c>
      <c r="G94" s="5">
        <v>0</v>
      </c>
      <c r="H94" s="5">
        <f t="shared" ref="H94:AA94" si="15">(H93)/(1+$G$2)^H91</f>
        <v>9736879.0226050299</v>
      </c>
      <c r="I94" s="5">
        <f t="shared" si="15"/>
        <v>9217208.8218521569</v>
      </c>
      <c r="J94" s="5">
        <f t="shared" si="15"/>
        <v>8655466.7598376051</v>
      </c>
      <c r="K94" s="5">
        <f t="shared" si="15"/>
        <v>8505468.4229322821</v>
      </c>
      <c r="L94" s="5">
        <f t="shared" si="15"/>
        <v>7749073.4939963799</v>
      </c>
      <c r="M94" s="5">
        <f t="shared" si="15"/>
        <v>6837014.3133136667</v>
      </c>
      <c r="N94" s="5">
        <f t="shared" si="15"/>
        <v>6854070.3988272082</v>
      </c>
      <c r="O94" s="5">
        <f t="shared" si="15"/>
        <v>6079501.572193237</v>
      </c>
      <c r="P94" s="5">
        <f t="shared" si="15"/>
        <v>5255662.8657777598</v>
      </c>
      <c r="Q94" s="5">
        <f t="shared" si="15"/>
        <v>4966283.0100643914</v>
      </c>
      <c r="R94" s="5">
        <f t="shared" si="15"/>
        <v>4404685.5965094389</v>
      </c>
      <c r="S94" s="5">
        <f t="shared" si="15"/>
        <v>3906594.7640881944</v>
      </c>
      <c r="T94" s="5">
        <f t="shared" si="15"/>
        <v>3464829.0590582653</v>
      </c>
      <c r="U94" s="5">
        <f t="shared" si="15"/>
        <v>3073019.1211159783</v>
      </c>
      <c r="V94" s="5">
        <f t="shared" si="15"/>
        <v>2725515.8502137279</v>
      </c>
      <c r="W94" s="5">
        <f t="shared" si="15"/>
        <v>2417308.9580609561</v>
      </c>
      <c r="X94" s="5">
        <f t="shared" si="15"/>
        <v>2143954.7299875445</v>
      </c>
      <c r="Y94" s="5">
        <f t="shared" si="15"/>
        <v>1901511.9556430548</v>
      </c>
      <c r="Z94" s="5">
        <f t="shared" si="15"/>
        <v>1686485.1047831974</v>
      </c>
      <c r="AA94" s="5">
        <f t="shared" si="15"/>
        <v>1495773.9288542769</v>
      </c>
    </row>
    <row r="95" spans="1:27" ht="18.75" x14ac:dyDescent="0.3">
      <c r="B95" t="s">
        <v>30</v>
      </c>
      <c r="C95" s="11">
        <f>SUM(C94:AA94)</f>
        <v>101076307.74971434</v>
      </c>
    </row>
    <row r="98" spans="2:3" x14ac:dyDescent="0.25">
      <c r="B98" s="12" t="s">
        <v>41</v>
      </c>
    </row>
    <row r="99" spans="2:3" x14ac:dyDescent="0.25">
      <c r="B99" s="10" t="s">
        <v>31</v>
      </c>
    </row>
    <row r="100" spans="2:3" ht="18.75" x14ac:dyDescent="0.3">
      <c r="B100" s="10" t="s">
        <v>40</v>
      </c>
      <c r="C100" s="116">
        <f>+C87/C95</f>
        <v>0.12539761023087545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showGridLines="0" workbookViewId="0">
      <pane ySplit="2" topLeftCell="A28" activePane="bottomLeft" state="frozen"/>
      <selection pane="bottomLeft" activeCell="B28" sqref="B28"/>
    </sheetView>
  </sheetViews>
  <sheetFormatPr baseColWidth="10" defaultRowHeight="15" x14ac:dyDescent="0.25"/>
  <cols>
    <col min="1" max="1" width="19.42578125" bestFit="1" customWidth="1"/>
    <col min="2" max="2" width="26.140625" bestFit="1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15" t="s">
        <v>123</v>
      </c>
      <c r="C2" s="140" t="str">
        <f>+'%  Planta'!C16</f>
        <v>Tolima Grande</v>
      </c>
      <c r="D2" s="43">
        <v>0.03</v>
      </c>
      <c r="E2" s="27">
        <v>700</v>
      </c>
      <c r="F2" s="27">
        <v>2024</v>
      </c>
      <c r="G2" s="43">
        <v>0.1275</v>
      </c>
    </row>
    <row r="4" spans="1:27" ht="18.75" x14ac:dyDescent="0.3">
      <c r="A4" s="113" t="s">
        <v>88</v>
      </c>
    </row>
    <row r="5" spans="1:27" x14ac:dyDescent="0.25"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25">
        <f>+E2*'%  Planta'!E16*'%  Planta'!F4</f>
        <v>29.096559818995708</v>
      </c>
    </row>
    <row r="8" spans="1:27" x14ac:dyDescent="0.25">
      <c r="B8" t="s">
        <v>25</v>
      </c>
      <c r="C8" s="5"/>
      <c r="D8" s="5"/>
      <c r="E8" s="5"/>
      <c r="F8" s="5"/>
      <c r="G8" s="5"/>
      <c r="H8" s="5">
        <f t="shared" ref="H8:AA8" si="0">$H$7*$D$2</f>
        <v>0.87289679456987124</v>
      </c>
      <c r="I8" s="5">
        <f t="shared" si="0"/>
        <v>0.87289679456987124</v>
      </c>
      <c r="J8" s="5">
        <f t="shared" si="0"/>
        <v>0.87289679456987124</v>
      </c>
      <c r="K8" s="5">
        <f t="shared" si="0"/>
        <v>0.87289679456987124</v>
      </c>
      <c r="L8" s="5">
        <f t="shared" si="0"/>
        <v>0.87289679456987124</v>
      </c>
      <c r="M8" s="5">
        <f t="shared" si="0"/>
        <v>0.87289679456987124</v>
      </c>
      <c r="N8" s="5">
        <f t="shared" si="0"/>
        <v>0.87289679456987124</v>
      </c>
      <c r="O8" s="5">
        <f t="shared" si="0"/>
        <v>0.87289679456987124</v>
      </c>
      <c r="P8" s="5">
        <f t="shared" si="0"/>
        <v>0.87289679456987124</v>
      </c>
      <c r="Q8" s="5">
        <f t="shared" si="0"/>
        <v>0.87289679456987124</v>
      </c>
      <c r="R8" s="5">
        <f t="shared" si="0"/>
        <v>0.87289679456987124</v>
      </c>
      <c r="S8" s="5">
        <f t="shared" si="0"/>
        <v>0.87289679456987124</v>
      </c>
      <c r="T8" s="5">
        <f t="shared" si="0"/>
        <v>0.87289679456987124</v>
      </c>
      <c r="U8" s="5">
        <f t="shared" si="0"/>
        <v>0.87289679456987124</v>
      </c>
      <c r="V8" s="5">
        <f t="shared" si="0"/>
        <v>0.87289679456987124</v>
      </c>
      <c r="W8" s="5">
        <f t="shared" si="0"/>
        <v>0.87289679456987124</v>
      </c>
      <c r="X8" s="5">
        <f t="shared" si="0"/>
        <v>0.87289679456987124</v>
      </c>
      <c r="Y8" s="5">
        <f t="shared" si="0"/>
        <v>0.87289679456987124</v>
      </c>
      <c r="Z8" s="5">
        <f t="shared" si="0"/>
        <v>0.87289679456987124</v>
      </c>
      <c r="AA8" s="5">
        <f t="shared" si="0"/>
        <v>0.87289679456987124</v>
      </c>
    </row>
    <row r="9" spans="1:27" x14ac:dyDescent="0.25">
      <c r="B9" t="s">
        <v>26</v>
      </c>
      <c r="C9" s="5">
        <f>(C8/(1+$G$2)^C5)+(C7/(1+$G$2)^C5)</f>
        <v>0</v>
      </c>
      <c r="D9" s="5">
        <f t="shared" ref="D9:AA9" si="1">(D8/(1+$G$2)^D5)+(D7/(1+$G$2)^D5)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16.44735687777619</v>
      </c>
      <c r="I9" s="5">
        <f t="shared" si="1"/>
        <v>0.42487736536566917</v>
      </c>
      <c r="J9" s="5">
        <f t="shared" si="1"/>
        <v>0.37683136617797713</v>
      </c>
      <c r="K9" s="5">
        <f t="shared" si="1"/>
        <v>0.33421850658800628</v>
      </c>
      <c r="L9" s="5">
        <f t="shared" si="1"/>
        <v>0.29642439608692356</v>
      </c>
      <c r="M9" s="5">
        <f t="shared" si="1"/>
        <v>0.26290412069793662</v>
      </c>
      <c r="N9" s="5">
        <f t="shared" si="1"/>
        <v>0.23317438642832522</v>
      </c>
      <c r="O9" s="5">
        <f t="shared" si="1"/>
        <v>0.20680655115594251</v>
      </c>
      <c r="P9" s="5">
        <f t="shared" si="1"/>
        <v>0.18342044448420625</v>
      </c>
      <c r="Q9" s="5">
        <f t="shared" si="1"/>
        <v>0.16267888646049333</v>
      </c>
      <c r="R9" s="5">
        <f t="shared" si="1"/>
        <v>0.14428282612904067</v>
      </c>
      <c r="S9" s="5">
        <f t="shared" si="1"/>
        <v>0.12796702982620015</v>
      </c>
      <c r="T9" s="5">
        <f t="shared" si="1"/>
        <v>0.11349625705206222</v>
      </c>
      <c r="U9" s="5">
        <f t="shared" si="1"/>
        <v>0.10066186878231682</v>
      </c>
      <c r="V9" s="5">
        <f t="shared" si="1"/>
        <v>8.9278819319128011E-2</v>
      </c>
      <c r="W9" s="5">
        <f t="shared" si="1"/>
        <v>7.91829883096479E-2</v>
      </c>
      <c r="X9" s="5">
        <f t="shared" si="1"/>
        <v>7.0228814465319644E-2</v>
      </c>
      <c r="Y9" s="5">
        <f t="shared" si="1"/>
        <v>6.228719686502851E-2</v>
      </c>
      <c r="Z9" s="5">
        <f t="shared" si="1"/>
        <v>5.5243633583173857E-2</v>
      </c>
      <c r="AA9" s="5">
        <f t="shared" si="1"/>
        <v>4.8996570805475696E-2</v>
      </c>
    </row>
    <row r="10" spans="1:27" ht="18.75" x14ac:dyDescent="0.3">
      <c r="B10" t="s">
        <v>27</v>
      </c>
      <c r="C10" s="11">
        <f>SUM(C9:AA9)*1000000</f>
        <v>19820318.906359062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7" ht="16.5" customHeight="1" x14ac:dyDescent="0.25">
      <c r="C11" s="20"/>
    </row>
    <row r="12" spans="1:27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7" x14ac:dyDescent="0.25"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  <c r="Z14" s="10">
        <v>23</v>
      </c>
      <c r="AA14" s="10">
        <v>24</v>
      </c>
    </row>
    <row r="15" spans="1:27" x14ac:dyDescent="0.25">
      <c r="A15" s="10"/>
      <c r="B15" s="12" t="s">
        <v>28</v>
      </c>
      <c r="C15" s="10">
        <v>2019</v>
      </c>
      <c r="D15" s="10">
        <v>2020</v>
      </c>
      <c r="E15" s="10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  <c r="Z15" s="10">
        <v>2042</v>
      </c>
      <c r="AA15" s="10">
        <v>2043</v>
      </c>
    </row>
    <row r="16" spans="1:27" x14ac:dyDescent="0.25">
      <c r="A16">
        <v>2024</v>
      </c>
      <c r="B16" s="14" t="s">
        <v>106</v>
      </c>
      <c r="C16" s="5"/>
      <c r="D16" s="5"/>
      <c r="E16" s="5"/>
      <c r="F16" s="5"/>
      <c r="G16" s="5"/>
      <c r="H16" s="23">
        <f>+'Demanda Regional'!V12</f>
        <v>6241073.3009127844</v>
      </c>
      <c r="I16" s="23">
        <f>+'Demanda Regional'!W12</f>
        <v>6465034.3902210183</v>
      </c>
      <c r="J16" s="23">
        <f>+'Demanda Regional'!X12</f>
        <v>6673754.1578202369</v>
      </c>
      <c r="K16" s="23">
        <f>+'Demanda Regional'!Y12</f>
        <v>7079610.8178102719</v>
      </c>
      <c r="L16" s="23">
        <f>+'Demanda Regional'!Z12</f>
        <v>7193032.1185705159</v>
      </c>
      <c r="M16" s="23">
        <f>+'Demanda Regional'!AA12</f>
        <v>7170758.818513114</v>
      </c>
      <c r="N16" s="23">
        <f>+'Demanda Regional'!AB12</f>
        <v>7725410.2518630428</v>
      </c>
      <c r="O16" s="23">
        <f>+'Demanda Regional'!AC12</f>
        <v>7725808.6744405422</v>
      </c>
      <c r="P16" s="23">
        <f>+'Demanda Regional'!AD12</f>
        <v>7604136.4263836993</v>
      </c>
      <c r="Q16" s="23">
        <f>+'Demanda Regional'!AE12</f>
        <v>7910932.0190838547</v>
      </c>
      <c r="R16" s="23">
        <f>+'Demanda Regional'!AF12</f>
        <v>7910932.0190838547</v>
      </c>
      <c r="S16" s="23">
        <f>+'Demanda Regional'!AG12</f>
        <v>7910932.0190838547</v>
      </c>
      <c r="T16" s="23">
        <f>+'Demanda Regional'!AH12</f>
        <v>7910932.0190838547</v>
      </c>
      <c r="U16" s="23">
        <f>+'Demanda Regional'!AI12</f>
        <v>7910932.0190838547</v>
      </c>
      <c r="V16" s="23">
        <f>+'Demanda Regional'!AJ12</f>
        <v>7910932.0190838547</v>
      </c>
      <c r="W16" s="23">
        <f>+'Demanda Regional'!AK12</f>
        <v>7910932.0190838547</v>
      </c>
      <c r="X16" s="23">
        <f>+'Demanda Regional'!AL12</f>
        <v>7910932.0190838547</v>
      </c>
      <c r="Y16" s="23">
        <f>+'Demanda Regional'!AM12</f>
        <v>7910932.0190838547</v>
      </c>
      <c r="Z16" s="23">
        <f>+'Demanda Regional'!AN12</f>
        <v>7910932.0190838547</v>
      </c>
      <c r="AA16" s="23">
        <f>+'Demanda Regional'!AO12</f>
        <v>7910932.0190838547</v>
      </c>
    </row>
    <row r="17" spans="1:27" x14ac:dyDescent="0.25">
      <c r="A17">
        <v>2043</v>
      </c>
      <c r="B17" t="s">
        <v>29</v>
      </c>
      <c r="C17" s="5">
        <f>(C16)/(1+$G$2)^C14</f>
        <v>0</v>
      </c>
      <c r="D17" s="5">
        <f t="shared" ref="D17:AA17" si="2">(D16)/(1+$G$2)^D14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3425125.8274068749</v>
      </c>
      <c r="I17" s="5">
        <f t="shared" si="2"/>
        <v>3146817.3509207219</v>
      </c>
      <c r="J17" s="5">
        <f t="shared" si="2"/>
        <v>2881073.584496994</v>
      </c>
      <c r="K17" s="5">
        <f t="shared" si="2"/>
        <v>2710672.0628052955</v>
      </c>
      <c r="L17" s="5">
        <f t="shared" si="2"/>
        <v>2442660.1346746474</v>
      </c>
      <c r="M17" s="5">
        <f t="shared" si="2"/>
        <v>2159730.7421058035</v>
      </c>
      <c r="N17" s="5">
        <f t="shared" si="2"/>
        <v>2063666.4111854148</v>
      </c>
      <c r="O17" s="5">
        <f t="shared" si="2"/>
        <v>1830397.197917331</v>
      </c>
      <c r="P17" s="5">
        <f t="shared" si="2"/>
        <v>1597845.3488686725</v>
      </c>
      <c r="Q17" s="5">
        <f t="shared" si="2"/>
        <v>1474334.2165248494</v>
      </c>
      <c r="R17" s="5">
        <f t="shared" si="2"/>
        <v>1307613.4958091795</v>
      </c>
      <c r="S17" s="5">
        <f t="shared" si="2"/>
        <v>1159745.8942875206</v>
      </c>
      <c r="T17" s="5">
        <f t="shared" si="2"/>
        <v>1028599.4627827232</v>
      </c>
      <c r="U17" s="5">
        <f t="shared" si="2"/>
        <v>912283.33727957716</v>
      </c>
      <c r="V17" s="5">
        <f t="shared" si="2"/>
        <v>809120.47652290668</v>
      </c>
      <c r="W17" s="5">
        <f t="shared" si="2"/>
        <v>717623.48250368657</v>
      </c>
      <c r="X17" s="5">
        <f t="shared" si="2"/>
        <v>636473.15521391283</v>
      </c>
      <c r="Y17" s="5">
        <f t="shared" si="2"/>
        <v>564499.47247353685</v>
      </c>
      <c r="Z17" s="5">
        <f t="shared" si="2"/>
        <v>500664.72059737198</v>
      </c>
      <c r="AA17" s="5">
        <f t="shared" si="2"/>
        <v>444048.53268059593</v>
      </c>
    </row>
    <row r="18" spans="1:27" ht="18.75" x14ac:dyDescent="0.3">
      <c r="B18" t="s">
        <v>30</v>
      </c>
      <c r="C18" s="11">
        <f>SUM(H17:AA17)</f>
        <v>31812994.907057609</v>
      </c>
    </row>
    <row r="19" spans="1:27" x14ac:dyDescent="0.25">
      <c r="E19" s="10"/>
    </row>
    <row r="20" spans="1:2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B23" s="12" t="s">
        <v>41</v>
      </c>
      <c r="E23" s="10"/>
    </row>
    <row r="24" spans="1:27" x14ac:dyDescent="0.25">
      <c r="B24" s="10" t="s">
        <v>31</v>
      </c>
      <c r="E24" s="10"/>
    </row>
    <row r="25" spans="1:27" ht="18.75" x14ac:dyDescent="0.3">
      <c r="B25" s="10" t="s">
        <v>40</v>
      </c>
      <c r="C25" s="21">
        <f>+C10/C18</f>
        <v>0.62302587242303265</v>
      </c>
      <c r="D25" s="10"/>
      <c r="E25" s="10"/>
    </row>
    <row r="32" spans="1:27" ht="18.75" x14ac:dyDescent="0.3">
      <c r="A32" s="113" t="s">
        <v>87</v>
      </c>
    </row>
    <row r="33" spans="1:27" x14ac:dyDescent="0.25">
      <c r="C33" s="10">
        <v>0</v>
      </c>
      <c r="D33" s="10">
        <v>1</v>
      </c>
      <c r="E33" s="10">
        <v>2</v>
      </c>
      <c r="F33" s="10">
        <v>3</v>
      </c>
      <c r="G33" s="10">
        <v>4</v>
      </c>
      <c r="H33" s="10">
        <v>5</v>
      </c>
      <c r="I33" s="10">
        <v>6</v>
      </c>
      <c r="J33" s="10">
        <v>7</v>
      </c>
      <c r="K33" s="10">
        <v>8</v>
      </c>
      <c r="L33" s="10">
        <v>9</v>
      </c>
      <c r="M33" s="10">
        <v>10</v>
      </c>
      <c r="N33" s="10">
        <v>11</v>
      </c>
      <c r="O33" s="10">
        <v>12</v>
      </c>
      <c r="P33" s="10">
        <v>13</v>
      </c>
      <c r="Q33" s="10">
        <v>14</v>
      </c>
      <c r="R33" s="10">
        <v>15</v>
      </c>
      <c r="S33" s="10">
        <v>16</v>
      </c>
      <c r="T33" s="10">
        <v>17</v>
      </c>
      <c r="U33" s="10">
        <v>18</v>
      </c>
      <c r="V33" s="10">
        <v>19</v>
      </c>
      <c r="W33" s="10">
        <v>20</v>
      </c>
      <c r="X33" s="10">
        <v>21</v>
      </c>
      <c r="Y33" s="10">
        <v>22</v>
      </c>
      <c r="Z33" s="10">
        <v>23</v>
      </c>
      <c r="AA33" s="10">
        <v>24</v>
      </c>
    </row>
    <row r="34" spans="1:27" x14ac:dyDescent="0.25">
      <c r="B34" s="12" t="s">
        <v>124</v>
      </c>
      <c r="C34" s="10">
        <v>2019</v>
      </c>
      <c r="D34" s="10">
        <v>2020</v>
      </c>
      <c r="E34" s="10">
        <v>2021</v>
      </c>
      <c r="F34" s="10">
        <v>2022</v>
      </c>
      <c r="G34" s="10">
        <v>2023</v>
      </c>
      <c r="H34" s="10">
        <v>2024</v>
      </c>
      <c r="I34" s="10">
        <v>2025</v>
      </c>
      <c r="J34" s="10">
        <v>2026</v>
      </c>
      <c r="K34" s="10">
        <v>2027</v>
      </c>
      <c r="L34" s="10">
        <v>2028</v>
      </c>
      <c r="M34" s="10">
        <v>2029</v>
      </c>
      <c r="N34" s="10">
        <v>2030</v>
      </c>
      <c r="O34" s="10">
        <v>2031</v>
      </c>
      <c r="P34" s="10">
        <v>2032</v>
      </c>
      <c r="Q34" s="10">
        <v>2033</v>
      </c>
      <c r="R34" s="10">
        <v>2034</v>
      </c>
      <c r="S34" s="10">
        <v>2035</v>
      </c>
      <c r="T34" s="10">
        <v>2036</v>
      </c>
      <c r="U34" s="10">
        <v>2037</v>
      </c>
      <c r="V34" s="10">
        <v>2038</v>
      </c>
      <c r="W34" s="10">
        <v>2039</v>
      </c>
      <c r="X34" s="10">
        <v>2040</v>
      </c>
      <c r="Y34" s="10">
        <v>2041</v>
      </c>
      <c r="Z34" s="10">
        <v>2042</v>
      </c>
      <c r="AA34" s="10">
        <v>2043</v>
      </c>
    </row>
    <row r="35" spans="1:27" x14ac:dyDescent="0.25">
      <c r="B35" t="s">
        <v>24</v>
      </c>
      <c r="H35" s="25">
        <f>+E2*'%  Planta'!F3*'%  Planta'!F16</f>
        <v>4.7568130467631633</v>
      </c>
    </row>
    <row r="36" spans="1:27" x14ac:dyDescent="0.25">
      <c r="B36" t="s">
        <v>25</v>
      </c>
      <c r="C36" s="5"/>
      <c r="D36" s="5"/>
      <c r="E36" s="5"/>
      <c r="F36" s="5"/>
      <c r="G36" s="5"/>
      <c r="H36" s="5">
        <f>$H$35*$D$2</f>
        <v>0.1427043914028949</v>
      </c>
      <c r="I36" s="5">
        <f t="shared" ref="I36:AA36" si="3">$H$35*$D$2</f>
        <v>0.1427043914028949</v>
      </c>
      <c r="J36" s="5">
        <f t="shared" si="3"/>
        <v>0.1427043914028949</v>
      </c>
      <c r="K36" s="5">
        <f t="shared" si="3"/>
        <v>0.1427043914028949</v>
      </c>
      <c r="L36" s="5">
        <f t="shared" si="3"/>
        <v>0.1427043914028949</v>
      </c>
      <c r="M36" s="5">
        <f t="shared" si="3"/>
        <v>0.1427043914028949</v>
      </c>
      <c r="N36" s="5">
        <f t="shared" si="3"/>
        <v>0.1427043914028949</v>
      </c>
      <c r="O36" s="5">
        <f t="shared" si="3"/>
        <v>0.1427043914028949</v>
      </c>
      <c r="P36" s="5">
        <f t="shared" si="3"/>
        <v>0.1427043914028949</v>
      </c>
      <c r="Q36" s="5">
        <f t="shared" si="3"/>
        <v>0.1427043914028949</v>
      </c>
      <c r="R36" s="5">
        <f t="shared" si="3"/>
        <v>0.1427043914028949</v>
      </c>
      <c r="S36" s="5">
        <f t="shared" si="3"/>
        <v>0.1427043914028949</v>
      </c>
      <c r="T36" s="5">
        <f t="shared" si="3"/>
        <v>0.1427043914028949</v>
      </c>
      <c r="U36" s="5">
        <f t="shared" si="3"/>
        <v>0.1427043914028949</v>
      </c>
      <c r="V36" s="5">
        <f t="shared" si="3"/>
        <v>0.1427043914028949</v>
      </c>
      <c r="W36" s="5">
        <f t="shared" si="3"/>
        <v>0.1427043914028949</v>
      </c>
      <c r="X36" s="5">
        <f t="shared" si="3"/>
        <v>0.1427043914028949</v>
      </c>
      <c r="Y36" s="5">
        <f t="shared" si="3"/>
        <v>0.1427043914028949</v>
      </c>
      <c r="Z36" s="5">
        <f t="shared" si="3"/>
        <v>0.1427043914028949</v>
      </c>
      <c r="AA36" s="5">
        <f t="shared" si="3"/>
        <v>0.1427043914028949</v>
      </c>
    </row>
    <row r="37" spans="1:27" x14ac:dyDescent="0.25">
      <c r="B37" t="s">
        <v>26</v>
      </c>
      <c r="C37" s="5">
        <f>(C36/(1+$G$2)^C33)+(C35/(1+$G$2)^C33)</f>
        <v>0</v>
      </c>
      <c r="D37" s="5">
        <f t="shared" ref="D37:AA37" si="4">(D36/(1+$G$2)^D33)+(D35/(1+$G$2)^D33)</f>
        <v>0</v>
      </c>
      <c r="E37" s="5">
        <f t="shared" si="4"/>
        <v>0</v>
      </c>
      <c r="F37" s="5">
        <f t="shared" si="4"/>
        <v>0</v>
      </c>
      <c r="G37" s="5">
        <f t="shared" si="4"/>
        <v>0</v>
      </c>
      <c r="H37" s="5">
        <f t="shared" si="4"/>
        <v>2.6888746390526403</v>
      </c>
      <c r="I37" s="5">
        <f>(I36/(1+$G$2)^I33)+(I35/(1+$G$2)^I33)</f>
        <v>6.9460520673867515E-2</v>
      </c>
      <c r="J37" s="5">
        <f t="shared" si="4"/>
        <v>6.1605783302764998E-2</v>
      </c>
      <c r="K37" s="5">
        <f t="shared" si="4"/>
        <v>5.4639275656554319E-2</v>
      </c>
      <c r="L37" s="5">
        <f t="shared" si="4"/>
        <v>4.8460554906034875E-2</v>
      </c>
      <c r="M37" s="5">
        <f t="shared" si="4"/>
        <v>4.298053650202649E-2</v>
      </c>
      <c r="N37" s="5">
        <f t="shared" si="4"/>
        <v>3.8120209757894902E-2</v>
      </c>
      <c r="O37" s="5">
        <f t="shared" si="4"/>
        <v>3.380949867662518E-2</v>
      </c>
      <c r="P37" s="5">
        <f t="shared" si="4"/>
        <v>2.9986251597893736E-2</v>
      </c>
      <c r="Q37" s="5">
        <f t="shared" si="4"/>
        <v>2.6595345097910186E-2</v>
      </c>
      <c r="R37" s="5">
        <f t="shared" si="4"/>
        <v>2.3587889222093296E-2</v>
      </c>
      <c r="S37" s="5">
        <f t="shared" si="4"/>
        <v>2.0920522591657022E-2</v>
      </c>
      <c r="T37" s="5">
        <f t="shared" si="4"/>
        <v>1.855478722098184E-2</v>
      </c>
      <c r="U37" s="5">
        <f t="shared" si="4"/>
        <v>1.6456574031912939E-2</v>
      </c>
      <c r="V37" s="5">
        <f t="shared" si="4"/>
        <v>1.4595631070432763E-2</v>
      </c>
      <c r="W37" s="5">
        <f t="shared" si="4"/>
        <v>1.2945127335195355E-2</v>
      </c>
      <c r="X37" s="5">
        <f t="shared" si="4"/>
        <v>1.1481265929219829E-2</v>
      </c>
      <c r="Y37" s="5">
        <f t="shared" si="4"/>
        <v>1.0182940957179448E-2</v>
      </c>
      <c r="Z37" s="5">
        <f t="shared" si="4"/>
        <v>9.0314332214451887E-3</v>
      </c>
      <c r="AA37" s="5">
        <f t="shared" si="4"/>
        <v>8.0101403294414071E-3</v>
      </c>
    </row>
    <row r="38" spans="1:27" ht="18.75" x14ac:dyDescent="0.3">
      <c r="B38" t="s">
        <v>27</v>
      </c>
      <c r="C38" s="11">
        <f>SUM(C37:AA37)*1000000</f>
        <v>3240298.9271337711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7" ht="16.5" customHeight="1" x14ac:dyDescent="0.25">
      <c r="C39" s="20"/>
    </row>
    <row r="40" spans="1:27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2" spans="1:27" x14ac:dyDescent="0.25">
      <c r="C42" s="10">
        <v>0</v>
      </c>
      <c r="D42" s="10">
        <v>1</v>
      </c>
      <c r="E42" s="10">
        <v>2</v>
      </c>
      <c r="F42" s="10">
        <v>3</v>
      </c>
      <c r="G42" s="10">
        <v>4</v>
      </c>
      <c r="H42" s="13">
        <v>5</v>
      </c>
      <c r="I42" s="10">
        <v>6</v>
      </c>
      <c r="J42" s="10">
        <v>7</v>
      </c>
      <c r="K42" s="10">
        <v>8</v>
      </c>
      <c r="L42" s="10">
        <v>9</v>
      </c>
      <c r="M42" s="10">
        <v>10</v>
      </c>
      <c r="N42" s="10">
        <v>11</v>
      </c>
      <c r="O42" s="10">
        <v>12</v>
      </c>
      <c r="P42" s="10">
        <v>13</v>
      </c>
      <c r="Q42" s="10">
        <v>14</v>
      </c>
      <c r="R42" s="10">
        <v>15</v>
      </c>
      <c r="S42" s="10">
        <v>16</v>
      </c>
      <c r="T42" s="10">
        <v>17</v>
      </c>
      <c r="U42" s="10">
        <v>18</v>
      </c>
      <c r="V42" s="10">
        <v>19</v>
      </c>
      <c r="W42" s="10">
        <v>20</v>
      </c>
      <c r="X42" s="10">
        <v>21</v>
      </c>
      <c r="Y42" s="10">
        <v>22</v>
      </c>
      <c r="Z42" s="10">
        <v>23</v>
      </c>
      <c r="AA42" s="10">
        <v>24</v>
      </c>
    </row>
    <row r="43" spans="1:27" x14ac:dyDescent="0.25">
      <c r="A43" s="10"/>
      <c r="B43" s="12" t="s">
        <v>28</v>
      </c>
      <c r="C43" s="10">
        <v>2019</v>
      </c>
      <c r="D43" s="10">
        <v>2020</v>
      </c>
      <c r="E43" s="10">
        <v>2021</v>
      </c>
      <c r="F43" s="10">
        <v>2022</v>
      </c>
      <c r="G43" s="10">
        <v>2023</v>
      </c>
      <c r="H43" s="13">
        <v>2024</v>
      </c>
      <c r="I43" s="10">
        <v>2025</v>
      </c>
      <c r="J43" s="10">
        <v>2026</v>
      </c>
      <c r="K43" s="10">
        <v>2027</v>
      </c>
      <c r="L43" s="10">
        <v>2028</v>
      </c>
      <c r="M43" s="10">
        <v>2029</v>
      </c>
      <c r="N43" s="10">
        <v>2030</v>
      </c>
      <c r="O43" s="10">
        <v>2031</v>
      </c>
      <c r="P43" s="10">
        <v>2032</v>
      </c>
      <c r="Q43" s="10">
        <v>2033</v>
      </c>
      <c r="R43" s="10">
        <v>2034</v>
      </c>
      <c r="S43" s="10">
        <v>2035</v>
      </c>
      <c r="T43" s="10">
        <v>2036</v>
      </c>
      <c r="U43" s="10">
        <v>2037</v>
      </c>
      <c r="V43" s="10">
        <v>2038</v>
      </c>
      <c r="W43" s="10">
        <v>2039</v>
      </c>
      <c r="X43" s="10">
        <v>2040</v>
      </c>
      <c r="Y43" s="10">
        <v>2041</v>
      </c>
      <c r="Z43" s="10">
        <v>2042</v>
      </c>
      <c r="AA43" s="10">
        <v>2043</v>
      </c>
    </row>
    <row r="44" spans="1:27" x14ac:dyDescent="0.25">
      <c r="A44">
        <v>2024</v>
      </c>
      <c r="B44" s="14" t="s">
        <v>106</v>
      </c>
      <c r="C44" s="5"/>
      <c r="D44" s="5"/>
      <c r="E44" s="5"/>
      <c r="F44" s="5"/>
      <c r="G44" s="5"/>
      <c r="H44" s="23">
        <f>+'Demanda Regional'!V12</f>
        <v>6241073.3009127844</v>
      </c>
      <c r="I44" s="23">
        <f>+'Demanda Regional'!W12</f>
        <v>6465034.3902210183</v>
      </c>
      <c r="J44" s="23">
        <f>+'Demanda Regional'!X12</f>
        <v>6673754.1578202369</v>
      </c>
      <c r="K44" s="23">
        <f>+'Demanda Regional'!Y12</f>
        <v>7079610.8178102719</v>
      </c>
      <c r="L44" s="23">
        <f>+'Demanda Regional'!Z12</f>
        <v>7193032.1185705159</v>
      </c>
      <c r="M44" s="23">
        <f>+'Demanda Regional'!AA12</f>
        <v>7170758.818513114</v>
      </c>
      <c r="N44" s="23">
        <f>+'Demanda Regional'!AB12</f>
        <v>7725410.2518630428</v>
      </c>
      <c r="O44" s="23">
        <f>+'Demanda Regional'!AC12</f>
        <v>7725808.6744405422</v>
      </c>
      <c r="P44" s="23">
        <f>+'Demanda Regional'!AD12</f>
        <v>7604136.4263836993</v>
      </c>
      <c r="Q44" s="23">
        <f>+'Demanda Regional'!AE12</f>
        <v>7910932.0190838547</v>
      </c>
      <c r="R44" s="23">
        <f>+'Demanda Regional'!AF12</f>
        <v>7910932.0190838547</v>
      </c>
      <c r="S44" s="23">
        <f>+'Demanda Regional'!AG12</f>
        <v>7910932.0190838547</v>
      </c>
      <c r="T44" s="23">
        <f>+'Demanda Regional'!AH12</f>
        <v>7910932.0190838547</v>
      </c>
      <c r="U44" s="23">
        <f>+'Demanda Regional'!AI12</f>
        <v>7910932.0190838547</v>
      </c>
      <c r="V44" s="23">
        <f>+'Demanda Regional'!AJ12</f>
        <v>7910932.0190838547</v>
      </c>
      <c r="W44" s="23">
        <f>+'Demanda Regional'!AK12</f>
        <v>7910932.0190838547</v>
      </c>
      <c r="X44" s="23">
        <f>+'Demanda Regional'!AL12</f>
        <v>7910932.0190838547</v>
      </c>
      <c r="Y44" s="23">
        <f>+'Demanda Regional'!AM12</f>
        <v>7910932.0190838547</v>
      </c>
      <c r="Z44" s="23">
        <f>+'Demanda Regional'!AN12</f>
        <v>7910932.0190838547</v>
      </c>
      <c r="AA44" s="23">
        <f>+'Demanda Regional'!AO12</f>
        <v>7910932.0190838547</v>
      </c>
    </row>
    <row r="45" spans="1:27" x14ac:dyDescent="0.25">
      <c r="A45">
        <v>2043</v>
      </c>
      <c r="B45" t="s">
        <v>29</v>
      </c>
      <c r="C45" s="5">
        <f>(C44)/(1+$G$2)^C42</f>
        <v>0</v>
      </c>
      <c r="D45" s="5">
        <f t="shared" ref="D45:AA45" si="5">(D44)/(1+$G$2)^D42</f>
        <v>0</v>
      </c>
      <c r="E45" s="5">
        <f t="shared" si="5"/>
        <v>0</v>
      </c>
      <c r="F45" s="5">
        <f t="shared" si="5"/>
        <v>0</v>
      </c>
      <c r="G45" s="5">
        <f t="shared" si="5"/>
        <v>0</v>
      </c>
      <c r="H45" s="5">
        <f t="shared" si="5"/>
        <v>3425125.8274068749</v>
      </c>
      <c r="I45" s="5">
        <f t="shared" si="5"/>
        <v>3146817.3509207219</v>
      </c>
      <c r="J45" s="5">
        <f t="shared" si="5"/>
        <v>2881073.584496994</v>
      </c>
      <c r="K45" s="5">
        <f t="shared" si="5"/>
        <v>2710672.0628052955</v>
      </c>
      <c r="L45" s="5">
        <f t="shared" si="5"/>
        <v>2442660.1346746474</v>
      </c>
      <c r="M45" s="5">
        <f t="shared" si="5"/>
        <v>2159730.7421058035</v>
      </c>
      <c r="N45" s="5">
        <f t="shared" si="5"/>
        <v>2063666.4111854148</v>
      </c>
      <c r="O45" s="5">
        <f t="shared" si="5"/>
        <v>1830397.197917331</v>
      </c>
      <c r="P45" s="5">
        <f t="shared" si="5"/>
        <v>1597845.3488686725</v>
      </c>
      <c r="Q45" s="5">
        <f t="shared" si="5"/>
        <v>1474334.2165248494</v>
      </c>
      <c r="R45" s="5">
        <f t="shared" si="5"/>
        <v>1307613.4958091795</v>
      </c>
      <c r="S45" s="5">
        <f t="shared" si="5"/>
        <v>1159745.8942875206</v>
      </c>
      <c r="T45" s="5">
        <f t="shared" si="5"/>
        <v>1028599.4627827232</v>
      </c>
      <c r="U45" s="5">
        <f t="shared" si="5"/>
        <v>912283.33727957716</v>
      </c>
      <c r="V45" s="5">
        <f t="shared" si="5"/>
        <v>809120.47652290668</v>
      </c>
      <c r="W45" s="5">
        <f t="shared" si="5"/>
        <v>717623.48250368657</v>
      </c>
      <c r="X45" s="5">
        <f t="shared" si="5"/>
        <v>636473.15521391283</v>
      </c>
      <c r="Y45" s="5">
        <f t="shared" si="5"/>
        <v>564499.47247353685</v>
      </c>
      <c r="Z45" s="5">
        <f t="shared" si="5"/>
        <v>500664.72059737198</v>
      </c>
      <c r="AA45" s="5">
        <f t="shared" si="5"/>
        <v>444048.53268059593</v>
      </c>
    </row>
    <row r="46" spans="1:27" ht="18.75" x14ac:dyDescent="0.3">
      <c r="B46" t="s">
        <v>30</v>
      </c>
      <c r="C46" s="11">
        <f>SUM(H45:AA45)</f>
        <v>31812994.907057609</v>
      </c>
    </row>
    <row r="47" spans="1:27" x14ac:dyDescent="0.25">
      <c r="E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25">
      <c r="B51" s="12" t="s">
        <v>41</v>
      </c>
      <c r="E51" s="10"/>
    </row>
    <row r="52" spans="1:27" x14ac:dyDescent="0.25">
      <c r="B52" s="10" t="s">
        <v>31</v>
      </c>
      <c r="E52" s="10"/>
    </row>
    <row r="53" spans="1:27" ht="18.75" x14ac:dyDescent="0.3">
      <c r="B53" s="10" t="s">
        <v>40</v>
      </c>
      <c r="C53" s="21">
        <f>+C38/C46</f>
        <v>0.10185457032889794</v>
      </c>
      <c r="D53" s="10"/>
      <c r="E53" s="10"/>
    </row>
    <row r="58" spans="1:27" ht="18.75" x14ac:dyDescent="0.3">
      <c r="A58" s="113" t="s">
        <v>93</v>
      </c>
      <c r="C58" s="10">
        <v>0</v>
      </c>
      <c r="D58" s="10">
        <v>1</v>
      </c>
      <c r="E58" s="10">
        <v>2</v>
      </c>
      <c r="F58" s="10">
        <v>3</v>
      </c>
      <c r="G58" s="10">
        <v>4</v>
      </c>
      <c r="H58" s="10">
        <v>5</v>
      </c>
      <c r="I58" s="10">
        <v>6</v>
      </c>
      <c r="J58" s="10">
        <v>7</v>
      </c>
      <c r="K58" s="10">
        <v>8</v>
      </c>
      <c r="L58" s="10">
        <v>9</v>
      </c>
      <c r="M58" s="10">
        <v>10</v>
      </c>
      <c r="N58" s="10">
        <v>11</v>
      </c>
      <c r="O58" s="10">
        <v>12</v>
      </c>
      <c r="P58" s="10">
        <v>13</v>
      </c>
      <c r="Q58" s="10">
        <v>14</v>
      </c>
      <c r="R58" s="10">
        <v>15</v>
      </c>
      <c r="S58" s="10">
        <v>16</v>
      </c>
      <c r="T58" s="10">
        <v>17</v>
      </c>
      <c r="U58" s="10">
        <v>18</v>
      </c>
      <c r="V58" s="10">
        <v>19</v>
      </c>
      <c r="W58" s="10">
        <v>20</v>
      </c>
      <c r="X58" s="10">
        <v>21</v>
      </c>
      <c r="Y58" s="10">
        <v>22</v>
      </c>
      <c r="Z58" s="10">
        <v>23</v>
      </c>
      <c r="AA58" s="10">
        <v>24</v>
      </c>
    </row>
    <row r="59" spans="1:27" x14ac:dyDescent="0.25">
      <c r="B59" s="12" t="s">
        <v>124</v>
      </c>
      <c r="C59" s="10">
        <v>2019</v>
      </c>
      <c r="D59" s="10">
        <v>2020</v>
      </c>
      <c r="E59" s="10">
        <v>2021</v>
      </c>
      <c r="F59" s="10">
        <v>2022</v>
      </c>
      <c r="G59" s="10">
        <v>2023</v>
      </c>
      <c r="H59" s="10">
        <v>2024</v>
      </c>
      <c r="I59" s="10">
        <v>2025</v>
      </c>
      <c r="J59" s="10">
        <v>2026</v>
      </c>
      <c r="K59" s="10">
        <v>2027</v>
      </c>
      <c r="L59" s="10">
        <v>2028</v>
      </c>
      <c r="M59" s="10">
        <v>2029</v>
      </c>
      <c r="N59" s="10">
        <v>2030</v>
      </c>
      <c r="O59" s="10">
        <v>2031</v>
      </c>
      <c r="P59" s="10">
        <v>2032</v>
      </c>
      <c r="Q59" s="10">
        <v>2033</v>
      </c>
      <c r="R59" s="10">
        <v>2034</v>
      </c>
      <c r="S59" s="10">
        <v>2035</v>
      </c>
      <c r="T59" s="10">
        <v>2036</v>
      </c>
      <c r="U59" s="10">
        <v>2037</v>
      </c>
      <c r="V59" s="10">
        <v>2038</v>
      </c>
      <c r="W59" s="10">
        <v>2039</v>
      </c>
      <c r="X59" s="10">
        <v>2040</v>
      </c>
      <c r="Y59" s="10">
        <v>2041</v>
      </c>
      <c r="Z59" s="10">
        <v>2042</v>
      </c>
      <c r="AA59" s="10">
        <v>2043</v>
      </c>
    </row>
    <row r="60" spans="1:27" x14ac:dyDescent="0.25">
      <c r="B60" t="s">
        <v>24</v>
      </c>
      <c r="H60" s="22">
        <f>+H7*'%  Planta'!F2</f>
        <v>18.91276388234721</v>
      </c>
    </row>
    <row r="61" spans="1:27" x14ac:dyDescent="0.25">
      <c r="B61" t="s">
        <v>25</v>
      </c>
      <c r="C61" s="5"/>
      <c r="D61" s="5"/>
      <c r="E61" s="5"/>
      <c r="F61" s="5"/>
      <c r="G61" s="5"/>
      <c r="H61" s="24">
        <f>+$H$60*$D$2</f>
        <v>0.56738291647041628</v>
      </c>
      <c r="I61" s="24">
        <f t="shared" ref="I61:AA61" si="6">+$H$60*$D$2</f>
        <v>0.56738291647041628</v>
      </c>
      <c r="J61" s="24">
        <f t="shared" si="6"/>
        <v>0.56738291647041628</v>
      </c>
      <c r="K61" s="24">
        <f t="shared" si="6"/>
        <v>0.56738291647041628</v>
      </c>
      <c r="L61" s="24">
        <f t="shared" si="6"/>
        <v>0.56738291647041628</v>
      </c>
      <c r="M61" s="24">
        <f t="shared" si="6"/>
        <v>0.56738291647041628</v>
      </c>
      <c r="N61" s="24">
        <f t="shared" si="6"/>
        <v>0.56738291647041628</v>
      </c>
      <c r="O61" s="24">
        <f t="shared" si="6"/>
        <v>0.56738291647041628</v>
      </c>
      <c r="P61" s="24">
        <f t="shared" si="6"/>
        <v>0.56738291647041628</v>
      </c>
      <c r="Q61" s="24">
        <f t="shared" si="6"/>
        <v>0.56738291647041628</v>
      </c>
      <c r="R61" s="24">
        <f t="shared" si="6"/>
        <v>0.56738291647041628</v>
      </c>
      <c r="S61" s="24">
        <f t="shared" si="6"/>
        <v>0.56738291647041628</v>
      </c>
      <c r="T61" s="24">
        <f t="shared" si="6"/>
        <v>0.56738291647041628</v>
      </c>
      <c r="U61" s="24">
        <f t="shared" si="6"/>
        <v>0.56738291647041628</v>
      </c>
      <c r="V61" s="24">
        <f t="shared" si="6"/>
        <v>0.56738291647041628</v>
      </c>
      <c r="W61" s="24">
        <f t="shared" si="6"/>
        <v>0.56738291647041628</v>
      </c>
      <c r="X61" s="24">
        <f t="shared" si="6"/>
        <v>0.56738291647041628</v>
      </c>
      <c r="Y61" s="24">
        <f t="shared" si="6"/>
        <v>0.56738291647041628</v>
      </c>
      <c r="Z61" s="24">
        <f t="shared" si="6"/>
        <v>0.56738291647041628</v>
      </c>
      <c r="AA61" s="24">
        <f t="shared" si="6"/>
        <v>0.56738291647041628</v>
      </c>
    </row>
    <row r="62" spans="1:27" x14ac:dyDescent="0.25">
      <c r="B62" s="20"/>
      <c r="C62" s="5">
        <f>+C61+C60</f>
        <v>0</v>
      </c>
      <c r="D62" s="5">
        <f t="shared" ref="D62:AA62" si="7">+D61+D60</f>
        <v>0</v>
      </c>
      <c r="E62" s="5">
        <f t="shared" si="7"/>
        <v>0</v>
      </c>
      <c r="F62" s="5">
        <f t="shared" si="7"/>
        <v>0</v>
      </c>
      <c r="G62" s="5">
        <f t="shared" si="7"/>
        <v>0</v>
      </c>
      <c r="H62" s="5">
        <f>+H61+H60</f>
        <v>19.480146798817628</v>
      </c>
      <c r="I62" s="5">
        <f t="shared" si="7"/>
        <v>0.56738291647041628</v>
      </c>
      <c r="J62" s="5">
        <f t="shared" si="7"/>
        <v>0.56738291647041628</v>
      </c>
      <c r="K62" s="5">
        <f t="shared" si="7"/>
        <v>0.56738291647041628</v>
      </c>
      <c r="L62" s="5">
        <f t="shared" si="7"/>
        <v>0.56738291647041628</v>
      </c>
      <c r="M62" s="5">
        <f t="shared" si="7"/>
        <v>0.56738291647041628</v>
      </c>
      <c r="N62" s="5">
        <f t="shared" si="7"/>
        <v>0.56738291647041628</v>
      </c>
      <c r="O62" s="5">
        <f t="shared" si="7"/>
        <v>0.56738291647041628</v>
      </c>
      <c r="P62" s="5">
        <f t="shared" si="7"/>
        <v>0.56738291647041628</v>
      </c>
      <c r="Q62" s="5">
        <f t="shared" si="7"/>
        <v>0.56738291647041628</v>
      </c>
      <c r="R62" s="5">
        <f t="shared" si="7"/>
        <v>0.56738291647041628</v>
      </c>
      <c r="S62" s="5">
        <f t="shared" si="7"/>
        <v>0.56738291647041628</v>
      </c>
      <c r="T62" s="5">
        <f t="shared" si="7"/>
        <v>0.56738291647041628</v>
      </c>
      <c r="U62" s="5">
        <f t="shared" si="7"/>
        <v>0.56738291647041628</v>
      </c>
      <c r="V62" s="5">
        <f t="shared" si="7"/>
        <v>0.56738291647041628</v>
      </c>
      <c r="W62" s="5">
        <f t="shared" si="7"/>
        <v>0.56738291647041628</v>
      </c>
      <c r="X62" s="5">
        <f t="shared" si="7"/>
        <v>0.56738291647041628</v>
      </c>
      <c r="Y62" s="5">
        <f t="shared" si="7"/>
        <v>0.56738291647041628</v>
      </c>
      <c r="Z62" s="5">
        <f t="shared" si="7"/>
        <v>0.56738291647041628</v>
      </c>
      <c r="AA62" s="5">
        <f t="shared" si="7"/>
        <v>0.56738291647041628</v>
      </c>
    </row>
    <row r="63" spans="1:27" x14ac:dyDescent="0.25">
      <c r="B63" t="s">
        <v>26</v>
      </c>
      <c r="C63" s="5">
        <f>(C61/(1+$G$2)^C58)+(C60/(1+$G$2)^C58)</f>
        <v>0</v>
      </c>
      <c r="D63" s="5">
        <f t="shared" ref="D63:AA63" si="8">(D61/(1+$G$2)^D58)+(D60/(1+$G$2)^D58)</f>
        <v>0</v>
      </c>
      <c r="E63" s="5">
        <f t="shared" si="8"/>
        <v>0</v>
      </c>
      <c r="F63" s="5">
        <f t="shared" si="8"/>
        <v>0</v>
      </c>
      <c r="G63" s="5">
        <f t="shared" si="8"/>
        <v>0</v>
      </c>
      <c r="H63" s="5">
        <f>(H61/(1+$G$2)^H58)+(H60/(1+$G$2)^H58)</f>
        <v>10.690781970554523</v>
      </c>
      <c r="I63" s="5">
        <f t="shared" si="8"/>
        <v>0.27617028748768496</v>
      </c>
      <c r="J63" s="5">
        <f t="shared" si="8"/>
        <v>0.24494038801568513</v>
      </c>
      <c r="K63" s="5">
        <f t="shared" si="8"/>
        <v>0.2172420292822041</v>
      </c>
      <c r="L63" s="5">
        <f t="shared" si="8"/>
        <v>0.19267585745650032</v>
      </c>
      <c r="M63" s="5">
        <f t="shared" si="8"/>
        <v>0.17088767845365879</v>
      </c>
      <c r="N63" s="5">
        <f t="shared" si="8"/>
        <v>0.15156335117841138</v>
      </c>
      <c r="O63" s="5">
        <f t="shared" si="8"/>
        <v>0.13442425825136262</v>
      </c>
      <c r="P63" s="5">
        <f t="shared" si="8"/>
        <v>0.11922328891473405</v>
      </c>
      <c r="Q63" s="5">
        <f t="shared" si="8"/>
        <v>0.10574127619932065</v>
      </c>
      <c r="R63" s="5">
        <f t="shared" si="8"/>
        <v>9.3783836983876434E-2</v>
      </c>
      <c r="S63" s="5">
        <f t="shared" si="8"/>
        <v>8.3178569387030096E-2</v>
      </c>
      <c r="T63" s="5">
        <f t="shared" si="8"/>
        <v>7.3772567083840432E-2</v>
      </c>
      <c r="U63" s="5">
        <f t="shared" si="8"/>
        <v>6.5430214708505935E-2</v>
      </c>
      <c r="V63" s="5">
        <f t="shared" si="8"/>
        <v>5.8031232557433199E-2</v>
      </c>
      <c r="W63" s="5">
        <f t="shared" si="8"/>
        <v>5.1468942401271131E-2</v>
      </c>
      <c r="X63" s="5">
        <f t="shared" si="8"/>
        <v>4.5648729402457768E-2</v>
      </c>
      <c r="Y63" s="5">
        <f t="shared" si="8"/>
        <v>4.0486677962268534E-2</v>
      </c>
      <c r="Z63" s="5">
        <f t="shared" si="8"/>
        <v>3.5908361829063005E-2</v>
      </c>
      <c r="AA63" s="5">
        <f t="shared" si="8"/>
        <v>3.18477710235592E-2</v>
      </c>
    </row>
    <row r="64" spans="1:27" ht="18.75" x14ac:dyDescent="0.3">
      <c r="B64" t="s">
        <v>27</v>
      </c>
      <c r="C64" s="11">
        <f>SUM(C63:AA63)*1000000</f>
        <v>12883207.289133394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7" x14ac:dyDescent="0.25">
      <c r="C65" s="20">
        <f>+NPV(G2,D62:AA62)*1000000</f>
        <v>12883207.289133396</v>
      </c>
    </row>
    <row r="66" spans="1:27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8" spans="1:27" x14ac:dyDescent="0.25">
      <c r="C68" s="10">
        <v>0</v>
      </c>
      <c r="D68" s="10">
        <v>1</v>
      </c>
      <c r="E68" s="10">
        <v>2</v>
      </c>
      <c r="F68" s="10">
        <v>3</v>
      </c>
      <c r="G68" s="10">
        <v>4</v>
      </c>
      <c r="H68" s="13">
        <v>5</v>
      </c>
      <c r="I68" s="10">
        <v>6</v>
      </c>
      <c r="J68" s="10">
        <v>7</v>
      </c>
      <c r="K68" s="10">
        <v>8</v>
      </c>
      <c r="L68" s="10">
        <v>9</v>
      </c>
      <c r="M68" s="10">
        <v>10</v>
      </c>
      <c r="N68" s="10">
        <v>11</v>
      </c>
      <c r="O68" s="10">
        <v>12</v>
      </c>
      <c r="P68" s="10">
        <v>13</v>
      </c>
      <c r="Q68" s="10">
        <v>14</v>
      </c>
      <c r="R68" s="10">
        <v>15</v>
      </c>
      <c r="S68" s="10">
        <v>16</v>
      </c>
      <c r="T68" s="10">
        <v>17</v>
      </c>
      <c r="U68" s="10">
        <v>18</v>
      </c>
      <c r="V68" s="10">
        <v>19</v>
      </c>
      <c r="W68" s="10">
        <v>20</v>
      </c>
      <c r="X68" s="10">
        <v>21</v>
      </c>
      <c r="Y68" s="10">
        <v>22</v>
      </c>
      <c r="Z68" s="10">
        <v>23</v>
      </c>
      <c r="AA68" s="10">
        <v>24</v>
      </c>
    </row>
    <row r="69" spans="1:27" x14ac:dyDescent="0.25">
      <c r="B69" s="12" t="s">
        <v>28</v>
      </c>
      <c r="C69" s="10">
        <v>2019</v>
      </c>
      <c r="D69" s="10">
        <v>2020</v>
      </c>
      <c r="E69" s="10">
        <v>2021</v>
      </c>
      <c r="F69" s="10">
        <v>2022</v>
      </c>
      <c r="G69" s="10">
        <v>2023</v>
      </c>
      <c r="H69" s="13">
        <v>2024</v>
      </c>
      <c r="I69" s="10">
        <v>2025</v>
      </c>
      <c r="J69" s="10">
        <v>2026</v>
      </c>
      <c r="K69" s="10">
        <v>2027</v>
      </c>
      <c r="L69" s="10">
        <v>2028</v>
      </c>
      <c r="M69" s="10">
        <v>2029</v>
      </c>
      <c r="N69" s="10">
        <v>2030</v>
      </c>
      <c r="O69" s="10">
        <v>2031</v>
      </c>
      <c r="P69" s="10">
        <v>2032</v>
      </c>
      <c r="Q69" s="10">
        <v>2033</v>
      </c>
      <c r="R69" s="10">
        <v>2034</v>
      </c>
      <c r="S69" s="10">
        <v>2035</v>
      </c>
      <c r="T69" s="10">
        <v>2036</v>
      </c>
      <c r="U69" s="10">
        <v>2037</v>
      </c>
      <c r="V69" s="10">
        <v>2038</v>
      </c>
      <c r="W69" s="10">
        <v>2039</v>
      </c>
      <c r="X69" s="10">
        <v>2040</v>
      </c>
      <c r="Y69" s="10">
        <v>2041</v>
      </c>
      <c r="Z69" s="10">
        <v>2042</v>
      </c>
      <c r="AA69" s="10">
        <v>2043</v>
      </c>
    </row>
    <row r="70" spans="1:27" x14ac:dyDescent="0.25">
      <c r="B70" s="14" t="s">
        <v>106</v>
      </c>
      <c r="C70" s="5"/>
      <c r="D70" s="5">
        <v>0</v>
      </c>
      <c r="E70" s="5">
        <v>0</v>
      </c>
      <c r="F70" s="5">
        <v>0</v>
      </c>
      <c r="G70" s="5">
        <v>0</v>
      </c>
      <c r="H70" s="23">
        <f>+'Demanda Regional'!V30</f>
        <v>6241073.3009127844</v>
      </c>
      <c r="I70" s="23">
        <f>+'Demanda Regional'!W30</f>
        <v>6465034.3902210183</v>
      </c>
      <c r="J70" s="23">
        <f>+'Demanda Regional'!X30</f>
        <v>6673754.1578202369</v>
      </c>
      <c r="K70" s="23">
        <f>+'Demanda Regional'!Y30</f>
        <v>7079610.8178102719</v>
      </c>
      <c r="L70" s="23">
        <f>+'Demanda Regional'!Z30</f>
        <v>7193032.1185705159</v>
      </c>
      <c r="M70" s="23">
        <f>+'Demanda Regional'!AA30</f>
        <v>7170758.818513114</v>
      </c>
      <c r="N70" s="23">
        <f>+'Demanda Regional'!AB30</f>
        <v>7725410.2518630428</v>
      </c>
      <c r="O70" s="23">
        <f>+'Demanda Regional'!AC30</f>
        <v>7725808.6744405422</v>
      </c>
      <c r="P70" s="23">
        <f>+'Demanda Regional'!AD30</f>
        <v>7604136.4263836993</v>
      </c>
      <c r="Q70" s="23">
        <f>+'Demanda Regional'!AE30</f>
        <v>7910932.0190838547</v>
      </c>
      <c r="R70" s="23">
        <f>+'Demanda Regional'!AF30</f>
        <v>7910932.0190838547</v>
      </c>
      <c r="S70" s="23">
        <f>+'Demanda Regional'!AG30</f>
        <v>7910932.0190838547</v>
      </c>
      <c r="T70" s="23">
        <f>+'Demanda Regional'!AH30</f>
        <v>7910932.0190838547</v>
      </c>
      <c r="U70" s="23">
        <f>+'Demanda Regional'!AI30</f>
        <v>7910932.0190838547</v>
      </c>
      <c r="V70" s="23">
        <f>+'Demanda Regional'!AJ30</f>
        <v>7910932.0190838547</v>
      </c>
      <c r="W70" s="23">
        <f>+'Demanda Regional'!AK30</f>
        <v>7910932.0190838547</v>
      </c>
      <c r="X70" s="23">
        <f>+'Demanda Regional'!AL30</f>
        <v>7910932.0190838547</v>
      </c>
      <c r="Y70" s="23">
        <f>+'Demanda Regional'!AM30</f>
        <v>7910932.0190838547</v>
      </c>
      <c r="Z70" s="23">
        <f>+'Demanda Regional'!AN30</f>
        <v>7910932.0190838547</v>
      </c>
      <c r="AA70" s="23">
        <f>+'Demanda Regional'!AO30</f>
        <v>7910932.0190838547</v>
      </c>
    </row>
    <row r="71" spans="1:27" x14ac:dyDescent="0.25">
      <c r="B71" t="s">
        <v>29</v>
      </c>
      <c r="C71" s="5">
        <f>(C70)/(1+$G$2)^C68</f>
        <v>0</v>
      </c>
      <c r="D71" s="5">
        <v>0</v>
      </c>
      <c r="E71" s="5">
        <v>0</v>
      </c>
      <c r="F71" s="5">
        <v>0</v>
      </c>
      <c r="G71" s="5">
        <v>0</v>
      </c>
      <c r="H71" s="5">
        <f t="shared" ref="H71:AA71" si="9">(H70)/(1+$G$2)^H68</f>
        <v>3425125.8274068749</v>
      </c>
      <c r="I71" s="5">
        <f t="shared" si="9"/>
        <v>3146817.3509207219</v>
      </c>
      <c r="J71" s="5">
        <f t="shared" si="9"/>
        <v>2881073.584496994</v>
      </c>
      <c r="K71" s="5">
        <f t="shared" si="9"/>
        <v>2710672.0628052955</v>
      </c>
      <c r="L71" s="5">
        <f t="shared" si="9"/>
        <v>2442660.1346746474</v>
      </c>
      <c r="M71" s="5">
        <f t="shared" si="9"/>
        <v>2159730.7421058035</v>
      </c>
      <c r="N71" s="5">
        <f t="shared" si="9"/>
        <v>2063666.4111854148</v>
      </c>
      <c r="O71" s="5">
        <f t="shared" si="9"/>
        <v>1830397.197917331</v>
      </c>
      <c r="P71" s="5">
        <f t="shared" si="9"/>
        <v>1597845.3488686725</v>
      </c>
      <c r="Q71" s="5">
        <f t="shared" si="9"/>
        <v>1474334.2165248494</v>
      </c>
      <c r="R71" s="5">
        <f t="shared" si="9"/>
        <v>1307613.4958091795</v>
      </c>
      <c r="S71" s="5">
        <f t="shared" si="9"/>
        <v>1159745.8942875206</v>
      </c>
      <c r="T71" s="5">
        <f t="shared" si="9"/>
        <v>1028599.4627827232</v>
      </c>
      <c r="U71" s="5">
        <f t="shared" si="9"/>
        <v>912283.33727957716</v>
      </c>
      <c r="V71" s="5">
        <f t="shared" si="9"/>
        <v>809120.47652290668</v>
      </c>
      <c r="W71" s="5">
        <f t="shared" si="9"/>
        <v>717623.48250368657</v>
      </c>
      <c r="X71" s="5">
        <f t="shared" si="9"/>
        <v>636473.15521391283</v>
      </c>
      <c r="Y71" s="5">
        <f t="shared" si="9"/>
        <v>564499.47247353685</v>
      </c>
      <c r="Z71" s="5">
        <f t="shared" si="9"/>
        <v>500664.72059737198</v>
      </c>
      <c r="AA71" s="5">
        <f t="shared" si="9"/>
        <v>444048.53268059593</v>
      </c>
    </row>
    <row r="72" spans="1:27" ht="18.75" x14ac:dyDescent="0.3">
      <c r="B72" t="s">
        <v>30</v>
      </c>
      <c r="C72" s="11">
        <f>SUM(C71:AA71)</f>
        <v>31812994.907057609</v>
      </c>
    </row>
    <row r="75" spans="1:27" x14ac:dyDescent="0.25">
      <c r="B75" s="12" t="s">
        <v>41</v>
      </c>
    </row>
    <row r="76" spans="1:27" x14ac:dyDescent="0.25">
      <c r="B76" s="10" t="s">
        <v>31</v>
      </c>
    </row>
    <row r="77" spans="1:27" ht="18.75" x14ac:dyDescent="0.3">
      <c r="B77" s="10" t="s">
        <v>40</v>
      </c>
      <c r="C77" s="121">
        <f>+C64/C72</f>
        <v>0.40496681707497134</v>
      </c>
    </row>
    <row r="80" spans="1:27" ht="18.75" x14ac:dyDescent="0.3">
      <c r="A80" s="113" t="s">
        <v>94</v>
      </c>
    </row>
    <row r="81" spans="1:27" ht="18.75" x14ac:dyDescent="0.3">
      <c r="A81" s="113"/>
      <c r="C81" s="10">
        <v>0</v>
      </c>
      <c r="D81" s="10">
        <v>1</v>
      </c>
      <c r="E81" s="10">
        <v>2</v>
      </c>
      <c r="F81" s="10">
        <v>3</v>
      </c>
      <c r="G81" s="10">
        <v>4</v>
      </c>
      <c r="H81" s="10">
        <v>5</v>
      </c>
      <c r="I81" s="10">
        <v>6</v>
      </c>
      <c r="J81" s="10">
        <v>7</v>
      </c>
      <c r="K81" s="10">
        <v>8</v>
      </c>
      <c r="L81" s="10">
        <v>9</v>
      </c>
      <c r="M81" s="10">
        <v>10</v>
      </c>
      <c r="N81" s="10">
        <v>11</v>
      </c>
      <c r="O81" s="10">
        <v>12</v>
      </c>
      <c r="P81" s="10">
        <v>13</v>
      </c>
      <c r="Q81" s="10">
        <v>14</v>
      </c>
      <c r="R81" s="10">
        <v>15</v>
      </c>
      <c r="S81" s="10">
        <v>16</v>
      </c>
      <c r="T81" s="10">
        <v>17</v>
      </c>
      <c r="U81" s="10">
        <v>18</v>
      </c>
      <c r="V81" s="10">
        <v>19</v>
      </c>
      <c r="W81" s="10">
        <v>20</v>
      </c>
      <c r="X81" s="10">
        <v>21</v>
      </c>
      <c r="Y81" s="10">
        <v>22</v>
      </c>
      <c r="Z81" s="10">
        <v>23</v>
      </c>
      <c r="AA81" s="10">
        <v>24</v>
      </c>
    </row>
    <row r="82" spans="1:27" x14ac:dyDescent="0.25">
      <c r="B82" s="12" t="s">
        <v>124</v>
      </c>
      <c r="C82" s="10">
        <v>2019</v>
      </c>
      <c r="D82" s="10">
        <v>2020</v>
      </c>
      <c r="E82" s="10">
        <v>2021</v>
      </c>
      <c r="F82" s="10">
        <v>2022</v>
      </c>
      <c r="G82" s="10">
        <v>2023</v>
      </c>
      <c r="H82" s="10">
        <v>2024</v>
      </c>
      <c r="I82" s="10">
        <v>2025</v>
      </c>
      <c r="J82" s="10">
        <v>2026</v>
      </c>
      <c r="K82" s="10">
        <v>2027</v>
      </c>
      <c r="L82" s="10">
        <v>2028</v>
      </c>
      <c r="M82" s="10">
        <v>2029</v>
      </c>
      <c r="N82" s="10">
        <v>2030</v>
      </c>
      <c r="O82" s="10">
        <v>2031</v>
      </c>
      <c r="P82" s="10">
        <v>2032</v>
      </c>
      <c r="Q82" s="10">
        <v>2033</v>
      </c>
      <c r="R82" s="10">
        <v>2034</v>
      </c>
      <c r="S82" s="10">
        <v>2035</v>
      </c>
      <c r="T82" s="10">
        <v>2036</v>
      </c>
      <c r="U82" s="10">
        <v>2037</v>
      </c>
      <c r="V82" s="10">
        <v>2038</v>
      </c>
      <c r="W82" s="10">
        <v>2039</v>
      </c>
      <c r="X82" s="10">
        <v>2040</v>
      </c>
      <c r="Y82" s="10">
        <v>2041</v>
      </c>
      <c r="Z82" s="10">
        <v>2042</v>
      </c>
      <c r="AA82" s="10">
        <v>2043</v>
      </c>
    </row>
    <row r="83" spans="1:27" x14ac:dyDescent="0.25">
      <c r="B83" t="s">
        <v>24</v>
      </c>
      <c r="H83" s="22">
        <f>+H35*'%  Planta'!F2</f>
        <v>3.0919284803960561</v>
      </c>
    </row>
    <row r="84" spans="1:27" x14ac:dyDescent="0.25">
      <c r="B84" t="s">
        <v>25</v>
      </c>
      <c r="C84" s="5"/>
      <c r="D84" s="5"/>
      <c r="E84" s="5"/>
      <c r="F84" s="5"/>
      <c r="G84" s="5"/>
      <c r="H84" s="24">
        <f>+$H$83*$D$2</f>
        <v>9.2757854411881682E-2</v>
      </c>
      <c r="I84" s="24">
        <f t="shared" ref="I84:AA84" si="10">+$H$83*$D$2</f>
        <v>9.2757854411881682E-2</v>
      </c>
      <c r="J84" s="24">
        <f t="shared" si="10"/>
        <v>9.2757854411881682E-2</v>
      </c>
      <c r="K84" s="24">
        <f t="shared" si="10"/>
        <v>9.2757854411881682E-2</v>
      </c>
      <c r="L84" s="24">
        <f t="shared" si="10"/>
        <v>9.2757854411881682E-2</v>
      </c>
      <c r="M84" s="24">
        <f t="shared" si="10"/>
        <v>9.2757854411881682E-2</v>
      </c>
      <c r="N84" s="24">
        <f t="shared" si="10"/>
        <v>9.2757854411881682E-2</v>
      </c>
      <c r="O84" s="24">
        <f t="shared" si="10"/>
        <v>9.2757854411881682E-2</v>
      </c>
      <c r="P84" s="24">
        <f t="shared" si="10"/>
        <v>9.2757854411881682E-2</v>
      </c>
      <c r="Q84" s="24">
        <f t="shared" si="10"/>
        <v>9.2757854411881682E-2</v>
      </c>
      <c r="R84" s="24">
        <f t="shared" si="10"/>
        <v>9.2757854411881682E-2</v>
      </c>
      <c r="S84" s="24">
        <f t="shared" si="10"/>
        <v>9.2757854411881682E-2</v>
      </c>
      <c r="T84" s="24">
        <f t="shared" si="10"/>
        <v>9.2757854411881682E-2</v>
      </c>
      <c r="U84" s="24">
        <f t="shared" si="10"/>
        <v>9.2757854411881682E-2</v>
      </c>
      <c r="V84" s="24">
        <f t="shared" si="10"/>
        <v>9.2757854411881682E-2</v>
      </c>
      <c r="W84" s="24">
        <f t="shared" si="10"/>
        <v>9.2757854411881682E-2</v>
      </c>
      <c r="X84" s="24">
        <f t="shared" si="10"/>
        <v>9.2757854411881682E-2</v>
      </c>
      <c r="Y84" s="24">
        <f t="shared" si="10"/>
        <v>9.2757854411881682E-2</v>
      </c>
      <c r="Z84" s="24">
        <f t="shared" si="10"/>
        <v>9.2757854411881682E-2</v>
      </c>
      <c r="AA84" s="24">
        <f t="shared" si="10"/>
        <v>9.2757854411881682E-2</v>
      </c>
    </row>
    <row r="85" spans="1:27" x14ac:dyDescent="0.25">
      <c r="B85" s="20"/>
      <c r="C85" s="5">
        <f>+C84+C83</f>
        <v>0</v>
      </c>
      <c r="D85" s="5">
        <f t="shared" ref="D85:G85" si="11">+D84+D83</f>
        <v>0</v>
      </c>
      <c r="E85" s="5">
        <f t="shared" si="11"/>
        <v>0</v>
      </c>
      <c r="F85" s="5">
        <f t="shared" si="11"/>
        <v>0</v>
      </c>
      <c r="G85" s="5">
        <f t="shared" si="11"/>
        <v>0</v>
      </c>
      <c r="H85" s="5">
        <f>+H84+H83</f>
        <v>3.1846863348079379</v>
      </c>
      <c r="I85" s="5">
        <f t="shared" ref="I85:AA85" si="12">+I84+I83</f>
        <v>9.2757854411881682E-2</v>
      </c>
      <c r="J85" s="5">
        <f t="shared" si="12"/>
        <v>9.2757854411881682E-2</v>
      </c>
      <c r="K85" s="5">
        <f t="shared" si="12"/>
        <v>9.2757854411881682E-2</v>
      </c>
      <c r="L85" s="5">
        <f t="shared" si="12"/>
        <v>9.2757854411881682E-2</v>
      </c>
      <c r="M85" s="5">
        <f t="shared" si="12"/>
        <v>9.2757854411881682E-2</v>
      </c>
      <c r="N85" s="5">
        <f t="shared" si="12"/>
        <v>9.2757854411881682E-2</v>
      </c>
      <c r="O85" s="5">
        <f t="shared" si="12"/>
        <v>9.2757854411881682E-2</v>
      </c>
      <c r="P85" s="5">
        <f t="shared" si="12"/>
        <v>9.2757854411881682E-2</v>
      </c>
      <c r="Q85" s="5">
        <f t="shared" si="12"/>
        <v>9.2757854411881682E-2</v>
      </c>
      <c r="R85" s="5">
        <f t="shared" si="12"/>
        <v>9.2757854411881682E-2</v>
      </c>
      <c r="S85" s="5">
        <f t="shared" si="12"/>
        <v>9.2757854411881682E-2</v>
      </c>
      <c r="T85" s="5">
        <f t="shared" si="12"/>
        <v>9.2757854411881682E-2</v>
      </c>
      <c r="U85" s="5">
        <f t="shared" si="12"/>
        <v>9.2757854411881682E-2</v>
      </c>
      <c r="V85" s="5">
        <f t="shared" si="12"/>
        <v>9.2757854411881682E-2</v>
      </c>
      <c r="W85" s="5">
        <f t="shared" si="12"/>
        <v>9.2757854411881682E-2</v>
      </c>
      <c r="X85" s="5">
        <f t="shared" si="12"/>
        <v>9.2757854411881682E-2</v>
      </c>
      <c r="Y85" s="5">
        <f t="shared" si="12"/>
        <v>9.2757854411881682E-2</v>
      </c>
      <c r="Z85" s="5">
        <f t="shared" si="12"/>
        <v>9.2757854411881682E-2</v>
      </c>
      <c r="AA85" s="5">
        <f t="shared" si="12"/>
        <v>9.2757854411881682E-2</v>
      </c>
    </row>
    <row r="86" spans="1:27" x14ac:dyDescent="0.25">
      <c r="B86" t="s">
        <v>26</v>
      </c>
      <c r="C86" s="5">
        <f>(C84/(1+$G$2)^C81)+(C83/(1+$G$2)^C81)</f>
        <v>0</v>
      </c>
      <c r="D86" s="5">
        <f t="shared" ref="D86:G86" si="13">(D84/(1+$G$2)^D81)+(D83/(1+$G$2)^D81)</f>
        <v>0</v>
      </c>
      <c r="E86" s="5">
        <f t="shared" si="13"/>
        <v>0</v>
      </c>
      <c r="F86" s="5">
        <f t="shared" si="13"/>
        <v>0</v>
      </c>
      <c r="G86" s="5">
        <f t="shared" si="13"/>
        <v>0</v>
      </c>
      <c r="H86" s="5">
        <f>(H84/(1+$G$2)^H81)+(H83/(1+$G$2)^H81)</f>
        <v>1.747768515384216</v>
      </c>
      <c r="I86" s="5">
        <f t="shared" ref="I86:AA86" si="14">(I84/(1+$G$2)^I81)+(I83/(1+$G$2)^I81)</f>
        <v>4.5149338438013886E-2</v>
      </c>
      <c r="J86" s="5">
        <f t="shared" si="14"/>
        <v>4.0043759146797246E-2</v>
      </c>
      <c r="K86" s="5">
        <f t="shared" si="14"/>
        <v>3.5515529176760305E-2</v>
      </c>
      <c r="L86" s="5">
        <f t="shared" si="14"/>
        <v>3.1499360688922666E-2</v>
      </c>
      <c r="M86" s="5">
        <f t="shared" si="14"/>
        <v>2.7937348726317219E-2</v>
      </c>
      <c r="N86" s="5">
        <f t="shared" si="14"/>
        <v>2.4778136342631686E-2</v>
      </c>
      <c r="O86" s="5">
        <f t="shared" si="14"/>
        <v>2.1976174139806369E-2</v>
      </c>
      <c r="P86" s="5">
        <f t="shared" si="14"/>
        <v>1.9491063538630927E-2</v>
      </c>
      <c r="Q86" s="5">
        <f t="shared" si="14"/>
        <v>1.728697431364162E-2</v>
      </c>
      <c r="R86" s="5">
        <f t="shared" si="14"/>
        <v>1.5332127994360642E-2</v>
      </c>
      <c r="S86" s="5">
        <f t="shared" si="14"/>
        <v>1.3598339684577064E-2</v>
      </c>
      <c r="T86" s="5">
        <f t="shared" si="14"/>
        <v>1.2060611693638196E-2</v>
      </c>
      <c r="U86" s="5">
        <f t="shared" si="14"/>
        <v>1.069677312074341E-2</v>
      </c>
      <c r="V86" s="5">
        <f t="shared" si="14"/>
        <v>9.4871601957812954E-3</v>
      </c>
      <c r="W86" s="5">
        <f t="shared" si="14"/>
        <v>8.4143327678769808E-3</v>
      </c>
      <c r="X86" s="5">
        <f t="shared" si="14"/>
        <v>7.4628228539928886E-3</v>
      </c>
      <c r="Y86" s="5">
        <f t="shared" si="14"/>
        <v>6.618911622166641E-3</v>
      </c>
      <c r="Z86" s="5">
        <f t="shared" si="14"/>
        <v>5.8704315939393723E-3</v>
      </c>
      <c r="AA86" s="5">
        <f t="shared" si="14"/>
        <v>5.2065912141369148E-3</v>
      </c>
    </row>
    <row r="87" spans="1:27" ht="18.75" x14ac:dyDescent="0.3">
      <c r="B87" t="s">
        <v>27</v>
      </c>
      <c r="C87" s="11">
        <f>SUM(C86:AA86)*1000000</f>
        <v>2106194.3026369512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7" x14ac:dyDescent="0.25">
      <c r="C88" s="20">
        <f>+NPV(G2,D85:AA85)*1000000</f>
        <v>2106194.3026369517</v>
      </c>
    </row>
    <row r="89" spans="1:27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1" spans="1:27" x14ac:dyDescent="0.25">
      <c r="C91" s="10">
        <v>0</v>
      </c>
      <c r="D91" s="10">
        <v>1</v>
      </c>
      <c r="E91" s="10">
        <v>2</v>
      </c>
      <c r="F91" s="10">
        <v>3</v>
      </c>
      <c r="G91" s="10">
        <v>4</v>
      </c>
      <c r="H91" s="13">
        <v>5</v>
      </c>
      <c r="I91" s="10">
        <v>6</v>
      </c>
      <c r="J91" s="10">
        <v>7</v>
      </c>
      <c r="K91" s="10">
        <v>8</v>
      </c>
      <c r="L91" s="10">
        <v>9</v>
      </c>
      <c r="M91" s="10">
        <v>10</v>
      </c>
      <c r="N91" s="10">
        <v>11</v>
      </c>
      <c r="O91" s="10">
        <v>12</v>
      </c>
      <c r="P91" s="10">
        <v>13</v>
      </c>
      <c r="Q91" s="10">
        <v>14</v>
      </c>
      <c r="R91" s="10">
        <v>15</v>
      </c>
      <c r="S91" s="10">
        <v>16</v>
      </c>
      <c r="T91" s="10">
        <v>17</v>
      </c>
      <c r="U91" s="10">
        <v>18</v>
      </c>
      <c r="V91" s="10">
        <v>19</v>
      </c>
      <c r="W91" s="10">
        <v>20</v>
      </c>
      <c r="X91" s="10">
        <v>21</v>
      </c>
      <c r="Y91" s="10">
        <v>22</v>
      </c>
      <c r="Z91" s="10">
        <v>23</v>
      </c>
      <c r="AA91" s="10">
        <v>24</v>
      </c>
    </row>
    <row r="92" spans="1:27" x14ac:dyDescent="0.25">
      <c r="B92" s="12" t="s">
        <v>28</v>
      </c>
      <c r="C92" s="10">
        <v>2019</v>
      </c>
      <c r="D92" s="10">
        <v>2020</v>
      </c>
      <c r="E92" s="10">
        <v>2021</v>
      </c>
      <c r="F92" s="10">
        <v>2022</v>
      </c>
      <c r="G92" s="10">
        <v>2023</v>
      </c>
      <c r="H92" s="13">
        <v>2024</v>
      </c>
      <c r="I92" s="10">
        <v>2025</v>
      </c>
      <c r="J92" s="10">
        <v>2026</v>
      </c>
      <c r="K92" s="10">
        <v>2027</v>
      </c>
      <c r="L92" s="10">
        <v>2028</v>
      </c>
      <c r="M92" s="10">
        <v>2029</v>
      </c>
      <c r="N92" s="10">
        <v>2030</v>
      </c>
      <c r="O92" s="10">
        <v>2031</v>
      </c>
      <c r="P92" s="10">
        <v>2032</v>
      </c>
      <c r="Q92" s="10">
        <v>2033</v>
      </c>
      <c r="R92" s="10">
        <v>2034</v>
      </c>
      <c r="S92" s="10">
        <v>2035</v>
      </c>
      <c r="T92" s="10">
        <v>2036</v>
      </c>
      <c r="U92" s="10">
        <v>2037</v>
      </c>
      <c r="V92" s="10">
        <v>2038</v>
      </c>
      <c r="W92" s="10">
        <v>2039</v>
      </c>
      <c r="X92" s="10">
        <v>2040</v>
      </c>
      <c r="Y92" s="10">
        <v>2041</v>
      </c>
      <c r="Z92" s="10">
        <v>2042</v>
      </c>
      <c r="AA92" s="10">
        <v>2043</v>
      </c>
    </row>
    <row r="93" spans="1:27" x14ac:dyDescent="0.25">
      <c r="B93" s="14" t="s">
        <v>106</v>
      </c>
      <c r="C93" s="5"/>
      <c r="D93" s="5">
        <v>0</v>
      </c>
      <c r="E93" s="5">
        <v>0</v>
      </c>
      <c r="F93" s="5">
        <v>0</v>
      </c>
      <c r="G93" s="5">
        <v>0</v>
      </c>
      <c r="H93" s="23">
        <f>+'Demanda Regional'!V30</f>
        <v>6241073.3009127844</v>
      </c>
      <c r="I93" s="23">
        <f>+'Demanda Regional'!W30</f>
        <v>6465034.3902210183</v>
      </c>
      <c r="J93" s="23">
        <f>+'Demanda Regional'!X30</f>
        <v>6673754.1578202369</v>
      </c>
      <c r="K93" s="23">
        <f>+'Demanda Regional'!Y30</f>
        <v>7079610.8178102719</v>
      </c>
      <c r="L93" s="23">
        <f>+'Demanda Regional'!Z30</f>
        <v>7193032.1185705159</v>
      </c>
      <c r="M93" s="23">
        <f>+'Demanda Regional'!AA30</f>
        <v>7170758.818513114</v>
      </c>
      <c r="N93" s="23">
        <f>+'Demanda Regional'!AB30</f>
        <v>7725410.2518630428</v>
      </c>
      <c r="O93" s="23">
        <f>+'Demanda Regional'!AC30</f>
        <v>7725808.6744405422</v>
      </c>
      <c r="P93" s="23">
        <f>+'Demanda Regional'!AD30</f>
        <v>7604136.4263836993</v>
      </c>
      <c r="Q93" s="23">
        <f>+'Demanda Regional'!AE30</f>
        <v>7910932.0190838547</v>
      </c>
      <c r="R93" s="23">
        <f>+'Demanda Regional'!AF30</f>
        <v>7910932.0190838547</v>
      </c>
      <c r="S93" s="23">
        <f>+'Demanda Regional'!AG30</f>
        <v>7910932.0190838547</v>
      </c>
      <c r="T93" s="23">
        <f>+'Demanda Regional'!AH30</f>
        <v>7910932.0190838547</v>
      </c>
      <c r="U93" s="23">
        <f>+'Demanda Regional'!AI30</f>
        <v>7910932.0190838547</v>
      </c>
      <c r="V93" s="23">
        <f>+'Demanda Regional'!AJ30</f>
        <v>7910932.0190838547</v>
      </c>
      <c r="W93" s="23">
        <f>+'Demanda Regional'!AK30</f>
        <v>7910932.0190838547</v>
      </c>
      <c r="X93" s="23">
        <f>+'Demanda Regional'!AL30</f>
        <v>7910932.0190838547</v>
      </c>
      <c r="Y93" s="23">
        <f>+'Demanda Regional'!AM30</f>
        <v>7910932.0190838547</v>
      </c>
      <c r="Z93" s="23">
        <f>+'Demanda Regional'!AN30</f>
        <v>7910932.0190838547</v>
      </c>
      <c r="AA93" s="23">
        <f>+'Demanda Regional'!AO30</f>
        <v>7910932.0190838547</v>
      </c>
    </row>
    <row r="94" spans="1:27" x14ac:dyDescent="0.25">
      <c r="B94" t="s">
        <v>29</v>
      </c>
      <c r="C94" s="5">
        <f>(C93)/(1+$G$2)^C91</f>
        <v>0</v>
      </c>
      <c r="D94" s="5">
        <v>0</v>
      </c>
      <c r="E94" s="5">
        <v>0</v>
      </c>
      <c r="F94" s="5">
        <v>0</v>
      </c>
      <c r="G94" s="5">
        <v>0</v>
      </c>
      <c r="H94" s="5">
        <f t="shared" ref="H94:AA94" si="15">(H93)/(1+$G$2)^H91</f>
        <v>3425125.8274068749</v>
      </c>
      <c r="I94" s="5">
        <f t="shared" si="15"/>
        <v>3146817.3509207219</v>
      </c>
      <c r="J94" s="5">
        <f t="shared" si="15"/>
        <v>2881073.584496994</v>
      </c>
      <c r="K94" s="5">
        <f t="shared" si="15"/>
        <v>2710672.0628052955</v>
      </c>
      <c r="L94" s="5">
        <f t="shared" si="15"/>
        <v>2442660.1346746474</v>
      </c>
      <c r="M94" s="5">
        <f t="shared" si="15"/>
        <v>2159730.7421058035</v>
      </c>
      <c r="N94" s="5">
        <f t="shared" si="15"/>
        <v>2063666.4111854148</v>
      </c>
      <c r="O94" s="5">
        <f t="shared" si="15"/>
        <v>1830397.197917331</v>
      </c>
      <c r="P94" s="5">
        <f t="shared" si="15"/>
        <v>1597845.3488686725</v>
      </c>
      <c r="Q94" s="5">
        <f t="shared" si="15"/>
        <v>1474334.2165248494</v>
      </c>
      <c r="R94" s="5">
        <f t="shared" si="15"/>
        <v>1307613.4958091795</v>
      </c>
      <c r="S94" s="5">
        <f t="shared" si="15"/>
        <v>1159745.8942875206</v>
      </c>
      <c r="T94" s="5">
        <f t="shared" si="15"/>
        <v>1028599.4627827232</v>
      </c>
      <c r="U94" s="5">
        <f t="shared" si="15"/>
        <v>912283.33727957716</v>
      </c>
      <c r="V94" s="5">
        <f t="shared" si="15"/>
        <v>809120.47652290668</v>
      </c>
      <c r="W94" s="5">
        <f t="shared" si="15"/>
        <v>717623.48250368657</v>
      </c>
      <c r="X94" s="5">
        <f t="shared" si="15"/>
        <v>636473.15521391283</v>
      </c>
      <c r="Y94" s="5">
        <f t="shared" si="15"/>
        <v>564499.47247353685</v>
      </c>
      <c r="Z94" s="5">
        <f t="shared" si="15"/>
        <v>500664.72059737198</v>
      </c>
      <c r="AA94" s="5">
        <f t="shared" si="15"/>
        <v>444048.53268059593</v>
      </c>
    </row>
    <row r="95" spans="1:27" ht="18.75" x14ac:dyDescent="0.3">
      <c r="B95" t="s">
        <v>30</v>
      </c>
      <c r="C95" s="11">
        <f>SUM(C94:AA94)</f>
        <v>31812994.907057609</v>
      </c>
    </row>
    <row r="98" spans="2:3" x14ac:dyDescent="0.25">
      <c r="B98" s="12" t="s">
        <v>41</v>
      </c>
    </row>
    <row r="99" spans="2:3" x14ac:dyDescent="0.25">
      <c r="B99" s="10" t="s">
        <v>31</v>
      </c>
    </row>
    <row r="100" spans="2:3" ht="18.75" x14ac:dyDescent="0.3">
      <c r="B100" s="10" t="s">
        <v>40</v>
      </c>
      <c r="C100" s="116">
        <f>+C87/C95</f>
        <v>6.620547071378366E-2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showGridLines="0" workbookViewId="0">
      <pane ySplit="2" topLeftCell="A6" activePane="bottomLeft" state="frozen"/>
      <selection pane="bottomLeft" activeCell="H35" sqref="H35"/>
    </sheetView>
  </sheetViews>
  <sheetFormatPr baseColWidth="10" defaultRowHeight="15" x14ac:dyDescent="0.25"/>
  <cols>
    <col min="1" max="1" width="6.28515625" customWidth="1"/>
    <col min="2" max="2" width="28.42578125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30" x14ac:dyDescent="0.25">
      <c r="A2" s="139"/>
      <c r="B2" s="15" t="s">
        <v>123</v>
      </c>
      <c r="C2" s="140" t="str">
        <f>+'%  Planta'!C18</f>
        <v>Nacional</v>
      </c>
      <c r="D2" s="43">
        <v>0.03</v>
      </c>
      <c r="E2" s="27">
        <v>700</v>
      </c>
      <c r="F2" s="27">
        <v>2024</v>
      </c>
      <c r="G2" s="43">
        <v>0.1275</v>
      </c>
    </row>
    <row r="3" spans="1:27" x14ac:dyDescent="0.25">
      <c r="A3" s="139"/>
      <c r="B3" s="15"/>
      <c r="C3" s="146"/>
      <c r="D3" s="43"/>
      <c r="E3" s="27"/>
      <c r="F3" s="27"/>
      <c r="G3" s="43"/>
    </row>
    <row r="5" spans="1:27" ht="18.75" x14ac:dyDescent="0.3">
      <c r="A5" s="113" t="s">
        <v>88</v>
      </c>
    </row>
    <row r="6" spans="1:27" x14ac:dyDescent="0.25">
      <c r="C6" s="10">
        <v>0</v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0">
        <v>10</v>
      </c>
      <c r="N6" s="10">
        <v>11</v>
      </c>
      <c r="O6" s="10">
        <v>12</v>
      </c>
      <c r="P6" s="10">
        <v>13</v>
      </c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  <c r="X6" s="10">
        <v>21</v>
      </c>
      <c r="Y6" s="10">
        <v>22</v>
      </c>
      <c r="Z6" s="10">
        <v>23</v>
      </c>
      <c r="AA6" s="10">
        <v>24</v>
      </c>
    </row>
    <row r="7" spans="1:27" x14ac:dyDescent="0.25">
      <c r="B7" s="12" t="s">
        <v>23</v>
      </c>
      <c r="C7" s="10">
        <v>2019</v>
      </c>
      <c r="D7" s="10">
        <v>2020</v>
      </c>
      <c r="E7" s="10">
        <v>2021</v>
      </c>
      <c r="F7" s="10">
        <v>2022</v>
      </c>
      <c r="G7" s="10">
        <v>2023</v>
      </c>
      <c r="H7" s="10">
        <v>2024</v>
      </c>
      <c r="I7" s="10">
        <v>2025</v>
      </c>
      <c r="J7" s="10">
        <v>2026</v>
      </c>
      <c r="K7" s="10">
        <v>2027</v>
      </c>
      <c r="L7" s="10">
        <v>2028</v>
      </c>
      <c r="M7" s="10">
        <v>2029</v>
      </c>
      <c r="N7" s="10">
        <v>2030</v>
      </c>
      <c r="O7" s="10">
        <v>2031</v>
      </c>
      <c r="P7" s="10">
        <v>2032</v>
      </c>
      <c r="Q7" s="10">
        <v>2033</v>
      </c>
      <c r="R7" s="10">
        <v>2034</v>
      </c>
      <c r="S7" s="10">
        <v>2035</v>
      </c>
      <c r="T7" s="10">
        <v>2036</v>
      </c>
      <c r="U7" s="10">
        <v>2037</v>
      </c>
      <c r="V7" s="10">
        <v>2038</v>
      </c>
      <c r="W7" s="10">
        <v>2039</v>
      </c>
      <c r="X7" s="10">
        <v>2040</v>
      </c>
      <c r="Y7" s="10">
        <v>2041</v>
      </c>
      <c r="Z7" s="10">
        <v>2042</v>
      </c>
      <c r="AA7" s="10">
        <v>2043</v>
      </c>
    </row>
    <row r="8" spans="1:27" x14ac:dyDescent="0.25">
      <c r="B8" t="s">
        <v>24</v>
      </c>
      <c r="H8" s="150">
        <f>+E2*'%  Planta'!F4</f>
        <v>599.19999999999993</v>
      </c>
    </row>
    <row r="9" spans="1:27" x14ac:dyDescent="0.25">
      <c r="B9" t="s">
        <v>25</v>
      </c>
      <c r="C9" s="5"/>
      <c r="D9" s="5"/>
      <c r="E9" s="5"/>
      <c r="F9" s="5"/>
      <c r="G9" s="5"/>
      <c r="H9" s="5">
        <f t="shared" ref="H9:AA9" si="0">$H$8*$D$2</f>
        <v>17.975999999999996</v>
      </c>
      <c r="I9" s="5">
        <f t="shared" si="0"/>
        <v>17.975999999999996</v>
      </c>
      <c r="J9" s="5">
        <f t="shared" si="0"/>
        <v>17.975999999999996</v>
      </c>
      <c r="K9" s="5">
        <f t="shared" si="0"/>
        <v>17.975999999999996</v>
      </c>
      <c r="L9" s="5">
        <f t="shared" si="0"/>
        <v>17.975999999999996</v>
      </c>
      <c r="M9" s="5">
        <f t="shared" si="0"/>
        <v>17.975999999999996</v>
      </c>
      <c r="N9" s="5">
        <f t="shared" si="0"/>
        <v>17.975999999999996</v>
      </c>
      <c r="O9" s="5">
        <f t="shared" si="0"/>
        <v>17.975999999999996</v>
      </c>
      <c r="P9" s="5">
        <f t="shared" si="0"/>
        <v>17.975999999999996</v>
      </c>
      <c r="Q9" s="5">
        <f t="shared" si="0"/>
        <v>17.975999999999996</v>
      </c>
      <c r="R9" s="5">
        <f t="shared" si="0"/>
        <v>17.975999999999996</v>
      </c>
      <c r="S9" s="5">
        <f t="shared" si="0"/>
        <v>17.975999999999996</v>
      </c>
      <c r="T9" s="5">
        <f t="shared" si="0"/>
        <v>17.975999999999996</v>
      </c>
      <c r="U9" s="5">
        <f t="shared" si="0"/>
        <v>17.975999999999996</v>
      </c>
      <c r="V9" s="5">
        <f t="shared" si="0"/>
        <v>17.975999999999996</v>
      </c>
      <c r="W9" s="5">
        <f t="shared" si="0"/>
        <v>17.975999999999996</v>
      </c>
      <c r="X9" s="5">
        <f t="shared" si="0"/>
        <v>17.975999999999996</v>
      </c>
      <c r="Y9" s="5">
        <f t="shared" si="0"/>
        <v>17.975999999999996</v>
      </c>
      <c r="Z9" s="5">
        <f t="shared" si="0"/>
        <v>17.975999999999996</v>
      </c>
      <c r="AA9" s="5">
        <f t="shared" si="0"/>
        <v>17.975999999999996</v>
      </c>
    </row>
    <row r="10" spans="1:27" x14ac:dyDescent="0.25">
      <c r="B10" t="s">
        <v>26</v>
      </c>
      <c r="C10" s="5">
        <f t="shared" ref="C10:AA10" si="1">(C9/(1+$G$2)^C6)+(C8/(1+$G$2)^C6)</f>
        <v>0</v>
      </c>
      <c r="D10" s="5">
        <f t="shared" si="1"/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338.70864124388623</v>
      </c>
      <c r="I10" s="5">
        <f t="shared" si="1"/>
        <v>8.7497119560128169</v>
      </c>
      <c r="J10" s="5">
        <f t="shared" si="1"/>
        <v>7.7602766793905271</v>
      </c>
      <c r="K10" s="5">
        <f t="shared" si="1"/>
        <v>6.8827287622088926</v>
      </c>
      <c r="L10" s="5">
        <f t="shared" si="1"/>
        <v>6.104415753622078</v>
      </c>
      <c r="M10" s="5">
        <f t="shared" si="1"/>
        <v>5.4141159677357678</v>
      </c>
      <c r="N10" s="5">
        <f t="shared" si="1"/>
        <v>4.8018766897878216</v>
      </c>
      <c r="O10" s="5">
        <f t="shared" si="1"/>
        <v>4.2588706783040537</v>
      </c>
      <c r="P10" s="5">
        <f t="shared" si="1"/>
        <v>3.7772688942829751</v>
      </c>
      <c r="Q10" s="5">
        <f t="shared" si="1"/>
        <v>3.350127622423924</v>
      </c>
      <c r="R10" s="5">
        <f t="shared" si="1"/>
        <v>2.9712883569170065</v>
      </c>
      <c r="S10" s="5">
        <f t="shared" si="1"/>
        <v>2.6352890083521121</v>
      </c>
      <c r="T10" s="5">
        <f t="shared" si="1"/>
        <v>2.3372851515318067</v>
      </c>
      <c r="U10" s="5">
        <f t="shared" si="1"/>
        <v>2.0729801787421791</v>
      </c>
      <c r="V10" s="5">
        <f t="shared" si="1"/>
        <v>1.8385633514343052</v>
      </c>
      <c r="W10" s="5">
        <f t="shared" si="1"/>
        <v>1.6306548571479424</v>
      </c>
      <c r="X10" s="5">
        <f t="shared" si="1"/>
        <v>1.4462570795103704</v>
      </c>
      <c r="Y10" s="5">
        <f t="shared" si="1"/>
        <v>1.2827113787231665</v>
      </c>
      <c r="Z10" s="5">
        <f t="shared" si="1"/>
        <v>1.1376597593997044</v>
      </c>
      <c r="AA10" s="5">
        <f t="shared" si="1"/>
        <v>1.0090108730817777</v>
      </c>
    </row>
    <row r="11" spans="1:27" ht="18.75" x14ac:dyDescent="0.3">
      <c r="B11" t="s">
        <v>27</v>
      </c>
      <c r="C11" s="11">
        <f>SUM(C10:AA10)*1000000</f>
        <v>408169734.24249548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7" ht="16.5" customHeight="1" x14ac:dyDescent="0.25">
      <c r="C12" s="20"/>
    </row>
    <row r="13" spans="1:27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5" spans="1:27" x14ac:dyDescent="0.25">
      <c r="C15" s="10">
        <v>0</v>
      </c>
      <c r="D15" s="10">
        <v>1</v>
      </c>
      <c r="E15" s="10">
        <v>2</v>
      </c>
      <c r="F15" s="10">
        <v>3</v>
      </c>
      <c r="G15" s="10">
        <v>4</v>
      </c>
      <c r="H15" s="13">
        <v>5</v>
      </c>
      <c r="I15" s="10">
        <v>6</v>
      </c>
      <c r="J15" s="10">
        <v>7</v>
      </c>
      <c r="K15" s="10">
        <v>8</v>
      </c>
      <c r="L15" s="10">
        <v>9</v>
      </c>
      <c r="M15" s="10">
        <v>10</v>
      </c>
      <c r="N15" s="10">
        <v>11</v>
      </c>
      <c r="O15" s="10">
        <v>12</v>
      </c>
      <c r="P15" s="10">
        <v>13</v>
      </c>
      <c r="Q15" s="10">
        <v>14</v>
      </c>
      <c r="R15" s="10">
        <v>15</v>
      </c>
      <c r="S15" s="10">
        <v>16</v>
      </c>
      <c r="T15" s="10">
        <v>17</v>
      </c>
      <c r="U15" s="10">
        <v>18</v>
      </c>
      <c r="V15" s="10">
        <v>19</v>
      </c>
      <c r="W15" s="10">
        <v>20</v>
      </c>
      <c r="X15" s="10">
        <v>21</v>
      </c>
      <c r="Y15" s="10">
        <v>22</v>
      </c>
      <c r="Z15" s="10">
        <v>23</v>
      </c>
      <c r="AA15" s="10">
        <v>24</v>
      </c>
    </row>
    <row r="16" spans="1:27" x14ac:dyDescent="0.25">
      <c r="A16" s="10"/>
      <c r="B16" s="12" t="s">
        <v>28</v>
      </c>
      <c r="C16" s="10">
        <v>2019</v>
      </c>
      <c r="D16" s="10">
        <v>2020</v>
      </c>
      <c r="E16" s="10">
        <v>2021</v>
      </c>
      <c r="F16" s="10">
        <v>2022</v>
      </c>
      <c r="G16" s="10">
        <v>2023</v>
      </c>
      <c r="H16" s="13">
        <v>2024</v>
      </c>
      <c r="I16" s="10">
        <v>2025</v>
      </c>
      <c r="J16" s="10">
        <v>2026</v>
      </c>
      <c r="K16" s="10">
        <v>2027</v>
      </c>
      <c r="L16" s="10">
        <v>2028</v>
      </c>
      <c r="M16" s="10">
        <v>2029</v>
      </c>
      <c r="N16" s="10">
        <v>2030</v>
      </c>
      <c r="O16" s="10">
        <v>2031</v>
      </c>
      <c r="P16" s="10">
        <v>2032</v>
      </c>
      <c r="Q16" s="10">
        <v>2033</v>
      </c>
      <c r="R16" s="10">
        <v>2034</v>
      </c>
      <c r="S16" s="10">
        <v>2035</v>
      </c>
      <c r="T16" s="10">
        <v>2036</v>
      </c>
      <c r="U16" s="10">
        <v>2037</v>
      </c>
      <c r="V16" s="10">
        <v>2038</v>
      </c>
      <c r="W16" s="10">
        <v>2039</v>
      </c>
      <c r="X16" s="10">
        <v>2040</v>
      </c>
      <c r="Y16" s="10">
        <v>2041</v>
      </c>
      <c r="Z16" s="10">
        <v>2042</v>
      </c>
      <c r="AA16" s="10">
        <v>2043</v>
      </c>
    </row>
    <row r="17" spans="1:27" x14ac:dyDescent="0.25">
      <c r="A17">
        <v>2024</v>
      </c>
      <c r="B17" s="14" t="s">
        <v>107</v>
      </c>
      <c r="C17" s="5"/>
      <c r="D17" s="5"/>
      <c r="E17" s="5"/>
      <c r="F17" s="5"/>
      <c r="G17" s="5"/>
      <c r="H17" s="23">
        <f>+'Demanda Regional'!V14</f>
        <v>416071553.3941856</v>
      </c>
      <c r="I17" s="23">
        <f>+'Demanda Regional'!W14</f>
        <v>431002292.68140113</v>
      </c>
      <c r="J17" s="23">
        <f>+'Demanda Regional'!X14</f>
        <v>444916943.85468256</v>
      </c>
      <c r="K17" s="23">
        <f>+'Demanda Regional'!Y14</f>
        <v>471974054.52068484</v>
      </c>
      <c r="L17" s="23">
        <f>+'Demanda Regional'!Z14</f>
        <v>479535474.5713678</v>
      </c>
      <c r="M17" s="23">
        <f>+'Demanda Regional'!AA14</f>
        <v>478050587.90087432</v>
      </c>
      <c r="N17" s="23">
        <f>+'Demanda Regional'!AB14</f>
        <v>515027350.12420291</v>
      </c>
      <c r="O17" s="23">
        <f>+'Demanda Regional'!AC14</f>
        <v>515053911.62936938</v>
      </c>
      <c r="P17" s="23">
        <f>+'Demanda Regional'!AD14</f>
        <v>506942428.42558002</v>
      </c>
      <c r="Q17" s="23">
        <f>+'Demanda Regional'!AE14</f>
        <v>527395467.93892372</v>
      </c>
      <c r="R17" s="23">
        <f>+'Demanda Regional'!AF14</f>
        <v>527395467.93892372</v>
      </c>
      <c r="S17" s="23">
        <f>+'Demanda Regional'!AG14</f>
        <v>527395467.93892372</v>
      </c>
      <c r="T17" s="23">
        <f>+'Demanda Regional'!AH14</f>
        <v>527395467.93892372</v>
      </c>
      <c r="U17" s="23">
        <f>+'Demanda Regional'!AI14</f>
        <v>527395467.93892372</v>
      </c>
      <c r="V17" s="23">
        <f>+'Demanda Regional'!AJ14</f>
        <v>527395467.93892372</v>
      </c>
      <c r="W17" s="23">
        <f>+'Demanda Regional'!AK14</f>
        <v>527395467.93892372</v>
      </c>
      <c r="X17" s="23">
        <f>+'Demanda Regional'!AL14</f>
        <v>527395467.93892372</v>
      </c>
      <c r="Y17" s="23">
        <f>+'Demanda Regional'!AM14</f>
        <v>527395467.93892372</v>
      </c>
      <c r="Z17" s="23">
        <f>+'Demanda Regional'!AN14</f>
        <v>527395467.93892372</v>
      </c>
      <c r="AA17" s="23">
        <f>+'Demanda Regional'!AO14</f>
        <v>527395467.93892372</v>
      </c>
    </row>
    <row r="18" spans="1:27" x14ac:dyDescent="0.25">
      <c r="A18">
        <v>2043</v>
      </c>
      <c r="B18" t="s">
        <v>29</v>
      </c>
      <c r="C18" s="5">
        <f>(C17)/(1+$G$2)^C15</f>
        <v>0</v>
      </c>
      <c r="D18" s="5">
        <f t="shared" ref="D18:AA18" si="2">(D17)/(1+$G$2)^D15</f>
        <v>0</v>
      </c>
      <c r="E18" s="5">
        <f t="shared" si="2"/>
        <v>0</v>
      </c>
      <c r="F18" s="5">
        <f t="shared" si="2"/>
        <v>0</v>
      </c>
      <c r="G18" s="5">
        <f t="shared" si="2"/>
        <v>0</v>
      </c>
      <c r="H18" s="5">
        <f t="shared" si="2"/>
        <v>228341721.82712498</v>
      </c>
      <c r="I18" s="5">
        <f t="shared" si="2"/>
        <v>209787823.39471474</v>
      </c>
      <c r="J18" s="5">
        <f t="shared" si="2"/>
        <v>192071572.29979965</v>
      </c>
      <c r="K18" s="5">
        <f t="shared" si="2"/>
        <v>180711470.85368639</v>
      </c>
      <c r="L18" s="5">
        <f t="shared" si="2"/>
        <v>162844008.97830984</v>
      </c>
      <c r="M18" s="5">
        <f t="shared" si="2"/>
        <v>143982049.47372025</v>
      </c>
      <c r="N18" s="5">
        <f t="shared" si="2"/>
        <v>137577760.74569434</v>
      </c>
      <c r="O18" s="5">
        <f t="shared" si="2"/>
        <v>122026479.86115538</v>
      </c>
      <c r="P18" s="5">
        <f t="shared" si="2"/>
        <v>106523023.25791152</v>
      </c>
      <c r="Q18" s="5">
        <f t="shared" si="2"/>
        <v>98288947.768323317</v>
      </c>
      <c r="R18" s="5">
        <f t="shared" si="2"/>
        <v>87174233.053945303</v>
      </c>
      <c r="S18" s="5">
        <f t="shared" si="2"/>
        <v>77316392.952501372</v>
      </c>
      <c r="T18" s="5">
        <f t="shared" si="2"/>
        <v>68573297.518848225</v>
      </c>
      <c r="U18" s="5">
        <f t="shared" si="2"/>
        <v>60818889.151971824</v>
      </c>
      <c r="V18" s="5">
        <f t="shared" si="2"/>
        <v>53941365.101527117</v>
      </c>
      <c r="W18" s="5">
        <f t="shared" si="2"/>
        <v>47841565.50024578</v>
      </c>
      <c r="X18" s="5">
        <f t="shared" si="2"/>
        <v>42431543.680927522</v>
      </c>
      <c r="Y18" s="5">
        <f t="shared" si="2"/>
        <v>37633298.164902464</v>
      </c>
      <c r="Z18" s="5">
        <f t="shared" si="2"/>
        <v>33377648.039824802</v>
      </c>
      <c r="AA18" s="5">
        <f t="shared" si="2"/>
        <v>29603235.512039732</v>
      </c>
    </row>
    <row r="19" spans="1:27" ht="18.75" x14ac:dyDescent="0.3">
      <c r="B19" t="s">
        <v>30</v>
      </c>
      <c r="C19" s="11">
        <f>SUM(H18:AA18)</f>
        <v>2120866327.1371744</v>
      </c>
    </row>
    <row r="20" spans="1:27" x14ac:dyDescent="0.25">
      <c r="E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B24" s="12" t="s">
        <v>41</v>
      </c>
      <c r="E24" s="10"/>
    </row>
    <row r="25" spans="1:27" x14ac:dyDescent="0.25">
      <c r="B25" s="10" t="s">
        <v>31</v>
      </c>
      <c r="E25" s="10"/>
    </row>
    <row r="26" spans="1:27" ht="18.75" x14ac:dyDescent="0.3">
      <c r="B26" s="10" t="s">
        <v>40</v>
      </c>
      <c r="C26" s="21">
        <f>+C11/C19</f>
        <v>0.19245424806826861</v>
      </c>
      <c r="D26" s="10"/>
      <c r="E26" s="10"/>
    </row>
    <row r="27" spans="1:27" x14ac:dyDescent="0.25">
      <c r="E27">
        <f>+C26*0.65</f>
        <v>0.12509526124437459</v>
      </c>
    </row>
    <row r="30" spans="1:27" ht="18.75" x14ac:dyDescent="0.3">
      <c r="A30" s="113" t="s">
        <v>87</v>
      </c>
    </row>
    <row r="33" spans="1:27" x14ac:dyDescent="0.25">
      <c r="C33" s="10">
        <v>0</v>
      </c>
      <c r="D33" s="10">
        <v>1</v>
      </c>
      <c r="E33" s="10">
        <v>2</v>
      </c>
      <c r="F33" s="10">
        <v>3</v>
      </c>
      <c r="G33" s="10">
        <v>4</v>
      </c>
      <c r="H33" s="10">
        <v>5</v>
      </c>
      <c r="I33" s="10">
        <v>6</v>
      </c>
      <c r="J33" s="10">
        <v>7</v>
      </c>
      <c r="K33" s="10">
        <v>8</v>
      </c>
      <c r="L33" s="10">
        <v>9</v>
      </c>
      <c r="M33" s="10">
        <v>10</v>
      </c>
      <c r="N33" s="10">
        <v>11</v>
      </c>
      <c r="O33" s="10">
        <v>12</v>
      </c>
      <c r="P33" s="10">
        <v>13</v>
      </c>
      <c r="Q33" s="10">
        <v>14</v>
      </c>
      <c r="R33" s="10">
        <v>15</v>
      </c>
      <c r="S33" s="10">
        <v>16</v>
      </c>
      <c r="T33" s="10">
        <v>17</v>
      </c>
      <c r="U33" s="10">
        <v>18</v>
      </c>
      <c r="V33" s="10">
        <v>19</v>
      </c>
      <c r="W33" s="10">
        <v>20</v>
      </c>
      <c r="X33" s="10">
        <v>21</v>
      </c>
      <c r="Y33" s="10">
        <v>22</v>
      </c>
      <c r="Z33" s="10">
        <v>23</v>
      </c>
      <c r="AA33" s="10">
        <v>24</v>
      </c>
    </row>
    <row r="34" spans="1:27" x14ac:dyDescent="0.25">
      <c r="B34" s="12" t="s">
        <v>23</v>
      </c>
      <c r="C34" s="10">
        <v>2019</v>
      </c>
      <c r="D34" s="10">
        <v>2020</v>
      </c>
      <c r="E34" s="10">
        <v>2021</v>
      </c>
      <c r="F34" s="10">
        <v>2022</v>
      </c>
      <c r="G34" s="10">
        <v>2023</v>
      </c>
      <c r="H34" s="10">
        <v>2024</v>
      </c>
      <c r="I34" s="10">
        <v>2025</v>
      </c>
      <c r="J34" s="10">
        <v>2026</v>
      </c>
      <c r="K34" s="10">
        <v>2027</v>
      </c>
      <c r="L34" s="10">
        <v>2028</v>
      </c>
      <c r="M34" s="10">
        <v>2029</v>
      </c>
      <c r="N34" s="10">
        <v>2030</v>
      </c>
      <c r="O34" s="10">
        <v>2031</v>
      </c>
      <c r="P34" s="10">
        <v>2032</v>
      </c>
      <c r="Q34" s="10">
        <v>2033</v>
      </c>
      <c r="R34" s="10">
        <v>2034</v>
      </c>
      <c r="S34" s="10">
        <v>2035</v>
      </c>
      <c r="T34" s="10">
        <v>2036</v>
      </c>
      <c r="U34" s="10">
        <v>2037</v>
      </c>
      <c r="V34" s="10">
        <v>2038</v>
      </c>
      <c r="W34" s="10">
        <v>2039</v>
      </c>
      <c r="X34" s="10">
        <v>2040</v>
      </c>
      <c r="Y34" s="10">
        <v>2041</v>
      </c>
      <c r="Z34" s="10">
        <v>2042</v>
      </c>
      <c r="AA34" s="10">
        <v>2043</v>
      </c>
    </row>
    <row r="35" spans="1:27" x14ac:dyDescent="0.25">
      <c r="B35" t="s">
        <v>24</v>
      </c>
      <c r="H35" s="25">
        <f>+E2*'%  Planta'!F3</f>
        <v>100.8</v>
      </c>
    </row>
    <row r="36" spans="1:27" x14ac:dyDescent="0.25">
      <c r="B36" t="s">
        <v>25</v>
      </c>
      <c r="C36" s="5"/>
      <c r="D36" s="5"/>
      <c r="E36" s="5"/>
      <c r="F36" s="5"/>
      <c r="G36" s="5"/>
      <c r="H36" s="5">
        <f t="shared" ref="H36:AA36" si="3">$H$35*$D$2</f>
        <v>3.024</v>
      </c>
      <c r="I36" s="5">
        <f t="shared" si="3"/>
        <v>3.024</v>
      </c>
      <c r="J36" s="5">
        <f t="shared" si="3"/>
        <v>3.024</v>
      </c>
      <c r="K36" s="5">
        <f t="shared" si="3"/>
        <v>3.024</v>
      </c>
      <c r="L36" s="5">
        <f t="shared" si="3"/>
        <v>3.024</v>
      </c>
      <c r="M36" s="5">
        <f t="shared" si="3"/>
        <v>3.024</v>
      </c>
      <c r="N36" s="5">
        <f t="shared" si="3"/>
        <v>3.024</v>
      </c>
      <c r="O36" s="5">
        <f t="shared" si="3"/>
        <v>3.024</v>
      </c>
      <c r="P36" s="5">
        <f t="shared" si="3"/>
        <v>3.024</v>
      </c>
      <c r="Q36" s="5">
        <f t="shared" si="3"/>
        <v>3.024</v>
      </c>
      <c r="R36" s="5">
        <f t="shared" si="3"/>
        <v>3.024</v>
      </c>
      <c r="S36" s="5">
        <f t="shared" si="3"/>
        <v>3.024</v>
      </c>
      <c r="T36" s="5">
        <f t="shared" si="3"/>
        <v>3.024</v>
      </c>
      <c r="U36" s="5">
        <f t="shared" si="3"/>
        <v>3.024</v>
      </c>
      <c r="V36" s="5">
        <f t="shared" si="3"/>
        <v>3.024</v>
      </c>
      <c r="W36" s="5">
        <f t="shared" si="3"/>
        <v>3.024</v>
      </c>
      <c r="X36" s="5">
        <f t="shared" si="3"/>
        <v>3.024</v>
      </c>
      <c r="Y36" s="5">
        <f t="shared" si="3"/>
        <v>3.024</v>
      </c>
      <c r="Z36" s="5">
        <f t="shared" si="3"/>
        <v>3.024</v>
      </c>
      <c r="AA36" s="5">
        <f t="shared" si="3"/>
        <v>3.024</v>
      </c>
    </row>
    <row r="37" spans="1:27" x14ac:dyDescent="0.25">
      <c r="B37" t="s">
        <v>26</v>
      </c>
      <c r="C37" s="5">
        <f t="shared" ref="C37:AA37" si="4">(C36/(1+$G$2)^C33)+(C35/(1+$G$2)^C33)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 t="shared" si="4"/>
        <v>0</v>
      </c>
      <c r="H37" s="5">
        <f t="shared" si="4"/>
        <v>56.979023760653767</v>
      </c>
      <c r="I37" s="5">
        <f t="shared" si="4"/>
        <v>1.4719141608245865</v>
      </c>
      <c r="J37" s="5">
        <f t="shared" si="4"/>
        <v>1.305467104944201</v>
      </c>
      <c r="K37" s="5">
        <f t="shared" si="4"/>
        <v>1.1578422216800008</v>
      </c>
      <c r="L37" s="5">
        <f t="shared" si="4"/>
        <v>1.0269110613569854</v>
      </c>
      <c r="M37" s="5">
        <f t="shared" si="4"/>
        <v>0.91078586373125081</v>
      </c>
      <c r="N37" s="5">
        <f t="shared" si="4"/>
        <v>0.80779234033813829</v>
      </c>
      <c r="O37" s="5">
        <f t="shared" si="4"/>
        <v>0.71644553466797178</v>
      </c>
      <c r="P37" s="5">
        <f t="shared" si="4"/>
        <v>0.63542841212236978</v>
      </c>
      <c r="Q37" s="5">
        <f t="shared" si="4"/>
        <v>0.56357287106196874</v>
      </c>
      <c r="R37" s="5">
        <f t="shared" si="4"/>
        <v>0.49984290116360869</v>
      </c>
      <c r="S37" s="5">
        <f t="shared" si="4"/>
        <v>0.44331964626484138</v>
      </c>
      <c r="T37" s="5">
        <f t="shared" si="4"/>
        <v>0.39318815633245358</v>
      </c>
      <c r="U37" s="5">
        <f t="shared" si="4"/>
        <v>0.34872563754541336</v>
      </c>
      <c r="V37" s="5">
        <f t="shared" si="4"/>
        <v>0.30929103108240658</v>
      </c>
      <c r="W37" s="5">
        <f t="shared" si="4"/>
        <v>0.2743157703613362</v>
      </c>
      <c r="X37" s="5">
        <f t="shared" si="4"/>
        <v>0.24329558346903432</v>
      </c>
      <c r="Y37" s="5">
        <f t="shared" si="4"/>
        <v>0.21578322258894397</v>
      </c>
      <c r="Z37" s="5">
        <f t="shared" si="4"/>
        <v>0.19138201559995033</v>
      </c>
      <c r="AA37" s="5">
        <f t="shared" si="4"/>
        <v>0.16974014687357011</v>
      </c>
    </row>
    <row r="38" spans="1:27" ht="18.75" x14ac:dyDescent="0.3">
      <c r="B38" t="s">
        <v>27</v>
      </c>
      <c r="C38" s="11">
        <f>SUM(C37:AA37)*1000000</f>
        <v>68664067.44266279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7" ht="16.5" customHeight="1" x14ac:dyDescent="0.25">
      <c r="C39" s="20"/>
    </row>
    <row r="40" spans="1:27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2" spans="1:27" x14ac:dyDescent="0.25">
      <c r="C42" s="10">
        <v>0</v>
      </c>
      <c r="D42" s="10">
        <v>1</v>
      </c>
      <c r="E42" s="10">
        <v>2</v>
      </c>
      <c r="F42" s="10">
        <v>3</v>
      </c>
      <c r="G42" s="10">
        <v>4</v>
      </c>
      <c r="H42" s="13">
        <v>5</v>
      </c>
      <c r="I42" s="10">
        <v>6</v>
      </c>
      <c r="J42" s="10">
        <v>7</v>
      </c>
      <c r="K42" s="10">
        <v>8</v>
      </c>
      <c r="L42" s="10">
        <v>9</v>
      </c>
      <c r="M42" s="10">
        <v>10</v>
      </c>
      <c r="N42" s="10">
        <v>11</v>
      </c>
      <c r="O42" s="10">
        <v>12</v>
      </c>
      <c r="P42" s="10">
        <v>13</v>
      </c>
      <c r="Q42" s="10">
        <v>14</v>
      </c>
      <c r="R42" s="10">
        <v>15</v>
      </c>
      <c r="S42" s="10">
        <v>16</v>
      </c>
      <c r="T42" s="10">
        <v>17</v>
      </c>
      <c r="U42" s="10">
        <v>18</v>
      </c>
      <c r="V42" s="10">
        <v>19</v>
      </c>
      <c r="W42" s="10">
        <v>20</v>
      </c>
      <c r="X42" s="10">
        <v>21</v>
      </c>
      <c r="Y42" s="10">
        <v>22</v>
      </c>
      <c r="Z42" s="10">
        <v>23</v>
      </c>
      <c r="AA42" s="10">
        <v>24</v>
      </c>
    </row>
    <row r="43" spans="1:27" x14ac:dyDescent="0.25">
      <c r="A43" s="10"/>
      <c r="B43" s="12" t="s">
        <v>28</v>
      </c>
      <c r="C43" s="10">
        <v>2019</v>
      </c>
      <c r="D43" s="10">
        <v>2020</v>
      </c>
      <c r="E43" s="10">
        <v>2021</v>
      </c>
      <c r="F43" s="10">
        <v>2022</v>
      </c>
      <c r="G43" s="10">
        <v>2023</v>
      </c>
      <c r="H43" s="13">
        <v>2024</v>
      </c>
      <c r="I43" s="10">
        <v>2025</v>
      </c>
      <c r="J43" s="10">
        <v>2026</v>
      </c>
      <c r="K43" s="10">
        <v>2027</v>
      </c>
      <c r="L43" s="10">
        <v>2028</v>
      </c>
      <c r="M43" s="10">
        <v>2029</v>
      </c>
      <c r="N43" s="10">
        <v>2030</v>
      </c>
      <c r="O43" s="10">
        <v>2031</v>
      </c>
      <c r="P43" s="10">
        <v>2032</v>
      </c>
      <c r="Q43" s="10">
        <v>2033</v>
      </c>
      <c r="R43" s="10">
        <v>2034</v>
      </c>
      <c r="S43" s="10">
        <v>2035</v>
      </c>
      <c r="T43" s="10">
        <v>2036</v>
      </c>
      <c r="U43" s="10">
        <v>2037</v>
      </c>
      <c r="V43" s="10">
        <v>2038</v>
      </c>
      <c r="W43" s="10">
        <v>2039</v>
      </c>
      <c r="X43" s="10">
        <v>2040</v>
      </c>
      <c r="Y43" s="10">
        <v>2041</v>
      </c>
      <c r="Z43" s="10">
        <v>2042</v>
      </c>
      <c r="AA43" s="10">
        <v>2043</v>
      </c>
    </row>
    <row r="44" spans="1:27" x14ac:dyDescent="0.25">
      <c r="A44">
        <v>2024</v>
      </c>
      <c r="B44" s="14" t="s">
        <v>107</v>
      </c>
      <c r="C44" s="5"/>
      <c r="D44" s="5"/>
      <c r="E44" s="5"/>
      <c r="F44" s="5"/>
      <c r="G44" s="5"/>
      <c r="H44" s="23">
        <f>+'Demanda Regional'!V14</f>
        <v>416071553.3941856</v>
      </c>
      <c r="I44" s="23">
        <f>+'Demanda Regional'!W14</f>
        <v>431002292.68140113</v>
      </c>
      <c r="J44" s="23">
        <f>+'Demanda Regional'!X14</f>
        <v>444916943.85468256</v>
      </c>
      <c r="K44" s="23">
        <f>+'Demanda Regional'!Y14</f>
        <v>471974054.52068484</v>
      </c>
      <c r="L44" s="23">
        <f>+'Demanda Regional'!Z14</f>
        <v>479535474.5713678</v>
      </c>
      <c r="M44" s="23">
        <f>+'Demanda Regional'!AA14</f>
        <v>478050587.90087432</v>
      </c>
      <c r="N44" s="23">
        <f>+'Demanda Regional'!AB14</f>
        <v>515027350.12420291</v>
      </c>
      <c r="O44" s="23">
        <f>+'Demanda Regional'!AC14</f>
        <v>515053911.62936938</v>
      </c>
      <c r="P44" s="23">
        <f>+'Demanda Regional'!AD14</f>
        <v>506942428.42558002</v>
      </c>
      <c r="Q44" s="23">
        <f>+'Demanda Regional'!AE14</f>
        <v>527395467.93892372</v>
      </c>
      <c r="R44" s="23">
        <f>+'Demanda Regional'!AF14</f>
        <v>527395467.93892372</v>
      </c>
      <c r="S44" s="23">
        <f>+'Demanda Regional'!AG14</f>
        <v>527395467.93892372</v>
      </c>
      <c r="T44" s="23">
        <f>+'Demanda Regional'!AH14</f>
        <v>527395467.93892372</v>
      </c>
      <c r="U44" s="23">
        <f>+'Demanda Regional'!AI14</f>
        <v>527395467.93892372</v>
      </c>
      <c r="V44" s="23">
        <f>+'Demanda Regional'!AJ14</f>
        <v>527395467.93892372</v>
      </c>
      <c r="W44" s="23">
        <f>+'Demanda Regional'!AK14</f>
        <v>527395467.93892372</v>
      </c>
      <c r="X44" s="23">
        <f>+'Demanda Regional'!AL14</f>
        <v>527395467.93892372</v>
      </c>
      <c r="Y44" s="23">
        <f>+'Demanda Regional'!AM14</f>
        <v>527395467.93892372</v>
      </c>
      <c r="Z44" s="23">
        <f>+'Demanda Regional'!AN14</f>
        <v>527395467.93892372</v>
      </c>
      <c r="AA44" s="23">
        <f>+'Demanda Regional'!AO14</f>
        <v>527395467.93892372</v>
      </c>
    </row>
    <row r="45" spans="1:27" x14ac:dyDescent="0.25">
      <c r="A45">
        <v>2043</v>
      </c>
      <c r="B45" t="s">
        <v>29</v>
      </c>
      <c r="C45" s="5">
        <f>(C44)/(1+$G$2)^C42</f>
        <v>0</v>
      </c>
      <c r="D45" s="5">
        <f t="shared" ref="D45:AA45" si="5">(D44)/(1+$G$2)^D42</f>
        <v>0</v>
      </c>
      <c r="E45" s="5">
        <f t="shared" si="5"/>
        <v>0</v>
      </c>
      <c r="F45" s="5">
        <f t="shared" si="5"/>
        <v>0</v>
      </c>
      <c r="G45" s="5">
        <f t="shared" si="5"/>
        <v>0</v>
      </c>
      <c r="H45" s="5">
        <f t="shared" si="5"/>
        <v>228341721.82712498</v>
      </c>
      <c r="I45" s="5">
        <f t="shared" si="5"/>
        <v>209787823.39471474</v>
      </c>
      <c r="J45" s="5">
        <f t="shared" si="5"/>
        <v>192071572.29979965</v>
      </c>
      <c r="K45" s="5">
        <f t="shared" si="5"/>
        <v>180711470.85368639</v>
      </c>
      <c r="L45" s="5">
        <f t="shared" si="5"/>
        <v>162844008.97830984</v>
      </c>
      <c r="M45" s="5">
        <f t="shared" si="5"/>
        <v>143982049.47372025</v>
      </c>
      <c r="N45" s="5">
        <f t="shared" si="5"/>
        <v>137577760.74569434</v>
      </c>
      <c r="O45" s="5">
        <f t="shared" si="5"/>
        <v>122026479.86115538</v>
      </c>
      <c r="P45" s="5">
        <f t="shared" si="5"/>
        <v>106523023.25791152</v>
      </c>
      <c r="Q45" s="5">
        <f t="shared" si="5"/>
        <v>98288947.768323317</v>
      </c>
      <c r="R45" s="5">
        <f t="shared" si="5"/>
        <v>87174233.053945303</v>
      </c>
      <c r="S45" s="5">
        <f t="shared" si="5"/>
        <v>77316392.952501372</v>
      </c>
      <c r="T45" s="5">
        <f t="shared" si="5"/>
        <v>68573297.518848225</v>
      </c>
      <c r="U45" s="5">
        <f t="shared" si="5"/>
        <v>60818889.151971824</v>
      </c>
      <c r="V45" s="5">
        <f t="shared" si="5"/>
        <v>53941365.101527117</v>
      </c>
      <c r="W45" s="5">
        <f t="shared" si="5"/>
        <v>47841565.50024578</v>
      </c>
      <c r="X45" s="5">
        <f t="shared" si="5"/>
        <v>42431543.680927522</v>
      </c>
      <c r="Y45" s="5">
        <f t="shared" si="5"/>
        <v>37633298.164902464</v>
      </c>
      <c r="Z45" s="5">
        <f t="shared" si="5"/>
        <v>33377648.039824802</v>
      </c>
      <c r="AA45" s="5">
        <f t="shared" si="5"/>
        <v>29603235.512039732</v>
      </c>
    </row>
    <row r="46" spans="1:27" ht="18.75" x14ac:dyDescent="0.3">
      <c r="B46" t="s">
        <v>30</v>
      </c>
      <c r="C46" s="11">
        <f>SUM(H45:AA45)</f>
        <v>2120866327.1371744</v>
      </c>
    </row>
    <row r="47" spans="1:27" x14ac:dyDescent="0.25">
      <c r="E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25">
      <c r="B51" s="12" t="s">
        <v>41</v>
      </c>
      <c r="E51" s="10"/>
    </row>
    <row r="52" spans="1:27" x14ac:dyDescent="0.25">
      <c r="B52" s="10" t="s">
        <v>31</v>
      </c>
      <c r="E52" s="10"/>
    </row>
    <row r="53" spans="1:27" ht="18.75" x14ac:dyDescent="0.3">
      <c r="B53" s="10" t="s">
        <v>40</v>
      </c>
      <c r="C53" s="21">
        <f>+C38/C46</f>
        <v>3.2375480983447058E-2</v>
      </c>
      <c r="D53" s="10"/>
      <c r="E53" s="10"/>
    </row>
    <row r="54" spans="1:27" x14ac:dyDescent="0.25">
      <c r="E54">
        <f>+C53*0.65</f>
        <v>2.104406263924059E-2</v>
      </c>
    </row>
    <row r="59" spans="1:27" ht="18.75" x14ac:dyDescent="0.3">
      <c r="A59" s="113" t="s">
        <v>93</v>
      </c>
      <c r="C59" s="10">
        <v>0</v>
      </c>
      <c r="D59" s="10">
        <v>1</v>
      </c>
      <c r="E59" s="10">
        <v>2</v>
      </c>
      <c r="F59" s="10">
        <v>3</v>
      </c>
      <c r="G59" s="10">
        <v>4</v>
      </c>
      <c r="H59" s="10">
        <v>5</v>
      </c>
      <c r="I59" s="10">
        <v>6</v>
      </c>
      <c r="J59" s="10">
        <v>7</v>
      </c>
      <c r="K59" s="10">
        <v>8</v>
      </c>
      <c r="L59" s="10">
        <v>9</v>
      </c>
      <c r="M59" s="10">
        <v>10</v>
      </c>
      <c r="N59" s="10">
        <v>11</v>
      </c>
      <c r="O59" s="10">
        <v>12</v>
      </c>
      <c r="P59" s="10">
        <v>13</v>
      </c>
      <c r="Q59" s="10">
        <v>14</v>
      </c>
      <c r="R59" s="10">
        <v>15</v>
      </c>
      <c r="S59" s="10">
        <v>16</v>
      </c>
      <c r="T59" s="10">
        <v>17</v>
      </c>
      <c r="U59" s="10">
        <v>18</v>
      </c>
      <c r="V59" s="10">
        <v>19</v>
      </c>
      <c r="W59" s="10">
        <v>20</v>
      </c>
      <c r="X59" s="10">
        <v>21</v>
      </c>
      <c r="Y59" s="10">
        <v>22</v>
      </c>
      <c r="Z59" s="10">
        <v>23</v>
      </c>
      <c r="AA59" s="10">
        <v>24</v>
      </c>
    </row>
    <row r="60" spans="1:27" x14ac:dyDescent="0.25">
      <c r="B60" s="12" t="s">
        <v>23</v>
      </c>
      <c r="C60" s="10">
        <v>2019</v>
      </c>
      <c r="D60" s="10">
        <v>2020</v>
      </c>
      <c r="E60" s="10">
        <v>2021</v>
      </c>
      <c r="F60" s="10">
        <v>2022</v>
      </c>
      <c r="G60" s="10">
        <v>2023</v>
      </c>
      <c r="H60" s="10">
        <v>2024</v>
      </c>
      <c r="I60" s="10">
        <v>2025</v>
      </c>
      <c r="J60" s="10">
        <v>2026</v>
      </c>
      <c r="K60" s="10">
        <v>2027</v>
      </c>
      <c r="L60" s="10">
        <v>2028</v>
      </c>
      <c r="M60" s="10">
        <v>2029</v>
      </c>
      <c r="N60" s="10">
        <v>2030</v>
      </c>
      <c r="O60" s="10">
        <v>2031</v>
      </c>
      <c r="P60" s="10">
        <v>2032</v>
      </c>
      <c r="Q60" s="10">
        <v>2033</v>
      </c>
      <c r="R60" s="10">
        <v>2034</v>
      </c>
      <c r="S60" s="10">
        <v>2035</v>
      </c>
      <c r="T60" s="10">
        <v>2036</v>
      </c>
      <c r="U60" s="10">
        <v>2037</v>
      </c>
      <c r="V60" s="10">
        <v>2038</v>
      </c>
      <c r="W60" s="10">
        <v>2039</v>
      </c>
      <c r="X60" s="10">
        <v>2040</v>
      </c>
      <c r="Y60" s="10">
        <v>2041</v>
      </c>
      <c r="Z60" s="10">
        <v>2042</v>
      </c>
      <c r="AA60" s="10">
        <v>2043</v>
      </c>
    </row>
    <row r="61" spans="1:27" x14ac:dyDescent="0.25">
      <c r="B61" t="s">
        <v>24</v>
      </c>
      <c r="H61" s="22">
        <f>+H8*'%  Planta'!F2</f>
        <v>389.47999999999996</v>
      </c>
    </row>
    <row r="62" spans="1:27" x14ac:dyDescent="0.25">
      <c r="B62" t="s">
        <v>25</v>
      </c>
      <c r="C62" s="5"/>
      <c r="D62" s="5"/>
      <c r="E62" s="5"/>
      <c r="F62" s="5"/>
      <c r="G62" s="5"/>
      <c r="H62" s="24">
        <f t="shared" ref="H62:AA62" si="6">+$H$61*$D$2</f>
        <v>11.684399999999998</v>
      </c>
      <c r="I62" s="24">
        <f t="shared" si="6"/>
        <v>11.684399999999998</v>
      </c>
      <c r="J62" s="24">
        <f t="shared" si="6"/>
        <v>11.684399999999998</v>
      </c>
      <c r="K62" s="24">
        <f t="shared" si="6"/>
        <v>11.684399999999998</v>
      </c>
      <c r="L62" s="24">
        <f t="shared" si="6"/>
        <v>11.684399999999998</v>
      </c>
      <c r="M62" s="24">
        <f t="shared" si="6"/>
        <v>11.684399999999998</v>
      </c>
      <c r="N62" s="24">
        <f t="shared" si="6"/>
        <v>11.684399999999998</v>
      </c>
      <c r="O62" s="24">
        <f t="shared" si="6"/>
        <v>11.684399999999998</v>
      </c>
      <c r="P62" s="24">
        <f t="shared" si="6"/>
        <v>11.684399999999998</v>
      </c>
      <c r="Q62" s="24">
        <f t="shared" si="6"/>
        <v>11.684399999999998</v>
      </c>
      <c r="R62" s="24">
        <f t="shared" si="6"/>
        <v>11.684399999999998</v>
      </c>
      <c r="S62" s="24">
        <f t="shared" si="6"/>
        <v>11.684399999999998</v>
      </c>
      <c r="T62" s="24">
        <f t="shared" si="6"/>
        <v>11.684399999999998</v>
      </c>
      <c r="U62" s="24">
        <f t="shared" si="6"/>
        <v>11.684399999999998</v>
      </c>
      <c r="V62" s="24">
        <f t="shared" si="6"/>
        <v>11.684399999999998</v>
      </c>
      <c r="W62" s="24">
        <f t="shared" si="6"/>
        <v>11.684399999999998</v>
      </c>
      <c r="X62" s="24">
        <f t="shared" si="6"/>
        <v>11.684399999999998</v>
      </c>
      <c r="Y62" s="24">
        <f t="shared" si="6"/>
        <v>11.684399999999998</v>
      </c>
      <c r="Z62" s="24">
        <f t="shared" si="6"/>
        <v>11.684399999999998</v>
      </c>
      <c r="AA62" s="24">
        <f t="shared" si="6"/>
        <v>11.684399999999998</v>
      </c>
    </row>
    <row r="63" spans="1:27" x14ac:dyDescent="0.25">
      <c r="B63" s="20"/>
      <c r="C63" s="5">
        <f>+C62+C61</f>
        <v>0</v>
      </c>
      <c r="D63" s="5">
        <f t="shared" ref="D63:AA63" si="7">+D62+D61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>+H62+H61</f>
        <v>401.16439999999994</v>
      </c>
      <c r="I63" s="5">
        <f t="shared" si="7"/>
        <v>11.684399999999998</v>
      </c>
      <c r="J63" s="5">
        <f t="shared" si="7"/>
        <v>11.684399999999998</v>
      </c>
      <c r="K63" s="5">
        <f t="shared" si="7"/>
        <v>11.684399999999998</v>
      </c>
      <c r="L63" s="5">
        <f t="shared" si="7"/>
        <v>11.684399999999998</v>
      </c>
      <c r="M63" s="5">
        <f t="shared" si="7"/>
        <v>11.684399999999998</v>
      </c>
      <c r="N63" s="5">
        <f t="shared" si="7"/>
        <v>11.684399999999998</v>
      </c>
      <c r="O63" s="5">
        <f t="shared" si="7"/>
        <v>11.684399999999998</v>
      </c>
      <c r="P63" s="5">
        <f t="shared" si="7"/>
        <v>11.684399999999998</v>
      </c>
      <c r="Q63" s="5">
        <f t="shared" si="7"/>
        <v>11.684399999999998</v>
      </c>
      <c r="R63" s="5">
        <f t="shared" si="7"/>
        <v>11.684399999999998</v>
      </c>
      <c r="S63" s="5">
        <f t="shared" si="7"/>
        <v>11.684399999999998</v>
      </c>
      <c r="T63" s="5">
        <f t="shared" si="7"/>
        <v>11.684399999999998</v>
      </c>
      <c r="U63" s="5">
        <f t="shared" si="7"/>
        <v>11.684399999999998</v>
      </c>
      <c r="V63" s="5">
        <f t="shared" si="7"/>
        <v>11.684399999999998</v>
      </c>
      <c r="W63" s="5">
        <f t="shared" si="7"/>
        <v>11.684399999999998</v>
      </c>
      <c r="X63" s="5">
        <f t="shared" si="7"/>
        <v>11.684399999999998</v>
      </c>
      <c r="Y63" s="5">
        <f t="shared" si="7"/>
        <v>11.684399999999998</v>
      </c>
      <c r="Z63" s="5">
        <f t="shared" si="7"/>
        <v>11.684399999999998</v>
      </c>
      <c r="AA63" s="5">
        <f t="shared" si="7"/>
        <v>11.684399999999998</v>
      </c>
    </row>
    <row r="64" spans="1:27" x14ac:dyDescent="0.25">
      <c r="B64" t="s">
        <v>26</v>
      </c>
      <c r="C64" s="5">
        <f t="shared" ref="C64:AA64" si="8">(C62/(1+$G$2)^C59)+(C61/(1+$G$2)^C59)</f>
        <v>0</v>
      </c>
      <c r="D64" s="5">
        <f t="shared" si="8"/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220.16061680852607</v>
      </c>
      <c r="I64" s="5">
        <f t="shared" si="8"/>
        <v>5.6873127714083322</v>
      </c>
      <c r="J64" s="5">
        <f t="shared" si="8"/>
        <v>5.0441798416038433</v>
      </c>
      <c r="K64" s="5">
        <f t="shared" si="8"/>
        <v>4.4737736954357805</v>
      </c>
      <c r="L64" s="5">
        <f t="shared" si="8"/>
        <v>3.9678702398543511</v>
      </c>
      <c r="M64" s="5">
        <f t="shared" si="8"/>
        <v>3.5191753790282494</v>
      </c>
      <c r="N64" s="5">
        <f t="shared" si="8"/>
        <v>3.1212198483620841</v>
      </c>
      <c r="O64" s="5">
        <f t="shared" si="8"/>
        <v>2.7682659408976349</v>
      </c>
      <c r="P64" s="5">
        <f t="shared" si="8"/>
        <v>2.4552247812839338</v>
      </c>
      <c r="Q64" s="5">
        <f t="shared" si="8"/>
        <v>2.1775829545755507</v>
      </c>
      <c r="R64" s="5">
        <f t="shared" si="8"/>
        <v>1.9313374319960543</v>
      </c>
      <c r="S64" s="5">
        <f t="shared" si="8"/>
        <v>1.712937855428873</v>
      </c>
      <c r="T64" s="5">
        <f t="shared" si="8"/>
        <v>1.5192353484956747</v>
      </c>
      <c r="U64" s="5">
        <f t="shared" si="8"/>
        <v>1.3474371161824164</v>
      </c>
      <c r="V64" s="5">
        <f t="shared" si="8"/>
        <v>1.1950661784322985</v>
      </c>
      <c r="W64" s="5">
        <f t="shared" si="8"/>
        <v>1.0599256571461626</v>
      </c>
      <c r="X64" s="5">
        <f t="shared" si="8"/>
        <v>0.9400671016817409</v>
      </c>
      <c r="Y64" s="5">
        <f t="shared" si="8"/>
        <v>0.83376239617005843</v>
      </c>
      <c r="Z64" s="5">
        <f t="shared" si="8"/>
        <v>0.73947884360980798</v>
      </c>
      <c r="AA64" s="5">
        <f t="shared" si="8"/>
        <v>0.65585706750315553</v>
      </c>
    </row>
    <row r="65" spans="2:27" ht="18.75" x14ac:dyDescent="0.3">
      <c r="B65" t="s">
        <v>27</v>
      </c>
      <c r="C65" s="11">
        <f>SUM(C64:AA64)*1000000</f>
        <v>265310327.25762197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2:27" x14ac:dyDescent="0.25">
      <c r="C66" s="20">
        <f>+NPV(G2,D63:AA63)*1000000</f>
        <v>265310327.25762206</v>
      </c>
    </row>
    <row r="67" spans="2:27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9" spans="2:27" x14ac:dyDescent="0.25">
      <c r="C69" s="10">
        <v>0</v>
      </c>
      <c r="D69" s="10">
        <v>1</v>
      </c>
      <c r="E69" s="10">
        <v>2</v>
      </c>
      <c r="F69" s="10">
        <v>3</v>
      </c>
      <c r="G69" s="10">
        <v>4</v>
      </c>
      <c r="H69" s="13">
        <v>5</v>
      </c>
      <c r="I69" s="10">
        <v>6</v>
      </c>
      <c r="J69" s="10">
        <v>7</v>
      </c>
      <c r="K69" s="10">
        <v>8</v>
      </c>
      <c r="L69" s="10">
        <v>9</v>
      </c>
      <c r="M69" s="10">
        <v>10</v>
      </c>
      <c r="N69" s="10">
        <v>11</v>
      </c>
      <c r="O69" s="10">
        <v>12</v>
      </c>
      <c r="P69" s="10">
        <v>13</v>
      </c>
      <c r="Q69" s="10">
        <v>14</v>
      </c>
      <c r="R69" s="10">
        <v>15</v>
      </c>
      <c r="S69" s="10">
        <v>16</v>
      </c>
      <c r="T69" s="10">
        <v>17</v>
      </c>
      <c r="U69" s="10">
        <v>18</v>
      </c>
      <c r="V69" s="10">
        <v>19</v>
      </c>
      <c r="W69" s="10">
        <v>20</v>
      </c>
      <c r="X69" s="10">
        <v>21</v>
      </c>
      <c r="Y69" s="10">
        <v>22</v>
      </c>
      <c r="Z69" s="10">
        <v>23</v>
      </c>
      <c r="AA69" s="10">
        <v>24</v>
      </c>
    </row>
    <row r="70" spans="2:27" x14ac:dyDescent="0.25">
      <c r="B70" s="12" t="s">
        <v>28</v>
      </c>
      <c r="C70" s="10">
        <v>2019</v>
      </c>
      <c r="D70" s="10">
        <v>2020</v>
      </c>
      <c r="E70" s="10">
        <v>2021</v>
      </c>
      <c r="F70" s="10">
        <v>2022</v>
      </c>
      <c r="G70" s="10">
        <v>2023</v>
      </c>
      <c r="H70" s="13">
        <v>2024</v>
      </c>
      <c r="I70" s="10">
        <v>2025</v>
      </c>
      <c r="J70" s="10">
        <v>2026</v>
      </c>
      <c r="K70" s="10">
        <v>2027</v>
      </c>
      <c r="L70" s="10">
        <v>2028</v>
      </c>
      <c r="M70" s="10">
        <v>2029</v>
      </c>
      <c r="N70" s="10">
        <v>2030</v>
      </c>
      <c r="O70" s="10">
        <v>2031</v>
      </c>
      <c r="P70" s="10">
        <v>2032</v>
      </c>
      <c r="Q70" s="10">
        <v>2033</v>
      </c>
      <c r="R70" s="10">
        <v>2034</v>
      </c>
      <c r="S70" s="10">
        <v>2035</v>
      </c>
      <c r="T70" s="10">
        <v>2036</v>
      </c>
      <c r="U70" s="10">
        <v>2037</v>
      </c>
      <c r="V70" s="10">
        <v>2038</v>
      </c>
      <c r="W70" s="10">
        <v>2039</v>
      </c>
      <c r="X70" s="10">
        <v>2040</v>
      </c>
      <c r="Y70" s="10">
        <v>2041</v>
      </c>
      <c r="Z70" s="10">
        <v>2042</v>
      </c>
      <c r="AA70" s="10">
        <v>2043</v>
      </c>
    </row>
    <row r="71" spans="2:27" x14ac:dyDescent="0.25">
      <c r="B71" s="14" t="s">
        <v>107</v>
      </c>
      <c r="C71" s="5"/>
      <c r="D71" s="5">
        <v>0</v>
      </c>
      <c r="E71" s="5">
        <v>0</v>
      </c>
      <c r="F71" s="5">
        <v>0</v>
      </c>
      <c r="G71" s="5">
        <v>0</v>
      </c>
      <c r="H71" s="23">
        <f>+'Demanda Regional'!V33</f>
        <v>364971553.3941856</v>
      </c>
      <c r="I71" s="23">
        <f>+'Demanda Regional'!W33</f>
        <v>379902292.68140113</v>
      </c>
      <c r="J71" s="23">
        <f>+'Demanda Regional'!X33</f>
        <v>393816943.85468251</v>
      </c>
      <c r="K71" s="23">
        <f>+'Demanda Regional'!Y33</f>
        <v>420874054.52068484</v>
      </c>
      <c r="L71" s="23">
        <f>+'Demanda Regional'!Z33</f>
        <v>428435474.5713678</v>
      </c>
      <c r="M71" s="23">
        <f>+'Demanda Regional'!AA33</f>
        <v>426950587.90087432</v>
      </c>
      <c r="N71" s="23">
        <f>+'Demanda Regional'!AB33</f>
        <v>463927350.12420291</v>
      </c>
      <c r="O71" s="23">
        <f>+'Demanda Regional'!AC33</f>
        <v>463953911.62936938</v>
      </c>
      <c r="P71" s="23">
        <f>+'Demanda Regional'!AD33</f>
        <v>455842428.42557997</v>
      </c>
      <c r="Q71" s="23">
        <f>+'Demanda Regional'!AE33</f>
        <v>476295467.93892372</v>
      </c>
      <c r="R71" s="23">
        <f>+'Demanda Regional'!AF33</f>
        <v>476295467.93892372</v>
      </c>
      <c r="S71" s="23">
        <f>+'Demanda Regional'!AG33</f>
        <v>476295467.93892372</v>
      </c>
      <c r="T71" s="23">
        <f>+'Demanda Regional'!AH33</f>
        <v>476295467.93892372</v>
      </c>
      <c r="U71" s="23">
        <f>+'Demanda Regional'!AI33</f>
        <v>476295467.93892372</v>
      </c>
      <c r="V71" s="23">
        <f>+'Demanda Regional'!AJ33</f>
        <v>476295467.93892372</v>
      </c>
      <c r="W71" s="23">
        <f>+'Demanda Regional'!AK33</f>
        <v>476295467.93892372</v>
      </c>
      <c r="X71" s="23">
        <f>+'Demanda Regional'!AL33</f>
        <v>476295467.93892372</v>
      </c>
      <c r="Y71" s="23">
        <f>+'Demanda Regional'!AM33</f>
        <v>476295467.93892372</v>
      </c>
      <c r="Z71" s="23">
        <f>+'Demanda Regional'!AN33</f>
        <v>476295467.93892372</v>
      </c>
      <c r="AA71" s="23">
        <f>+'Demanda Regional'!AO33</f>
        <v>476295467.93892372</v>
      </c>
    </row>
    <row r="72" spans="2:27" x14ac:dyDescent="0.25">
      <c r="B72" t="s">
        <v>29</v>
      </c>
      <c r="C72" s="5">
        <f>(C71)/(1+$G$2)^C69</f>
        <v>0</v>
      </c>
      <c r="D72" s="5">
        <v>0</v>
      </c>
      <c r="E72" s="5">
        <v>0</v>
      </c>
      <c r="F72" s="5">
        <v>0</v>
      </c>
      <c r="G72" s="5">
        <v>0</v>
      </c>
      <c r="H72" s="5">
        <f t="shared" ref="H72:AA72" si="9">(H71)/(1+$G$2)^H69</f>
        <v>200297838.77340516</v>
      </c>
      <c r="I72" s="5">
        <f t="shared" si="9"/>
        <v>184915199.84374371</v>
      </c>
      <c r="J72" s="5">
        <f t="shared" si="9"/>
        <v>170011595.75791845</v>
      </c>
      <c r="K72" s="5">
        <f t="shared" si="9"/>
        <v>161146081.45955673</v>
      </c>
      <c r="L72" s="5">
        <f t="shared" si="9"/>
        <v>145491113.72852746</v>
      </c>
      <c r="M72" s="5">
        <f t="shared" si="9"/>
        <v>128591455.01715051</v>
      </c>
      <c r="N72" s="5">
        <f t="shared" si="9"/>
        <v>123927566.10572116</v>
      </c>
      <c r="O72" s="5">
        <f t="shared" si="9"/>
        <v>109919877.07625677</v>
      </c>
      <c r="P72" s="5">
        <f t="shared" si="9"/>
        <v>95785459.812325165</v>
      </c>
      <c r="Q72" s="5">
        <f t="shared" si="9"/>
        <v>88765609.900840968</v>
      </c>
      <c r="R72" s="5">
        <f t="shared" si="9"/>
        <v>78727813.659282476</v>
      </c>
      <c r="S72" s="5">
        <f t="shared" si="9"/>
        <v>69825111.892933458</v>
      </c>
      <c r="T72" s="5">
        <f t="shared" si="9"/>
        <v>61929145.803045191</v>
      </c>
      <c r="U72" s="5">
        <f t="shared" si="9"/>
        <v>54926071.665672012</v>
      </c>
      <c r="V72" s="5">
        <f t="shared" si="9"/>
        <v>48714919.43740312</v>
      </c>
      <c r="W72" s="5">
        <f t="shared" si="9"/>
        <v>43206136.973306529</v>
      </c>
      <c r="X72" s="5">
        <f t="shared" si="9"/>
        <v>38320298.867677636</v>
      </c>
      <c r="Y72" s="5">
        <f t="shared" si="9"/>
        <v>33986961.301709659</v>
      </c>
      <c r="Z72" s="5">
        <f t="shared" si="9"/>
        <v>30143646.387325644</v>
      </c>
      <c r="AA72" s="5">
        <f t="shared" si="9"/>
        <v>26734941.363481719</v>
      </c>
    </row>
    <row r="73" spans="2:27" ht="18.75" x14ac:dyDescent="0.3">
      <c r="B73" t="s">
        <v>30</v>
      </c>
      <c r="C73" s="11">
        <f>SUM(C72:AA72)</f>
        <v>1895366844.8272836</v>
      </c>
    </row>
    <row r="76" spans="2:27" x14ac:dyDescent="0.25">
      <c r="B76" s="12" t="s">
        <v>41</v>
      </c>
    </row>
    <row r="77" spans="2:27" x14ac:dyDescent="0.25">
      <c r="B77" s="10" t="s">
        <v>31</v>
      </c>
    </row>
    <row r="78" spans="2:27" ht="18.75" x14ac:dyDescent="0.3">
      <c r="B78" s="10" t="s">
        <v>40</v>
      </c>
      <c r="C78" s="121">
        <f>+C65/C73</f>
        <v>0.13997835193840721</v>
      </c>
    </row>
    <row r="81" spans="1:27" ht="18.75" x14ac:dyDescent="0.3">
      <c r="A81" s="113" t="s">
        <v>94</v>
      </c>
    </row>
    <row r="82" spans="1:27" ht="18.75" x14ac:dyDescent="0.3">
      <c r="A82" s="113"/>
      <c r="C82" s="10">
        <v>0</v>
      </c>
      <c r="D82" s="10">
        <v>1</v>
      </c>
      <c r="E82" s="10">
        <v>2</v>
      </c>
      <c r="F82" s="10">
        <v>3</v>
      </c>
      <c r="G82" s="10">
        <v>4</v>
      </c>
      <c r="H82" s="10">
        <v>5</v>
      </c>
      <c r="I82" s="10">
        <v>6</v>
      </c>
      <c r="J82" s="10">
        <v>7</v>
      </c>
      <c r="K82" s="10">
        <v>8</v>
      </c>
      <c r="L82" s="10">
        <v>9</v>
      </c>
      <c r="M82" s="10">
        <v>10</v>
      </c>
      <c r="N82" s="10">
        <v>11</v>
      </c>
      <c r="O82" s="10">
        <v>12</v>
      </c>
      <c r="P82" s="10">
        <v>13</v>
      </c>
      <c r="Q82" s="10">
        <v>14</v>
      </c>
      <c r="R82" s="10">
        <v>15</v>
      </c>
      <c r="S82" s="10">
        <v>16</v>
      </c>
      <c r="T82" s="10">
        <v>17</v>
      </c>
      <c r="U82" s="10">
        <v>18</v>
      </c>
      <c r="V82" s="10">
        <v>19</v>
      </c>
      <c r="W82" s="10">
        <v>20</v>
      </c>
      <c r="X82" s="10">
        <v>21</v>
      </c>
      <c r="Y82" s="10">
        <v>22</v>
      </c>
      <c r="Z82" s="10">
        <v>23</v>
      </c>
      <c r="AA82" s="10">
        <v>24</v>
      </c>
    </row>
    <row r="83" spans="1:27" x14ac:dyDescent="0.25">
      <c r="B83" s="12" t="s">
        <v>23</v>
      </c>
      <c r="C83" s="10">
        <v>2019</v>
      </c>
      <c r="D83" s="10">
        <v>2020</v>
      </c>
      <c r="E83" s="10">
        <v>2021</v>
      </c>
      <c r="F83" s="10">
        <v>2022</v>
      </c>
      <c r="G83" s="10">
        <v>2023</v>
      </c>
      <c r="H83" s="10">
        <v>2024</v>
      </c>
      <c r="I83" s="10">
        <v>2025</v>
      </c>
      <c r="J83" s="10">
        <v>2026</v>
      </c>
      <c r="K83" s="10">
        <v>2027</v>
      </c>
      <c r="L83" s="10">
        <v>2028</v>
      </c>
      <c r="M83" s="10">
        <v>2029</v>
      </c>
      <c r="N83" s="10">
        <v>2030</v>
      </c>
      <c r="O83" s="10">
        <v>2031</v>
      </c>
      <c r="P83" s="10">
        <v>2032</v>
      </c>
      <c r="Q83" s="10">
        <v>2033</v>
      </c>
      <c r="R83" s="10">
        <v>2034</v>
      </c>
      <c r="S83" s="10">
        <v>2035</v>
      </c>
      <c r="T83" s="10">
        <v>2036</v>
      </c>
      <c r="U83" s="10">
        <v>2037</v>
      </c>
      <c r="V83" s="10">
        <v>2038</v>
      </c>
      <c r="W83" s="10">
        <v>2039</v>
      </c>
      <c r="X83" s="10">
        <v>2040</v>
      </c>
      <c r="Y83" s="10">
        <v>2041</v>
      </c>
      <c r="Z83" s="10">
        <v>2042</v>
      </c>
      <c r="AA83" s="10">
        <v>2043</v>
      </c>
    </row>
    <row r="84" spans="1:27" x14ac:dyDescent="0.25">
      <c r="B84" t="s">
        <v>24</v>
      </c>
      <c r="H84" s="22">
        <f>+H35*'%  Planta'!F2</f>
        <v>65.52</v>
      </c>
    </row>
    <row r="85" spans="1:27" x14ac:dyDescent="0.25">
      <c r="B85" t="s">
        <v>25</v>
      </c>
      <c r="C85" s="5"/>
      <c r="D85" s="5"/>
      <c r="E85" s="5"/>
      <c r="F85" s="5"/>
      <c r="G85" s="5"/>
      <c r="H85" s="24">
        <f t="shared" ref="H85:AA85" si="10">+$H$84*$D$2</f>
        <v>1.9655999999999998</v>
      </c>
      <c r="I85" s="24">
        <f t="shared" si="10"/>
        <v>1.9655999999999998</v>
      </c>
      <c r="J85" s="24">
        <f t="shared" si="10"/>
        <v>1.9655999999999998</v>
      </c>
      <c r="K85" s="24">
        <f t="shared" si="10"/>
        <v>1.9655999999999998</v>
      </c>
      <c r="L85" s="24">
        <f t="shared" si="10"/>
        <v>1.9655999999999998</v>
      </c>
      <c r="M85" s="24">
        <f t="shared" si="10"/>
        <v>1.9655999999999998</v>
      </c>
      <c r="N85" s="24">
        <f t="shared" si="10"/>
        <v>1.9655999999999998</v>
      </c>
      <c r="O85" s="24">
        <f t="shared" si="10"/>
        <v>1.9655999999999998</v>
      </c>
      <c r="P85" s="24">
        <f t="shared" si="10"/>
        <v>1.9655999999999998</v>
      </c>
      <c r="Q85" s="24">
        <f t="shared" si="10"/>
        <v>1.9655999999999998</v>
      </c>
      <c r="R85" s="24">
        <f t="shared" si="10"/>
        <v>1.9655999999999998</v>
      </c>
      <c r="S85" s="24">
        <f t="shared" si="10"/>
        <v>1.9655999999999998</v>
      </c>
      <c r="T85" s="24">
        <f t="shared" si="10"/>
        <v>1.9655999999999998</v>
      </c>
      <c r="U85" s="24">
        <f t="shared" si="10"/>
        <v>1.9655999999999998</v>
      </c>
      <c r="V85" s="24">
        <f t="shared" si="10"/>
        <v>1.9655999999999998</v>
      </c>
      <c r="W85" s="24">
        <f t="shared" si="10"/>
        <v>1.9655999999999998</v>
      </c>
      <c r="X85" s="24">
        <f t="shared" si="10"/>
        <v>1.9655999999999998</v>
      </c>
      <c r="Y85" s="24">
        <f t="shared" si="10"/>
        <v>1.9655999999999998</v>
      </c>
      <c r="Z85" s="24">
        <f t="shared" si="10"/>
        <v>1.9655999999999998</v>
      </c>
      <c r="AA85" s="24">
        <f t="shared" si="10"/>
        <v>1.9655999999999998</v>
      </c>
    </row>
    <row r="86" spans="1:27" x14ac:dyDescent="0.25">
      <c r="B86" s="20"/>
      <c r="C86" s="5">
        <f>+C85+C84</f>
        <v>0</v>
      </c>
      <c r="D86" s="5">
        <f t="shared" ref="D86:G86" si="11">+D85+D84</f>
        <v>0</v>
      </c>
      <c r="E86" s="5">
        <f t="shared" si="11"/>
        <v>0</v>
      </c>
      <c r="F86" s="5">
        <f t="shared" si="11"/>
        <v>0</v>
      </c>
      <c r="G86" s="5">
        <f t="shared" si="11"/>
        <v>0</v>
      </c>
      <c r="H86" s="5">
        <f>+H85+H84</f>
        <v>67.485599999999991</v>
      </c>
      <c r="I86" s="5">
        <f t="shared" ref="I86:AA86" si="12">+I85+I84</f>
        <v>1.9655999999999998</v>
      </c>
      <c r="J86" s="5">
        <f t="shared" si="12"/>
        <v>1.9655999999999998</v>
      </c>
      <c r="K86" s="5">
        <f t="shared" si="12"/>
        <v>1.9655999999999998</v>
      </c>
      <c r="L86" s="5">
        <f t="shared" si="12"/>
        <v>1.9655999999999998</v>
      </c>
      <c r="M86" s="5">
        <f t="shared" si="12"/>
        <v>1.9655999999999998</v>
      </c>
      <c r="N86" s="5">
        <f t="shared" si="12"/>
        <v>1.9655999999999998</v>
      </c>
      <c r="O86" s="5">
        <f t="shared" si="12"/>
        <v>1.9655999999999998</v>
      </c>
      <c r="P86" s="5">
        <f t="shared" si="12"/>
        <v>1.9655999999999998</v>
      </c>
      <c r="Q86" s="5">
        <f t="shared" si="12"/>
        <v>1.9655999999999998</v>
      </c>
      <c r="R86" s="5">
        <f t="shared" si="12"/>
        <v>1.9655999999999998</v>
      </c>
      <c r="S86" s="5">
        <f t="shared" si="12"/>
        <v>1.9655999999999998</v>
      </c>
      <c r="T86" s="5">
        <f t="shared" si="12"/>
        <v>1.9655999999999998</v>
      </c>
      <c r="U86" s="5">
        <f t="shared" si="12"/>
        <v>1.9655999999999998</v>
      </c>
      <c r="V86" s="5">
        <f t="shared" si="12"/>
        <v>1.9655999999999998</v>
      </c>
      <c r="W86" s="5">
        <f t="shared" si="12"/>
        <v>1.9655999999999998</v>
      </c>
      <c r="X86" s="5">
        <f t="shared" si="12"/>
        <v>1.9655999999999998</v>
      </c>
      <c r="Y86" s="5">
        <f t="shared" si="12"/>
        <v>1.9655999999999998</v>
      </c>
      <c r="Z86" s="5">
        <f t="shared" si="12"/>
        <v>1.9655999999999998</v>
      </c>
      <c r="AA86" s="5">
        <f t="shared" si="12"/>
        <v>1.9655999999999998</v>
      </c>
    </row>
    <row r="87" spans="1:27" x14ac:dyDescent="0.25">
      <c r="B87" t="s">
        <v>26</v>
      </c>
      <c r="C87" s="5">
        <f>(C85/(1+$G$2)^C82)+(C84/(1+$G$2)^C82)</f>
        <v>0</v>
      </c>
      <c r="D87" s="5">
        <f t="shared" ref="D87:G87" si="13">(D85/(1+$G$2)^D82)+(D84/(1+$G$2)^D82)</f>
        <v>0</v>
      </c>
      <c r="E87" s="5">
        <f t="shared" si="13"/>
        <v>0</v>
      </c>
      <c r="F87" s="5">
        <f t="shared" si="13"/>
        <v>0</v>
      </c>
      <c r="G87" s="5">
        <f t="shared" si="13"/>
        <v>0</v>
      </c>
      <c r="H87" s="5">
        <f>(H85/(1+$G$2)^H82)+(H84/(1+$G$2)^H82)</f>
        <v>37.036365444424945</v>
      </c>
      <c r="I87" s="5">
        <f t="shared" ref="I87:AA87" si="14">(I85/(1+$G$2)^I82)+(I84/(1+$G$2)^I82)</f>
        <v>0.95674420453598119</v>
      </c>
      <c r="J87" s="5">
        <f t="shared" si="14"/>
        <v>0.84855361821373065</v>
      </c>
      <c r="K87" s="5">
        <f t="shared" si="14"/>
        <v>0.75259744409200047</v>
      </c>
      <c r="L87" s="5">
        <f t="shared" si="14"/>
        <v>0.6674921898820404</v>
      </c>
      <c r="M87" s="5">
        <f t="shared" si="14"/>
        <v>0.59201081142531298</v>
      </c>
      <c r="N87" s="5">
        <f t="shared" si="14"/>
        <v>0.52506502121978982</v>
      </c>
      <c r="O87" s="5">
        <f t="shared" si="14"/>
        <v>0.4656895975341816</v>
      </c>
      <c r="P87" s="5">
        <f t="shared" si="14"/>
        <v>0.41302846787954034</v>
      </c>
      <c r="Q87" s="5">
        <f t="shared" si="14"/>
        <v>0.36632236619027958</v>
      </c>
      <c r="R87" s="5">
        <f t="shared" si="14"/>
        <v>0.32489788575634559</v>
      </c>
      <c r="S87" s="5">
        <f t="shared" si="14"/>
        <v>0.28815777007214688</v>
      </c>
      <c r="T87" s="5">
        <f t="shared" si="14"/>
        <v>0.25557230161609479</v>
      </c>
      <c r="U87" s="5">
        <f t="shared" si="14"/>
        <v>0.22667166440451866</v>
      </c>
      <c r="V87" s="5">
        <f t="shared" si="14"/>
        <v>0.20103917020356424</v>
      </c>
      <c r="W87" s="5">
        <f t="shared" si="14"/>
        <v>0.1783052507348685</v>
      </c>
      <c r="X87" s="5">
        <f t="shared" si="14"/>
        <v>0.15814212925487231</v>
      </c>
      <c r="Y87" s="5">
        <f t="shared" si="14"/>
        <v>0.14025909468281356</v>
      </c>
      <c r="Z87" s="5">
        <f t="shared" si="14"/>
        <v>0.1243983101399677</v>
      </c>
      <c r="AA87" s="5">
        <f t="shared" si="14"/>
        <v>0.11033109546782056</v>
      </c>
    </row>
    <row r="88" spans="1:27" ht="18.75" x14ac:dyDescent="0.3">
      <c r="B88" t="s">
        <v>27</v>
      </c>
      <c r="C88" s="11">
        <f>SUM(C87:AA87)*1000000</f>
        <v>44631643.837730803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7" x14ac:dyDescent="0.25">
      <c r="C89" s="20">
        <f>+NPV(G2,D86:AA86)*1000000</f>
        <v>44631643.83773081</v>
      </c>
    </row>
    <row r="90" spans="1:27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2" spans="1:27" x14ac:dyDescent="0.25">
      <c r="C92" s="10">
        <v>0</v>
      </c>
      <c r="D92" s="10">
        <v>1</v>
      </c>
      <c r="E92" s="10">
        <v>2</v>
      </c>
      <c r="F92" s="10">
        <v>3</v>
      </c>
      <c r="G92" s="10">
        <v>4</v>
      </c>
      <c r="H92" s="13">
        <v>5</v>
      </c>
      <c r="I92" s="10">
        <v>6</v>
      </c>
      <c r="J92" s="10">
        <v>7</v>
      </c>
      <c r="K92" s="10">
        <v>8</v>
      </c>
      <c r="L92" s="10">
        <v>9</v>
      </c>
      <c r="M92" s="10">
        <v>10</v>
      </c>
      <c r="N92" s="10">
        <v>11</v>
      </c>
      <c r="O92" s="10">
        <v>12</v>
      </c>
      <c r="P92" s="10">
        <v>13</v>
      </c>
      <c r="Q92" s="10">
        <v>14</v>
      </c>
      <c r="R92" s="10">
        <v>15</v>
      </c>
      <c r="S92" s="10">
        <v>16</v>
      </c>
      <c r="T92" s="10">
        <v>17</v>
      </c>
      <c r="U92" s="10">
        <v>18</v>
      </c>
      <c r="V92" s="10">
        <v>19</v>
      </c>
      <c r="W92" s="10">
        <v>20</v>
      </c>
      <c r="X92" s="10">
        <v>21</v>
      </c>
      <c r="Y92" s="10">
        <v>22</v>
      </c>
      <c r="Z92" s="10">
        <v>23</v>
      </c>
      <c r="AA92" s="10">
        <v>24</v>
      </c>
    </row>
    <row r="93" spans="1:27" x14ac:dyDescent="0.25">
      <c r="B93" s="12" t="s">
        <v>28</v>
      </c>
      <c r="C93" s="10">
        <v>2019</v>
      </c>
      <c r="D93" s="10">
        <v>2020</v>
      </c>
      <c r="E93" s="10">
        <v>2021</v>
      </c>
      <c r="F93" s="10">
        <v>2022</v>
      </c>
      <c r="G93" s="10">
        <v>2023</v>
      </c>
      <c r="H93" s="13">
        <v>2024</v>
      </c>
      <c r="I93" s="10">
        <v>2025</v>
      </c>
      <c r="J93" s="10">
        <v>2026</v>
      </c>
      <c r="K93" s="10">
        <v>2027</v>
      </c>
      <c r="L93" s="10">
        <v>2028</v>
      </c>
      <c r="M93" s="10">
        <v>2029</v>
      </c>
      <c r="N93" s="10">
        <v>2030</v>
      </c>
      <c r="O93" s="10">
        <v>2031</v>
      </c>
      <c r="P93" s="10">
        <v>2032</v>
      </c>
      <c r="Q93" s="10">
        <v>2033</v>
      </c>
      <c r="R93" s="10">
        <v>2034</v>
      </c>
      <c r="S93" s="10">
        <v>2035</v>
      </c>
      <c r="T93" s="10">
        <v>2036</v>
      </c>
      <c r="U93" s="10">
        <v>2037</v>
      </c>
      <c r="V93" s="10">
        <v>2038</v>
      </c>
      <c r="W93" s="10">
        <v>2039</v>
      </c>
      <c r="X93" s="10">
        <v>2040</v>
      </c>
      <c r="Y93" s="10">
        <v>2041</v>
      </c>
      <c r="Z93" s="10">
        <v>2042</v>
      </c>
      <c r="AA93" s="10">
        <v>2043</v>
      </c>
    </row>
    <row r="94" spans="1:27" x14ac:dyDescent="0.25">
      <c r="B94" s="14" t="s">
        <v>107</v>
      </c>
      <c r="C94" s="5"/>
      <c r="D94" s="5">
        <v>0</v>
      </c>
      <c r="E94" s="5">
        <v>0</v>
      </c>
      <c r="F94" s="5">
        <v>0</v>
      </c>
      <c r="G94" s="5">
        <v>0</v>
      </c>
      <c r="H94" s="23">
        <f>+'Demanda Regional'!V33</f>
        <v>364971553.3941856</v>
      </c>
      <c r="I94" s="23">
        <f>+'Demanda Regional'!W33</f>
        <v>379902292.68140113</v>
      </c>
      <c r="J94" s="23">
        <f>+'Demanda Regional'!X33</f>
        <v>393816943.85468251</v>
      </c>
      <c r="K94" s="23">
        <f>+'Demanda Regional'!Y33</f>
        <v>420874054.52068484</v>
      </c>
      <c r="L94" s="23">
        <f>+'Demanda Regional'!Z33</f>
        <v>428435474.5713678</v>
      </c>
      <c r="M94" s="23">
        <f>+'Demanda Regional'!AA33</f>
        <v>426950587.90087432</v>
      </c>
      <c r="N94" s="23">
        <f>+'Demanda Regional'!AB33</f>
        <v>463927350.12420291</v>
      </c>
      <c r="O94" s="23">
        <f>+'Demanda Regional'!AC33</f>
        <v>463953911.62936938</v>
      </c>
      <c r="P94" s="23">
        <f>+'Demanda Regional'!AD33</f>
        <v>455842428.42557997</v>
      </c>
      <c r="Q94" s="23">
        <f>+'Demanda Regional'!AE33</f>
        <v>476295467.93892372</v>
      </c>
      <c r="R94" s="23">
        <f>+'Demanda Regional'!AF33</f>
        <v>476295467.93892372</v>
      </c>
      <c r="S94" s="23">
        <f>+'Demanda Regional'!AG33</f>
        <v>476295467.93892372</v>
      </c>
      <c r="T94" s="23">
        <f>+'Demanda Regional'!AH33</f>
        <v>476295467.93892372</v>
      </c>
      <c r="U94" s="23">
        <f>+'Demanda Regional'!AI33</f>
        <v>476295467.93892372</v>
      </c>
      <c r="V94" s="23">
        <f>+'Demanda Regional'!AJ33</f>
        <v>476295467.93892372</v>
      </c>
      <c r="W94" s="23">
        <f>+'Demanda Regional'!AK33</f>
        <v>476295467.93892372</v>
      </c>
      <c r="X94" s="23">
        <f>+'Demanda Regional'!AL33</f>
        <v>476295467.93892372</v>
      </c>
      <c r="Y94" s="23">
        <f>+'Demanda Regional'!AM33</f>
        <v>476295467.93892372</v>
      </c>
      <c r="Z94" s="23">
        <f>+'Demanda Regional'!AN33</f>
        <v>476295467.93892372</v>
      </c>
      <c r="AA94" s="23">
        <f>+'Demanda Regional'!AO33</f>
        <v>476295467.93892372</v>
      </c>
    </row>
    <row r="95" spans="1:27" x14ac:dyDescent="0.25">
      <c r="B95" t="s">
        <v>29</v>
      </c>
      <c r="C95" s="5">
        <f>(C94)/(1+$G$2)^C92</f>
        <v>0</v>
      </c>
      <c r="D95" s="5">
        <v>0</v>
      </c>
      <c r="E95" s="5">
        <v>0</v>
      </c>
      <c r="F95" s="5">
        <v>0</v>
      </c>
      <c r="G95" s="5">
        <v>0</v>
      </c>
      <c r="H95" s="5">
        <f t="shared" ref="H95:AA95" si="15">(H94)/(1+$G$2)^H92</f>
        <v>200297838.77340516</v>
      </c>
      <c r="I95" s="5">
        <f t="shared" si="15"/>
        <v>184915199.84374371</v>
      </c>
      <c r="J95" s="5">
        <f t="shared" si="15"/>
        <v>170011595.75791845</v>
      </c>
      <c r="K95" s="5">
        <f t="shared" si="15"/>
        <v>161146081.45955673</v>
      </c>
      <c r="L95" s="5">
        <f t="shared" si="15"/>
        <v>145491113.72852746</v>
      </c>
      <c r="M95" s="5">
        <f t="shared" si="15"/>
        <v>128591455.01715051</v>
      </c>
      <c r="N95" s="5">
        <f t="shared" si="15"/>
        <v>123927566.10572116</v>
      </c>
      <c r="O95" s="5">
        <f t="shared" si="15"/>
        <v>109919877.07625677</v>
      </c>
      <c r="P95" s="5">
        <f t="shared" si="15"/>
        <v>95785459.812325165</v>
      </c>
      <c r="Q95" s="5">
        <f t="shared" si="15"/>
        <v>88765609.900840968</v>
      </c>
      <c r="R95" s="5">
        <f t="shared" si="15"/>
        <v>78727813.659282476</v>
      </c>
      <c r="S95" s="5">
        <f t="shared" si="15"/>
        <v>69825111.892933458</v>
      </c>
      <c r="T95" s="5">
        <f t="shared" si="15"/>
        <v>61929145.803045191</v>
      </c>
      <c r="U95" s="5">
        <f t="shared" si="15"/>
        <v>54926071.665672012</v>
      </c>
      <c r="V95" s="5">
        <f t="shared" si="15"/>
        <v>48714919.43740312</v>
      </c>
      <c r="W95" s="5">
        <f t="shared" si="15"/>
        <v>43206136.973306529</v>
      </c>
      <c r="X95" s="5">
        <f t="shared" si="15"/>
        <v>38320298.867677636</v>
      </c>
      <c r="Y95" s="5">
        <f t="shared" si="15"/>
        <v>33986961.301709659</v>
      </c>
      <c r="Z95" s="5">
        <f t="shared" si="15"/>
        <v>30143646.387325644</v>
      </c>
      <c r="AA95" s="5">
        <f t="shared" si="15"/>
        <v>26734941.363481719</v>
      </c>
    </row>
    <row r="96" spans="1:27" ht="18.75" x14ac:dyDescent="0.3">
      <c r="B96" t="s">
        <v>30</v>
      </c>
      <c r="C96" s="11">
        <f>SUM(C95:AA95)</f>
        <v>1895366844.8272836</v>
      </c>
    </row>
    <row r="99" spans="2:3" x14ac:dyDescent="0.25">
      <c r="B99" s="12" t="s">
        <v>41</v>
      </c>
    </row>
    <row r="100" spans="2:3" ht="18.75" x14ac:dyDescent="0.3">
      <c r="B100" s="10" t="s">
        <v>31</v>
      </c>
      <c r="C100" s="116">
        <f>+C88/C96</f>
        <v>2.3547760139171311E-2</v>
      </c>
    </row>
    <row r="101" spans="2:3" x14ac:dyDescent="0.25">
      <c r="B101" s="1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zoomScale="85" zoomScaleNormal="85" workbookViewId="0">
      <pane ySplit="2" topLeftCell="A3" activePane="bottomLeft" state="frozen"/>
      <selection pane="bottomLeft" activeCell="E8" sqref="E8"/>
    </sheetView>
  </sheetViews>
  <sheetFormatPr baseColWidth="10" defaultRowHeight="15" x14ac:dyDescent="0.25"/>
  <cols>
    <col min="1" max="1" width="6.28515625" customWidth="1"/>
    <col min="2" max="2" width="26.140625" bestFit="1" customWidth="1"/>
    <col min="3" max="3" width="23.28515625" bestFit="1" customWidth="1"/>
    <col min="4" max="4" width="15.140625" bestFit="1" customWidth="1"/>
    <col min="5" max="5" width="15.7109375" bestFit="1" customWidth="1"/>
    <col min="6" max="6" width="17.140625" bestFit="1" customWidth="1"/>
    <col min="7" max="7" width="15.7109375" bestFit="1" customWidth="1"/>
    <col min="8" max="8" width="16.28515625" bestFit="1" customWidth="1"/>
    <col min="9" max="24" width="15.7109375" bestFit="1" customWidth="1"/>
  </cols>
  <sheetData>
    <row r="1" spans="1:24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4" x14ac:dyDescent="0.25">
      <c r="A2" s="139"/>
      <c r="B2" t="s">
        <v>95</v>
      </c>
      <c r="C2" s="22" t="s">
        <v>128</v>
      </c>
      <c r="D2" s="4">
        <v>0.03</v>
      </c>
      <c r="E2" s="144">
        <v>5</v>
      </c>
      <c r="F2" s="144">
        <v>2021</v>
      </c>
      <c r="G2" s="4">
        <v>0.1275</v>
      </c>
    </row>
    <row r="5" spans="1:24" x14ac:dyDescent="0.25"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</row>
    <row r="6" spans="1:24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</row>
    <row r="7" spans="1:24" x14ac:dyDescent="0.25">
      <c r="B7" t="s">
        <v>24</v>
      </c>
      <c r="E7" s="150">
        <f>+E2</f>
        <v>5</v>
      </c>
    </row>
    <row r="8" spans="1:24" x14ac:dyDescent="0.25">
      <c r="B8" t="s">
        <v>25</v>
      </c>
      <c r="C8" s="5"/>
      <c r="D8" s="5"/>
      <c r="E8" s="5">
        <f t="shared" ref="E8:G8" si="0">$E$7*$D$2</f>
        <v>0.15</v>
      </c>
      <c r="F8" s="5">
        <f t="shared" si="0"/>
        <v>0.15</v>
      </c>
      <c r="G8" s="5">
        <f t="shared" si="0"/>
        <v>0.15</v>
      </c>
      <c r="H8" s="5">
        <f t="shared" ref="H8:X8" si="1">$E$7*$D$2</f>
        <v>0.15</v>
      </c>
      <c r="I8" s="5">
        <f t="shared" si="1"/>
        <v>0.15</v>
      </c>
      <c r="J8" s="5">
        <f t="shared" si="1"/>
        <v>0.15</v>
      </c>
      <c r="K8" s="5">
        <f t="shared" si="1"/>
        <v>0.15</v>
      </c>
      <c r="L8" s="5">
        <f t="shared" si="1"/>
        <v>0.15</v>
      </c>
      <c r="M8" s="5">
        <f t="shared" si="1"/>
        <v>0.15</v>
      </c>
      <c r="N8" s="5">
        <f t="shared" si="1"/>
        <v>0.15</v>
      </c>
      <c r="O8" s="5">
        <f t="shared" si="1"/>
        <v>0.15</v>
      </c>
      <c r="P8" s="5">
        <f t="shared" si="1"/>
        <v>0.15</v>
      </c>
      <c r="Q8" s="5">
        <f t="shared" si="1"/>
        <v>0.15</v>
      </c>
      <c r="R8" s="5">
        <f t="shared" si="1"/>
        <v>0.15</v>
      </c>
      <c r="S8" s="5">
        <f t="shared" si="1"/>
        <v>0.15</v>
      </c>
      <c r="T8" s="5">
        <f t="shared" si="1"/>
        <v>0.15</v>
      </c>
      <c r="U8" s="5">
        <f t="shared" si="1"/>
        <v>0.15</v>
      </c>
      <c r="V8" s="5">
        <f t="shared" si="1"/>
        <v>0.15</v>
      </c>
      <c r="W8" s="5">
        <f t="shared" si="1"/>
        <v>0.15</v>
      </c>
      <c r="X8" s="5">
        <f t="shared" si="1"/>
        <v>0.15</v>
      </c>
    </row>
    <row r="9" spans="1:24" x14ac:dyDescent="0.25">
      <c r="B9" t="s">
        <v>26</v>
      </c>
      <c r="C9" s="5">
        <f>(C8/(1+$G$2)^C5)+(C7/(1+$G$2)^C5)</f>
        <v>0</v>
      </c>
      <c r="D9" s="5">
        <f t="shared" ref="D9" si="2">(D8/(1+$G$2)^D5)+(D7/(1+$G$2)^D5)</f>
        <v>0</v>
      </c>
      <c r="E9" s="5">
        <f>(E8/(1+$G$2)^E5)+(E7/(1+$G$2)^E5)</f>
        <v>4.0511108598286141</v>
      </c>
      <c r="F9" s="5">
        <f t="shared" ref="F9:X9" si="3">(F8/(1+$G$2)^F5)+(F7/(1+$G$2)^F5)</f>
        <v>0.10465057222987402</v>
      </c>
      <c r="G9" s="5">
        <f t="shared" si="3"/>
        <v>9.2816472044234155E-2</v>
      </c>
      <c r="H9" s="5">
        <f t="shared" si="3"/>
        <v>8.2320596048101255E-2</v>
      </c>
      <c r="I9" s="5">
        <f t="shared" si="3"/>
        <v>7.3011615120267187E-2</v>
      </c>
      <c r="J9" s="5">
        <f t="shared" si="3"/>
        <v>6.4755312745248067E-2</v>
      </c>
      <c r="K9" s="5">
        <f t="shared" si="3"/>
        <v>5.7432649884920681E-2</v>
      </c>
      <c r="L9" s="5">
        <f t="shared" si="3"/>
        <v>5.0938048678421888E-2</v>
      </c>
      <c r="M9" s="5">
        <f t="shared" si="3"/>
        <v>4.5177870224764424E-2</v>
      </c>
      <c r="N9" s="5">
        <f t="shared" si="3"/>
        <v>4.0069064500899719E-2</v>
      </c>
      <c r="O9" s="5">
        <f t="shared" si="3"/>
        <v>3.5537972949800184E-2</v>
      </c>
      <c r="P9" s="5">
        <f t="shared" si="3"/>
        <v>3.1519266474323897E-2</v>
      </c>
      <c r="Q9" s="5">
        <f t="shared" si="3"/>
        <v>2.7955003524899238E-2</v>
      </c>
      <c r="R9" s="5">
        <f t="shared" si="3"/>
        <v>2.4793794700575827E-2</v>
      </c>
      <c r="S9" s="5">
        <f t="shared" si="3"/>
        <v>2.1990061818692529E-2</v>
      </c>
      <c r="T9" s="5">
        <f t="shared" si="3"/>
        <v>1.9503380770459006E-2</v>
      </c>
      <c r="U9" s="5">
        <f t="shared" si="3"/>
        <v>1.7297898687768518E-2</v>
      </c>
      <c r="V9" s="5">
        <f t="shared" si="3"/>
        <v>1.5341817017976515E-2</v>
      </c>
      <c r="W9" s="5">
        <f t="shared" si="3"/>
        <v>1.3606933053637707E-2</v>
      </c>
      <c r="X9" s="5">
        <f t="shared" si="3"/>
        <v>1.2068233306995749E-2</v>
      </c>
    </row>
    <row r="10" spans="1:24" ht="18.75" x14ac:dyDescent="0.3">
      <c r="B10" t="s">
        <v>27</v>
      </c>
      <c r="C10" s="11">
        <f>SUM(C9:X9)*1000000</f>
        <v>4881897.4236104721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4" ht="16.5" customHeight="1" x14ac:dyDescent="0.25">
      <c r="C11" s="20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24" x14ac:dyDescent="0.25">
      <c r="C12" s="1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4" x14ac:dyDescent="0.25">
      <c r="C14" s="10">
        <v>0</v>
      </c>
      <c r="D14" s="10">
        <v>1</v>
      </c>
      <c r="E14" s="28">
        <v>2</v>
      </c>
      <c r="F14" s="10">
        <v>3</v>
      </c>
      <c r="G14" s="10">
        <v>4</v>
      </c>
      <c r="H14" s="10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</row>
    <row r="15" spans="1:24" x14ac:dyDescent="0.25">
      <c r="A15" s="10"/>
      <c r="B15" s="12" t="s">
        <v>28</v>
      </c>
      <c r="C15" s="10">
        <v>2019</v>
      </c>
      <c r="D15" s="10">
        <v>2020</v>
      </c>
      <c r="E15" s="28">
        <v>2021</v>
      </c>
      <c r="F15" s="10">
        <v>2022</v>
      </c>
      <c r="G15" s="10">
        <v>2023</v>
      </c>
      <c r="H15" s="10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</row>
    <row r="16" spans="1:24" x14ac:dyDescent="0.25">
      <c r="A16">
        <v>2024</v>
      </c>
      <c r="B16" s="14" t="s">
        <v>108</v>
      </c>
      <c r="C16" s="5"/>
      <c r="D16" s="5"/>
      <c r="E16" s="108">
        <f>+'Demanda Regional'!S18</f>
        <v>135637946.86896342</v>
      </c>
      <c r="F16" s="108">
        <f>+'Demanda Regional'!T18</f>
        <v>134597137.35850054</v>
      </c>
      <c r="G16" s="108">
        <f>+'Demanda Regional'!U18</f>
        <v>120015583.01752979</v>
      </c>
      <c r="H16" s="108">
        <f>+'Demanda Regional'!V18</f>
        <v>133142897.0861394</v>
      </c>
      <c r="I16" s="108">
        <f>+'Demanda Regional'!W18</f>
        <v>137920733.65804839</v>
      </c>
      <c r="J16" s="108">
        <f>+'Demanda Regional'!X18</f>
        <v>142373422.03349841</v>
      </c>
      <c r="K16" s="108">
        <f>+'Demanda Regional'!Y18</f>
        <v>151031697.44661915</v>
      </c>
      <c r="L16" s="108">
        <f>+'Demanda Regional'!Z18</f>
        <v>153451351.8628377</v>
      </c>
      <c r="M16" s="108">
        <f>+'Demanda Regional'!AA18</f>
        <v>152976188.12827978</v>
      </c>
      <c r="N16" s="108">
        <f>+'Demanda Regional'!AB18</f>
        <v>164808752.03974497</v>
      </c>
      <c r="O16" s="108">
        <f>+'Demanda Regional'!AC18</f>
        <v>164817251.7213982</v>
      </c>
      <c r="P16" s="108">
        <f>+'Demanda Regional'!AD18</f>
        <v>162221577.09618559</v>
      </c>
      <c r="Q16" s="108">
        <f>+'Demanda Regional'!AE18</f>
        <v>168766549.74045557</v>
      </c>
      <c r="R16" s="108">
        <f>+'Demanda Regional'!AF18</f>
        <v>168766549.74045557</v>
      </c>
      <c r="S16" s="108">
        <f>+'Demanda Regional'!AG18</f>
        <v>168766549.74045557</v>
      </c>
      <c r="T16" s="108">
        <f>+'Demanda Regional'!AH18</f>
        <v>168766549.74045557</v>
      </c>
      <c r="U16" s="108">
        <f>+'Demanda Regional'!AI18</f>
        <v>168766549.74045557</v>
      </c>
      <c r="V16" s="108">
        <f>+'Demanda Regional'!AJ18</f>
        <v>168766549.74045557</v>
      </c>
      <c r="W16" s="108">
        <f>+'Demanda Regional'!AK18</f>
        <v>168766549.74045557</v>
      </c>
      <c r="X16" s="108">
        <f>+'Demanda Regional'!AL18</f>
        <v>168766549.74045557</v>
      </c>
    </row>
    <row r="17" spans="1:24" x14ac:dyDescent="0.25">
      <c r="A17">
        <v>2043</v>
      </c>
      <c r="B17" t="s">
        <v>29</v>
      </c>
      <c r="C17" s="5">
        <f>(C16)/(1+$G$2)^C14</f>
        <v>0</v>
      </c>
      <c r="D17" s="5">
        <f t="shared" ref="D17:X17" si="4">(D16)/(1+$G$2)^D14</f>
        <v>0</v>
      </c>
      <c r="E17" s="5">
        <f t="shared" si="4"/>
        <v>106695992.1486824</v>
      </c>
      <c r="F17" s="5">
        <f t="shared" si="4"/>
        <v>93904449.633800238</v>
      </c>
      <c r="G17" s="5">
        <f t="shared" si="4"/>
        <v>74262820.040126786</v>
      </c>
      <c r="H17" s="5">
        <f t="shared" si="4"/>
        <v>73069350.984679997</v>
      </c>
      <c r="I17" s="5">
        <f t="shared" si="4"/>
        <v>67132103.486308739</v>
      </c>
      <c r="J17" s="5">
        <f t="shared" si="4"/>
        <v>61462903.13593588</v>
      </c>
      <c r="K17" s="5">
        <f t="shared" si="4"/>
        <v>57827670.673179641</v>
      </c>
      <c r="L17" s="5">
        <f t="shared" si="4"/>
        <v>52110082.873059154</v>
      </c>
      <c r="M17" s="5">
        <f t="shared" si="4"/>
        <v>46074255.831590481</v>
      </c>
      <c r="N17" s="5">
        <f t="shared" si="4"/>
        <v>44024883.438622199</v>
      </c>
      <c r="O17" s="5">
        <f t="shared" si="4"/>
        <v>39048473.555569723</v>
      </c>
      <c r="P17" s="5">
        <f t="shared" si="4"/>
        <v>34087367.442531683</v>
      </c>
      <c r="Q17" s="5">
        <f t="shared" si="4"/>
        <v>31452463.285863455</v>
      </c>
      <c r="R17" s="5">
        <f t="shared" si="4"/>
        <v>27895754.577262495</v>
      </c>
      <c r="S17" s="5">
        <f t="shared" si="4"/>
        <v>24741245.744800437</v>
      </c>
      <c r="T17" s="5">
        <f t="shared" si="4"/>
        <v>21943455.206031431</v>
      </c>
      <c r="U17" s="5">
        <f t="shared" si="4"/>
        <v>19462044.528630979</v>
      </c>
      <c r="V17" s="5">
        <f t="shared" si="4"/>
        <v>17261236.832488675</v>
      </c>
      <c r="W17" s="5">
        <f t="shared" si="4"/>
        <v>15309300.960078647</v>
      </c>
      <c r="X17" s="5">
        <f t="shared" si="4"/>
        <v>13578093.977896806</v>
      </c>
    </row>
    <row r="18" spans="1:24" x14ac:dyDescent="0.25">
      <c r="B18" t="s">
        <v>73</v>
      </c>
      <c r="C18" s="5"/>
      <c r="D18" s="5">
        <v>0</v>
      </c>
      <c r="E18" s="5">
        <f>+'Demanda Regional'!S14</f>
        <v>423868583.96551085</v>
      </c>
      <c r="F18" s="5">
        <f>+'Demanda Regional'!T14</f>
        <v>420616054.24531424</v>
      </c>
      <c r="G18" s="5">
        <f>+'Demanda Regional'!U14</f>
        <v>375048696.9297806</v>
      </c>
      <c r="H18" s="5">
        <f>+'Demanda Regional'!V14</f>
        <v>416071553.3941856</v>
      </c>
      <c r="I18" s="5">
        <f>+'Demanda Regional'!W14</f>
        <v>431002292.68140113</v>
      </c>
      <c r="J18" s="5">
        <f>+'Demanda Regional'!X14</f>
        <v>444916943.85468256</v>
      </c>
      <c r="K18" s="5">
        <f>+'Demanda Regional'!Y14</f>
        <v>471974054.52068484</v>
      </c>
      <c r="L18" s="5">
        <f>+'Demanda Regional'!Z14</f>
        <v>479535474.5713678</v>
      </c>
      <c r="M18" s="5">
        <f>+'Demanda Regional'!AA14</f>
        <v>478050587.90087432</v>
      </c>
      <c r="N18" s="5">
        <f>+'Demanda Regional'!AB14</f>
        <v>515027350.12420291</v>
      </c>
      <c r="O18" s="5">
        <f>+'Demanda Regional'!AC14</f>
        <v>515053911.62936938</v>
      </c>
      <c r="P18" s="5">
        <f>+'Demanda Regional'!AD14</f>
        <v>506942428.42558002</v>
      </c>
      <c r="Q18" s="5">
        <f>+'Demanda Regional'!AE14</f>
        <v>527395467.93892372</v>
      </c>
      <c r="R18" s="5">
        <f>+'Demanda Regional'!AF14</f>
        <v>527395467.93892372</v>
      </c>
      <c r="S18" s="5">
        <f>+'Demanda Regional'!AG14</f>
        <v>527395467.93892372</v>
      </c>
      <c r="T18" s="5">
        <f>+'Demanda Regional'!AH14</f>
        <v>527395467.93892372</v>
      </c>
      <c r="U18" s="5">
        <f>+'Demanda Regional'!AI14</f>
        <v>527395467.93892372</v>
      </c>
      <c r="V18" s="5">
        <f>+'Demanda Regional'!AJ14</f>
        <v>527395467.93892372</v>
      </c>
      <c r="W18" s="5">
        <f>+'Demanda Regional'!AK14</f>
        <v>527395467.93892372</v>
      </c>
      <c r="X18" s="5">
        <f>+'Demanda Regional'!AL14</f>
        <v>527395467.93892372</v>
      </c>
    </row>
    <row r="19" spans="1:24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8.75" x14ac:dyDescent="0.3">
      <c r="B20" t="s">
        <v>74</v>
      </c>
      <c r="C20" s="11">
        <f>SUM(E17:X17)</f>
        <v>921343948.35713995</v>
      </c>
    </row>
    <row r="21" spans="1:24" ht="18.75" x14ac:dyDescent="0.3">
      <c r="B21" t="s">
        <v>75</v>
      </c>
      <c r="C21" s="11">
        <f>+NPV(G2,D18:X18)</f>
        <v>2879199838.6160631</v>
      </c>
      <c r="E21" s="10"/>
    </row>
    <row r="22" spans="1:24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5">
      <c r="B25" s="12" t="s">
        <v>41</v>
      </c>
      <c r="E25" s="10"/>
    </row>
    <row r="26" spans="1:24" x14ac:dyDescent="0.25">
      <c r="B26" s="10" t="s">
        <v>31</v>
      </c>
      <c r="E26" s="10"/>
    </row>
    <row r="27" spans="1:24" ht="18.75" x14ac:dyDescent="0.3">
      <c r="B27" s="10" t="s">
        <v>76</v>
      </c>
      <c r="C27" s="21">
        <f>+C10/C20</f>
        <v>5.2986698749315558E-3</v>
      </c>
      <c r="D27" s="10"/>
      <c r="E27" s="10"/>
    </row>
    <row r="28" spans="1:24" ht="18.75" x14ac:dyDescent="0.3">
      <c r="B28" t="s">
        <v>77</v>
      </c>
      <c r="C28" s="21">
        <f>+C10/C21</f>
        <v>1.6955743599780973E-3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showGridLines="0" zoomScale="85" zoomScaleNormal="85" workbookViewId="0">
      <pane ySplit="2" topLeftCell="A3" activePane="bottomLeft" state="frozen"/>
      <selection pane="bottomLeft" activeCell="E7" sqref="E7"/>
    </sheetView>
  </sheetViews>
  <sheetFormatPr baseColWidth="10" defaultRowHeight="15" x14ac:dyDescent="0.25"/>
  <cols>
    <col min="1" max="1" width="8.85546875" customWidth="1"/>
    <col min="2" max="2" width="26.140625" bestFit="1" customWidth="1"/>
    <col min="3" max="3" width="23.28515625" bestFit="1" customWidth="1"/>
    <col min="4" max="4" width="15.140625" bestFit="1" customWidth="1"/>
    <col min="5" max="5" width="15.7109375" bestFit="1" customWidth="1"/>
    <col min="6" max="6" width="17.140625" bestFit="1" customWidth="1"/>
    <col min="7" max="7" width="15.7109375" bestFit="1" customWidth="1"/>
    <col min="8" max="8" width="16.28515625" bestFit="1" customWidth="1"/>
    <col min="9" max="24" width="15.7109375" bestFit="1" customWidth="1"/>
  </cols>
  <sheetData>
    <row r="1" spans="1:24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4" x14ac:dyDescent="0.25">
      <c r="A2" s="139"/>
      <c r="B2" t="s">
        <v>129</v>
      </c>
      <c r="C2" s="22" t="s">
        <v>70</v>
      </c>
      <c r="D2" s="2">
        <v>0.03</v>
      </c>
      <c r="E2">
        <v>90</v>
      </c>
      <c r="F2">
        <v>2021</v>
      </c>
      <c r="G2" s="2">
        <v>0.1275</v>
      </c>
    </row>
    <row r="5" spans="1:24" x14ac:dyDescent="0.25"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</row>
    <row r="6" spans="1:24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</row>
    <row r="7" spans="1:24" x14ac:dyDescent="0.25">
      <c r="B7" t="s">
        <v>24</v>
      </c>
      <c r="E7" s="150">
        <f>+E2</f>
        <v>90</v>
      </c>
    </row>
    <row r="8" spans="1:24" x14ac:dyDescent="0.25">
      <c r="B8" t="s">
        <v>25</v>
      </c>
      <c r="C8" s="5"/>
      <c r="D8" s="5"/>
      <c r="E8" s="5">
        <f t="shared" ref="E8:G8" si="0">$E$7*$D$2</f>
        <v>2.6999999999999997</v>
      </c>
      <c r="F8" s="5">
        <f t="shared" si="0"/>
        <v>2.6999999999999997</v>
      </c>
      <c r="G8" s="5">
        <f t="shared" si="0"/>
        <v>2.6999999999999997</v>
      </c>
      <c r="H8" s="5">
        <f t="shared" ref="H8:X8" si="1">$E$7*$D$2</f>
        <v>2.6999999999999997</v>
      </c>
      <c r="I8" s="5">
        <f t="shared" si="1"/>
        <v>2.6999999999999997</v>
      </c>
      <c r="J8" s="5">
        <f t="shared" si="1"/>
        <v>2.6999999999999997</v>
      </c>
      <c r="K8" s="5">
        <f t="shared" si="1"/>
        <v>2.6999999999999997</v>
      </c>
      <c r="L8" s="5">
        <f t="shared" si="1"/>
        <v>2.6999999999999997</v>
      </c>
      <c r="M8" s="5">
        <f t="shared" si="1"/>
        <v>2.6999999999999997</v>
      </c>
      <c r="N8" s="5">
        <f t="shared" si="1"/>
        <v>2.6999999999999997</v>
      </c>
      <c r="O8" s="5">
        <f t="shared" si="1"/>
        <v>2.6999999999999997</v>
      </c>
      <c r="P8" s="5">
        <f t="shared" si="1"/>
        <v>2.6999999999999997</v>
      </c>
      <c r="Q8" s="5">
        <f t="shared" si="1"/>
        <v>2.6999999999999997</v>
      </c>
      <c r="R8" s="5">
        <f t="shared" si="1"/>
        <v>2.6999999999999997</v>
      </c>
      <c r="S8" s="5">
        <f t="shared" si="1"/>
        <v>2.6999999999999997</v>
      </c>
      <c r="T8" s="5">
        <f t="shared" si="1"/>
        <v>2.6999999999999997</v>
      </c>
      <c r="U8" s="5">
        <f t="shared" si="1"/>
        <v>2.6999999999999997</v>
      </c>
      <c r="V8" s="5">
        <f t="shared" si="1"/>
        <v>2.6999999999999997</v>
      </c>
      <c r="W8" s="5">
        <f t="shared" si="1"/>
        <v>2.6999999999999997</v>
      </c>
      <c r="X8" s="5">
        <f t="shared" si="1"/>
        <v>2.6999999999999997</v>
      </c>
    </row>
    <row r="9" spans="1:24" x14ac:dyDescent="0.25">
      <c r="B9" t="s">
        <v>26</v>
      </c>
      <c r="C9" s="5">
        <f>(C8/(1+$G$2)^C5)+(C7/(1+$G$2)^C5)</f>
        <v>0</v>
      </c>
      <c r="D9" s="5">
        <f t="shared" ref="D9" si="2">(D8/(1+$G$2)^D5)+(D7/(1+$G$2)^D5)</f>
        <v>0</v>
      </c>
      <c r="E9" s="5">
        <f>(E8/(1+$G$2)^E5)+(E7/(1+$G$2)^E5)</f>
        <v>72.919995476915062</v>
      </c>
      <c r="F9" s="5">
        <f t="shared" ref="F9:X9" si="3">(F8/(1+$G$2)^F5)+(F7/(1+$G$2)^F5)</f>
        <v>1.8837103001377322</v>
      </c>
      <c r="G9" s="5">
        <f t="shared" si="3"/>
        <v>1.6706964967962148</v>
      </c>
      <c r="H9" s="5">
        <f t="shared" si="3"/>
        <v>1.4817707288658224</v>
      </c>
      <c r="I9" s="5">
        <f t="shared" si="3"/>
        <v>1.3142090721648092</v>
      </c>
      <c r="J9" s="5">
        <f t="shared" si="3"/>
        <v>1.1655956294144652</v>
      </c>
      <c r="K9" s="5">
        <f t="shared" si="3"/>
        <v>1.0337876979285721</v>
      </c>
      <c r="L9" s="5">
        <f t="shared" si="3"/>
        <v>0.91688487621159398</v>
      </c>
      <c r="M9" s="5">
        <f t="shared" si="3"/>
        <v>0.81320166404575955</v>
      </c>
      <c r="N9" s="5">
        <f t="shared" si="3"/>
        <v>0.7212431610161949</v>
      </c>
      <c r="O9" s="5">
        <f t="shared" si="3"/>
        <v>0.63968351309640337</v>
      </c>
      <c r="P9" s="5">
        <f t="shared" si="3"/>
        <v>0.56734679653783016</v>
      </c>
      <c r="Q9" s="5">
        <f t="shared" si="3"/>
        <v>0.50319006344818629</v>
      </c>
      <c r="R9" s="5">
        <f t="shared" si="3"/>
        <v>0.44628830461036484</v>
      </c>
      <c r="S9" s="5">
        <f t="shared" si="3"/>
        <v>0.39582111273646547</v>
      </c>
      <c r="T9" s="5">
        <f t="shared" si="3"/>
        <v>0.35106085386826208</v>
      </c>
      <c r="U9" s="5">
        <f t="shared" si="3"/>
        <v>0.31136217637983332</v>
      </c>
      <c r="V9" s="5">
        <f t="shared" si="3"/>
        <v>0.27615270632357725</v>
      </c>
      <c r="W9" s="5">
        <f t="shared" si="3"/>
        <v>0.2449247949654787</v>
      </c>
      <c r="X9" s="5">
        <f t="shared" si="3"/>
        <v>0.21722819952592348</v>
      </c>
    </row>
    <row r="10" spans="1:24" ht="18.75" x14ac:dyDescent="0.3">
      <c r="B10" t="s">
        <v>27</v>
      </c>
      <c r="C10" s="11">
        <f>SUM(C9:X9)*1000000</f>
        <v>87874153.624988571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4" ht="16.5" customHeight="1" x14ac:dyDescent="0.25">
      <c r="C11" s="20"/>
    </row>
    <row r="12" spans="1:24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4" x14ac:dyDescent="0.25">
      <c r="C14" s="10">
        <v>0</v>
      </c>
      <c r="D14" s="10">
        <v>1</v>
      </c>
      <c r="E14" s="28">
        <v>2</v>
      </c>
      <c r="F14" s="10">
        <v>3</v>
      </c>
      <c r="G14" s="10">
        <v>4</v>
      </c>
      <c r="H14" s="10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</row>
    <row r="15" spans="1:24" x14ac:dyDescent="0.25">
      <c r="A15" s="10"/>
      <c r="B15" s="12" t="s">
        <v>28</v>
      </c>
      <c r="C15" s="10">
        <v>2019</v>
      </c>
      <c r="D15" s="10">
        <v>2020</v>
      </c>
      <c r="E15" s="28">
        <v>2021</v>
      </c>
      <c r="F15" s="10">
        <v>2022</v>
      </c>
      <c r="G15" s="10">
        <v>2023</v>
      </c>
      <c r="H15" s="10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</row>
    <row r="16" spans="1:24" x14ac:dyDescent="0.25">
      <c r="A16">
        <v>2024</v>
      </c>
      <c r="B16" s="14" t="s">
        <v>78</v>
      </c>
      <c r="C16" s="5"/>
      <c r="D16" s="5"/>
      <c r="E16" s="108">
        <f>+'Demanda Regional'!S17</f>
        <v>288230637.09654737</v>
      </c>
      <c r="F16" s="108">
        <f>+'Demanda Regional'!T17</f>
        <v>286018916.88681364</v>
      </c>
      <c r="G16" s="108">
        <f>+'Demanda Regional'!U17</f>
        <v>255033113.91225082</v>
      </c>
      <c r="H16" s="108">
        <f>+'Demanda Regional'!V17</f>
        <v>282928656.30804622</v>
      </c>
      <c r="I16" s="108">
        <f>+'Demanda Regional'!W17</f>
        <v>293081559.02335274</v>
      </c>
      <c r="J16" s="108">
        <f>+'Demanda Regional'!X17</f>
        <v>302543521.8211841</v>
      </c>
      <c r="K16" s="108">
        <f>+'Demanda Regional'!Y17</f>
        <v>320942357.07406569</v>
      </c>
      <c r="L16" s="108">
        <f>+'Demanda Regional'!Z17</f>
        <v>326084122.70853013</v>
      </c>
      <c r="M16" s="108">
        <f>+'Demanda Regional'!AA17</f>
        <v>325074399.77259445</v>
      </c>
      <c r="N16" s="108">
        <f>+'Demanda Regional'!AB17</f>
        <v>350218598.08445805</v>
      </c>
      <c r="O16" s="108">
        <f>+'Demanda Regional'!AC17</f>
        <v>350236659.90797114</v>
      </c>
      <c r="P16" s="108">
        <f>+'Demanda Regional'!AD17</f>
        <v>344720851.32939446</v>
      </c>
      <c r="Q16" s="108">
        <f>+'Demanda Regional'!AE17</f>
        <v>358628918.19846815</v>
      </c>
      <c r="R16" s="108">
        <f>+'Demanda Regional'!AF17</f>
        <v>358628918.19846815</v>
      </c>
      <c r="S16" s="108">
        <f>+'Demanda Regional'!AG17</f>
        <v>358628918.19846815</v>
      </c>
      <c r="T16" s="108">
        <f>+'Demanda Regional'!AH17</f>
        <v>358628918.19846815</v>
      </c>
      <c r="U16" s="108">
        <f>+'Demanda Regional'!AI17</f>
        <v>358628918.19846815</v>
      </c>
      <c r="V16" s="108">
        <f>+'Demanda Regional'!AJ17</f>
        <v>358628918.19846815</v>
      </c>
      <c r="W16" s="108">
        <f>+'Demanda Regional'!AK17</f>
        <v>358628918.19846815</v>
      </c>
      <c r="X16" s="108">
        <f>+'Demanda Regional'!AL17</f>
        <v>358628918.19846815</v>
      </c>
    </row>
    <row r="17" spans="1:24" x14ac:dyDescent="0.25">
      <c r="A17">
        <v>2043</v>
      </c>
      <c r="B17" t="s">
        <v>29</v>
      </c>
      <c r="C17" s="5">
        <f>(C16)/(1+$G$2)^C14</f>
        <v>0</v>
      </c>
      <c r="D17" s="5">
        <f t="shared" ref="D17:X17" si="4">(D16)/(1+$G$2)^D14</f>
        <v>0</v>
      </c>
      <c r="E17" s="5">
        <f t="shared" si="4"/>
        <v>226728983.31595016</v>
      </c>
      <c r="F17" s="5">
        <f t="shared" si="4"/>
        <v>199546955.47182551</v>
      </c>
      <c r="G17" s="5">
        <f t="shared" si="4"/>
        <v>157808492.58526942</v>
      </c>
      <c r="H17" s="5">
        <f t="shared" si="4"/>
        <v>155272370.84244499</v>
      </c>
      <c r="I17" s="5">
        <f t="shared" si="4"/>
        <v>142655719.90840602</v>
      </c>
      <c r="J17" s="5">
        <f t="shared" si="4"/>
        <v>130608669.16386373</v>
      </c>
      <c r="K17" s="5">
        <f t="shared" si="4"/>
        <v>122883800.18050674</v>
      </c>
      <c r="L17" s="5">
        <f t="shared" si="4"/>
        <v>110733926.1052507</v>
      </c>
      <c r="M17" s="5">
        <f t="shared" si="4"/>
        <v>97907793.642129749</v>
      </c>
      <c r="N17" s="5">
        <f t="shared" si="4"/>
        <v>93552877.307072163</v>
      </c>
      <c r="O17" s="5">
        <f t="shared" si="4"/>
        <v>82978006.305585638</v>
      </c>
      <c r="P17" s="5">
        <f t="shared" si="4"/>
        <v>72435655.815379843</v>
      </c>
      <c r="Q17" s="5">
        <f t="shared" si="4"/>
        <v>66836484.482459858</v>
      </c>
      <c r="R17" s="5">
        <f t="shared" si="4"/>
        <v>59278478.476682812</v>
      </c>
      <c r="S17" s="5">
        <f t="shared" si="4"/>
        <v>52575147.207700938</v>
      </c>
      <c r="T17" s="5">
        <f t="shared" si="4"/>
        <v>46629842.312816799</v>
      </c>
      <c r="U17" s="5">
        <f t="shared" si="4"/>
        <v>41356844.623340838</v>
      </c>
      <c r="V17" s="5">
        <f t="shared" si="4"/>
        <v>36680128.269038439</v>
      </c>
      <c r="W17" s="5">
        <f t="shared" si="4"/>
        <v>32532264.540167131</v>
      </c>
      <c r="X17" s="5">
        <f t="shared" si="4"/>
        <v>28853449.70303072</v>
      </c>
    </row>
    <row r="18" spans="1:24" x14ac:dyDescent="0.25">
      <c r="B18" t="s">
        <v>73</v>
      </c>
      <c r="C18" s="5"/>
      <c r="D18" s="5">
        <v>0</v>
      </c>
      <c r="E18" s="5">
        <f>+'Demanda Regional'!S14</f>
        <v>423868583.96551085</v>
      </c>
      <c r="F18" s="5">
        <f>+'Demanda Regional'!T14</f>
        <v>420616054.24531424</v>
      </c>
      <c r="G18" s="5">
        <f>+'Demanda Regional'!U14</f>
        <v>375048696.9297806</v>
      </c>
      <c r="H18" s="5">
        <f>+'Demanda Regional'!V14</f>
        <v>416071553.3941856</v>
      </c>
      <c r="I18" s="5">
        <f>+'Demanda Regional'!W14</f>
        <v>431002292.68140113</v>
      </c>
      <c r="J18" s="5">
        <f>+'Demanda Regional'!X14</f>
        <v>444916943.85468256</v>
      </c>
      <c r="K18" s="5">
        <f>+'Demanda Regional'!Y14</f>
        <v>471974054.52068484</v>
      </c>
      <c r="L18" s="5">
        <f>+'Demanda Regional'!Z14</f>
        <v>479535474.5713678</v>
      </c>
      <c r="M18" s="5">
        <f>+'Demanda Regional'!AA14</f>
        <v>478050587.90087432</v>
      </c>
      <c r="N18" s="5">
        <f>+'Demanda Regional'!AB14</f>
        <v>515027350.12420291</v>
      </c>
      <c r="O18" s="5">
        <f>+'Demanda Regional'!AC14</f>
        <v>515053911.62936938</v>
      </c>
      <c r="P18" s="5">
        <f>+'Demanda Regional'!AD14</f>
        <v>506942428.42558002</v>
      </c>
      <c r="Q18" s="5">
        <f>+'Demanda Regional'!AE14</f>
        <v>527395467.93892372</v>
      </c>
      <c r="R18" s="5">
        <f>+'Demanda Regional'!AF14</f>
        <v>527395467.93892372</v>
      </c>
      <c r="S18" s="5">
        <f>+'Demanda Regional'!AG14</f>
        <v>527395467.93892372</v>
      </c>
      <c r="T18" s="5">
        <f>+'Demanda Regional'!AH14</f>
        <v>527395467.93892372</v>
      </c>
      <c r="U18" s="5">
        <f>+'Demanda Regional'!AI14</f>
        <v>527395467.93892372</v>
      </c>
      <c r="V18" s="5">
        <f>+'Demanda Regional'!AJ14</f>
        <v>527395467.93892372</v>
      </c>
      <c r="W18" s="5">
        <f>+'Demanda Regional'!AK14</f>
        <v>527395467.93892372</v>
      </c>
      <c r="X18" s="5">
        <f>+'Demanda Regional'!AL14</f>
        <v>527395467.93892372</v>
      </c>
    </row>
    <row r="19" spans="1:24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8.75" x14ac:dyDescent="0.3">
      <c r="B21" t="s">
        <v>79</v>
      </c>
      <c r="C21" s="11">
        <f>SUM(E17:X17)</f>
        <v>1957855890.2589223</v>
      </c>
    </row>
    <row r="22" spans="1:24" ht="18.75" x14ac:dyDescent="0.3">
      <c r="B22" t="s">
        <v>75</v>
      </c>
      <c r="C22" s="11">
        <f>+NPV(G2,D18:X18)</f>
        <v>2879199838.6160631</v>
      </c>
      <c r="E22" s="10"/>
    </row>
    <row r="23" spans="1:24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x14ac:dyDescent="0.25">
      <c r="B26" s="12" t="s">
        <v>41</v>
      </c>
      <c r="E26" s="10"/>
    </row>
    <row r="27" spans="1:24" x14ac:dyDescent="0.25">
      <c r="B27" s="10" t="s">
        <v>31</v>
      </c>
      <c r="E27" s="10"/>
    </row>
    <row r="28" spans="1:24" ht="18.75" x14ac:dyDescent="0.3">
      <c r="B28" s="10" t="s">
        <v>80</v>
      </c>
      <c r="C28" s="21">
        <f>+C10/C21</f>
        <v>4.4882850705302624E-2</v>
      </c>
      <c r="D28" s="10"/>
      <c r="E28" s="10"/>
    </row>
    <row r="29" spans="1:24" ht="18.75" x14ac:dyDescent="0.3">
      <c r="B29" s="10" t="s">
        <v>81</v>
      </c>
      <c r="C29" s="21">
        <f>+C10/C22</f>
        <v>3.0520338479605776E-2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zoomScaleNormal="100" workbookViewId="0">
      <pane ySplit="2" topLeftCell="A3" activePane="bottomLeft" state="frozen"/>
      <selection pane="bottomLeft" activeCell="F7" sqref="F7"/>
    </sheetView>
  </sheetViews>
  <sheetFormatPr baseColWidth="10" defaultRowHeight="15" x14ac:dyDescent="0.25"/>
  <cols>
    <col min="1" max="1" width="7.140625" customWidth="1"/>
    <col min="2" max="2" width="26.140625" bestFit="1" customWidth="1"/>
    <col min="3" max="3" width="23.28515625" bestFit="1" customWidth="1"/>
    <col min="4" max="5" width="15.140625" bestFit="1" customWidth="1"/>
    <col min="6" max="6" width="17.140625" bestFit="1" customWidth="1"/>
    <col min="7" max="7" width="15.28515625" bestFit="1" customWidth="1"/>
    <col min="8" max="8" width="16.28515625" bestFit="1" customWidth="1"/>
    <col min="9" max="24" width="15.28515625" bestFit="1" customWidth="1"/>
    <col min="25" max="25" width="13.140625" bestFit="1" customWidth="1"/>
  </cols>
  <sheetData>
    <row r="1" spans="1:25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5" x14ac:dyDescent="0.25">
      <c r="A2" s="147"/>
      <c r="B2" t="s">
        <v>130</v>
      </c>
      <c r="C2" s="22" t="s">
        <v>131</v>
      </c>
      <c r="D2" s="4">
        <v>0.03</v>
      </c>
      <c r="E2" s="144">
        <v>6</v>
      </c>
      <c r="F2" s="144">
        <v>2022</v>
      </c>
      <c r="G2" s="4">
        <v>0.1275</v>
      </c>
    </row>
    <row r="5" spans="1:25" x14ac:dyDescent="0.25"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</row>
    <row r="6" spans="1:25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</row>
    <row r="7" spans="1:25" x14ac:dyDescent="0.25">
      <c r="B7" t="s">
        <v>24</v>
      </c>
      <c r="F7" s="149">
        <f>+E2</f>
        <v>6</v>
      </c>
    </row>
    <row r="8" spans="1:25" x14ac:dyDescent="0.25">
      <c r="B8" t="s">
        <v>25</v>
      </c>
      <c r="C8" s="5"/>
      <c r="D8" s="5"/>
      <c r="E8" s="5">
        <f t="shared" ref="E8" si="0">$E$7*$D$2</f>
        <v>0</v>
      </c>
      <c r="F8" s="5">
        <f>$F$7*$D$2</f>
        <v>0.18</v>
      </c>
      <c r="G8" s="5">
        <f t="shared" ref="G8:Y8" si="1">$F$7*$D$2</f>
        <v>0.18</v>
      </c>
      <c r="H8" s="5">
        <f t="shared" si="1"/>
        <v>0.18</v>
      </c>
      <c r="I8" s="5">
        <f t="shared" si="1"/>
        <v>0.18</v>
      </c>
      <c r="J8" s="5">
        <f t="shared" si="1"/>
        <v>0.18</v>
      </c>
      <c r="K8" s="5">
        <f t="shared" si="1"/>
        <v>0.18</v>
      </c>
      <c r="L8" s="5">
        <f t="shared" si="1"/>
        <v>0.18</v>
      </c>
      <c r="M8" s="5">
        <f t="shared" si="1"/>
        <v>0.18</v>
      </c>
      <c r="N8" s="5">
        <f t="shared" si="1"/>
        <v>0.18</v>
      </c>
      <c r="O8" s="5">
        <f t="shared" si="1"/>
        <v>0.18</v>
      </c>
      <c r="P8" s="5">
        <f t="shared" si="1"/>
        <v>0.18</v>
      </c>
      <c r="Q8" s="5">
        <f t="shared" si="1"/>
        <v>0.18</v>
      </c>
      <c r="R8" s="5">
        <f t="shared" si="1"/>
        <v>0.18</v>
      </c>
      <c r="S8" s="5">
        <f t="shared" si="1"/>
        <v>0.18</v>
      </c>
      <c r="T8" s="5">
        <f t="shared" si="1"/>
        <v>0.18</v>
      </c>
      <c r="U8" s="5">
        <f t="shared" si="1"/>
        <v>0.18</v>
      </c>
      <c r="V8" s="5">
        <f t="shared" si="1"/>
        <v>0.18</v>
      </c>
      <c r="W8" s="5">
        <f t="shared" si="1"/>
        <v>0.18</v>
      </c>
      <c r="X8" s="5">
        <f t="shared" si="1"/>
        <v>0.18</v>
      </c>
      <c r="Y8" s="5">
        <f t="shared" si="1"/>
        <v>0.18</v>
      </c>
    </row>
    <row r="9" spans="1:25" x14ac:dyDescent="0.25">
      <c r="B9" t="s">
        <v>26</v>
      </c>
      <c r="C9" s="5">
        <f>(C8/(1+$G$2)^C5)+(C7/(1+$G$2)^C5)</f>
        <v>0</v>
      </c>
      <c r="D9" s="5">
        <f t="shared" ref="D9" si="2">(D8/(1+$G$2)^D5)+(D7/(1+$G$2)^D5)</f>
        <v>0</v>
      </c>
      <c r="E9" s="5">
        <f>(E8/(1+$G$2)^E5)+(E7/(1+$G$2)^E5)</f>
        <v>0</v>
      </c>
      <c r="F9" s="5">
        <f t="shared" ref="F9:Y9" si="3">(F8/(1+$G$2)^F5)+(F7/(1+$G$2)^F5)</f>
        <v>4.3116035758708096</v>
      </c>
      <c r="G9" s="5">
        <f t="shared" si="3"/>
        <v>0.11137976645308099</v>
      </c>
      <c r="H9" s="5">
        <f t="shared" si="3"/>
        <v>9.8784715257721506E-2</v>
      </c>
      <c r="I9" s="5">
        <f t="shared" si="3"/>
        <v>8.7613938144320627E-2</v>
      </c>
      <c r="J9" s="5">
        <f t="shared" si="3"/>
        <v>7.7706375294297678E-2</v>
      </c>
      <c r="K9" s="5">
        <f t="shared" si="3"/>
        <v>6.8919179861904808E-2</v>
      </c>
      <c r="L9" s="5">
        <f t="shared" si="3"/>
        <v>6.1125658414106269E-2</v>
      </c>
      <c r="M9" s="5">
        <f t="shared" si="3"/>
        <v>5.4213444269717311E-2</v>
      </c>
      <c r="N9" s="5">
        <f t="shared" si="3"/>
        <v>4.8082877401079659E-2</v>
      </c>
      <c r="O9" s="5">
        <f t="shared" si="3"/>
        <v>4.2645567539760225E-2</v>
      </c>
      <c r="P9" s="5">
        <f t="shared" si="3"/>
        <v>3.7823119769188673E-2</v>
      </c>
      <c r="Q9" s="5">
        <f t="shared" si="3"/>
        <v>3.3546004229879085E-2</v>
      </c>
      <c r="R9" s="5">
        <f t="shared" si="3"/>
        <v>2.9752553640690994E-2</v>
      </c>
      <c r="S9" s="5">
        <f t="shared" si="3"/>
        <v>2.6388074182431033E-2</v>
      </c>
      <c r="T9" s="5">
        <f t="shared" si="3"/>
        <v>2.3404056924550807E-2</v>
      </c>
      <c r="U9" s="5">
        <f t="shared" si="3"/>
        <v>2.0757478425322225E-2</v>
      </c>
      <c r="V9" s="5">
        <f t="shared" si="3"/>
        <v>1.8410180421571817E-2</v>
      </c>
      <c r="W9" s="5">
        <f t="shared" si="3"/>
        <v>1.6328319664365248E-2</v>
      </c>
      <c r="X9" s="5">
        <f t="shared" si="3"/>
        <v>1.44818799683949E-2</v>
      </c>
      <c r="Y9" s="5">
        <f t="shared" si="3"/>
        <v>1.2844239439818094E-2</v>
      </c>
    </row>
    <row r="10" spans="1:25" ht="18.75" x14ac:dyDescent="0.3">
      <c r="B10" t="s">
        <v>27</v>
      </c>
      <c r="C10" s="11">
        <f>SUM(C9:X9)*1000000</f>
        <v>5182966.7657331936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5" ht="16.5" customHeight="1" x14ac:dyDescent="0.25">
      <c r="C11" s="20"/>
    </row>
    <row r="12" spans="1:2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5" x14ac:dyDescent="0.25">
      <c r="E13" s="26"/>
    </row>
    <row r="14" spans="1:25" x14ac:dyDescent="0.25">
      <c r="C14" s="10">
        <v>0</v>
      </c>
      <c r="D14" s="10">
        <v>1</v>
      </c>
      <c r="E14" s="30">
        <v>2</v>
      </c>
      <c r="F14" s="28">
        <v>3</v>
      </c>
      <c r="G14" s="10">
        <v>4</v>
      </c>
      <c r="H14" s="10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</row>
    <row r="15" spans="1:25" x14ac:dyDescent="0.25">
      <c r="A15" s="10"/>
      <c r="B15" s="12" t="s">
        <v>28</v>
      </c>
      <c r="C15" s="10">
        <v>2019</v>
      </c>
      <c r="D15" s="10">
        <v>2020</v>
      </c>
      <c r="E15" s="30">
        <v>2021</v>
      </c>
      <c r="F15" s="28">
        <v>2022</v>
      </c>
      <c r="G15" s="10">
        <v>2023</v>
      </c>
      <c r="H15" s="10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</row>
    <row r="16" spans="1:25" x14ac:dyDescent="0.25">
      <c r="A16">
        <v>2024</v>
      </c>
      <c r="B16" s="14" t="s">
        <v>131</v>
      </c>
      <c r="C16" s="5"/>
      <c r="D16" s="5"/>
      <c r="E16" s="31"/>
      <c r="F16" s="23">
        <f>+'Demanda Regional'!T16</f>
        <v>3364928.4339625137</v>
      </c>
      <c r="G16" s="23">
        <f>+'Demanda Regional'!U16</f>
        <v>3000389.5754382447</v>
      </c>
      <c r="H16" s="23">
        <f>+'Demanda Regional'!V16</f>
        <v>3328572.4271534849</v>
      </c>
      <c r="I16" s="23">
        <f>+'Demanda Regional'!W16</f>
        <v>3448018.34145121</v>
      </c>
      <c r="J16" s="23">
        <f>+'Demanda Regional'!X16</f>
        <v>3559335.5508374604</v>
      </c>
      <c r="K16" s="23">
        <f>+'Demanda Regional'!Y16</f>
        <v>3775792.436165479</v>
      </c>
      <c r="L16" s="23">
        <f>+'Demanda Regional'!Z16</f>
        <v>3836283.7965709427</v>
      </c>
      <c r="M16" s="23">
        <f>+'Demanda Regional'!AA16</f>
        <v>3824404.7032069946</v>
      </c>
      <c r="N16" s="23">
        <f>+'Demanda Regional'!AB16</f>
        <v>4120218.8009936246</v>
      </c>
      <c r="O16" s="23">
        <f>+'Demanda Regional'!AC16</f>
        <v>4120431.2930349554</v>
      </c>
      <c r="P16" s="23">
        <f>+'Demanda Regional'!AD16</f>
        <v>4055539.4274046402</v>
      </c>
      <c r="Q16" s="23">
        <f>+'Demanda Regional'!AE16</f>
        <v>4219163.743511389</v>
      </c>
      <c r="R16" s="23">
        <f>+'Demanda Regional'!AF16</f>
        <v>4219163.743511389</v>
      </c>
      <c r="S16" s="23">
        <f>+'Demanda Regional'!AG16</f>
        <v>4219163.743511389</v>
      </c>
      <c r="T16" s="23">
        <f>+'Demanda Regional'!AH16</f>
        <v>4219163.743511389</v>
      </c>
      <c r="U16" s="23">
        <f>+'Demanda Regional'!AI16</f>
        <v>4219163.743511389</v>
      </c>
      <c r="V16" s="23">
        <f>+'Demanda Regional'!AJ16</f>
        <v>4219163.743511389</v>
      </c>
      <c r="W16" s="23">
        <f>+'Demanda Regional'!AK16</f>
        <v>4219163.743511389</v>
      </c>
      <c r="X16" s="23">
        <f>+'Demanda Regional'!AL16</f>
        <v>4219163.743511389</v>
      </c>
      <c r="Y16" s="23">
        <f>+'Demanda Regional'!AM16</f>
        <v>4219163.743511389</v>
      </c>
    </row>
    <row r="17" spans="1:25" x14ac:dyDescent="0.25">
      <c r="A17">
        <v>2043</v>
      </c>
      <c r="B17" t="s">
        <v>29</v>
      </c>
      <c r="C17" s="5">
        <f>(C16)/(1+$G$2)^C14</f>
        <v>0</v>
      </c>
      <c r="D17" s="5">
        <f t="shared" ref="D17:Y17" si="4">(D16)/(1+$G$2)^D14</f>
        <v>0</v>
      </c>
      <c r="E17" s="24">
        <f t="shared" si="4"/>
        <v>0</v>
      </c>
      <c r="F17" s="5">
        <f t="shared" si="4"/>
        <v>2347611.240845006</v>
      </c>
      <c r="G17" s="5">
        <f t="shared" si="4"/>
        <v>1856570.5010031697</v>
      </c>
      <c r="H17" s="5">
        <f t="shared" si="4"/>
        <v>1826733.7746169998</v>
      </c>
      <c r="I17" s="5">
        <f t="shared" si="4"/>
        <v>1678302.5871577184</v>
      </c>
      <c r="J17" s="5">
        <f t="shared" si="4"/>
        <v>1536572.5783983972</v>
      </c>
      <c r="K17" s="5">
        <f t="shared" si="4"/>
        <v>1445691.7668294911</v>
      </c>
      <c r="L17" s="5">
        <f t="shared" si="4"/>
        <v>1302752.0718264789</v>
      </c>
      <c r="M17" s="5">
        <f t="shared" si="4"/>
        <v>1151856.395789762</v>
      </c>
      <c r="N17" s="5">
        <f t="shared" si="4"/>
        <v>1100622.0859655549</v>
      </c>
      <c r="O17" s="5">
        <f t="shared" si="4"/>
        <v>976211.83888924308</v>
      </c>
      <c r="P17" s="5">
        <f t="shared" si="4"/>
        <v>852184.18606329209</v>
      </c>
      <c r="Q17" s="5">
        <f t="shared" si="4"/>
        <v>786311.58214658638</v>
      </c>
      <c r="R17" s="5">
        <f t="shared" si="4"/>
        <v>697393.86443156237</v>
      </c>
      <c r="S17" s="5">
        <f t="shared" si="4"/>
        <v>618531.14362001093</v>
      </c>
      <c r="T17" s="5">
        <f t="shared" si="4"/>
        <v>548586.38015078579</v>
      </c>
      <c r="U17" s="5">
        <f t="shared" si="4"/>
        <v>486551.11321577447</v>
      </c>
      <c r="V17" s="5">
        <f t="shared" si="4"/>
        <v>431530.92081221688</v>
      </c>
      <c r="W17" s="5">
        <f t="shared" si="4"/>
        <v>382732.52400196617</v>
      </c>
      <c r="X17" s="5">
        <f t="shared" si="4"/>
        <v>339452.34944742016</v>
      </c>
      <c r="Y17" s="5">
        <f t="shared" si="4"/>
        <v>301066.38531921961</v>
      </c>
    </row>
    <row r="18" spans="1:25" x14ac:dyDescent="0.25">
      <c r="C18" s="5"/>
      <c r="D18" s="5"/>
      <c r="E18" s="2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5">
      <c r="B19" t="s">
        <v>50</v>
      </c>
      <c r="C19" s="5"/>
      <c r="D19" s="5"/>
      <c r="E19" s="24"/>
      <c r="F19" s="5">
        <f>+'Demanda Regional'!T14</f>
        <v>420616054.24531424</v>
      </c>
      <c r="G19" s="5">
        <f>+'Demanda Regional'!U14</f>
        <v>375048696.9297806</v>
      </c>
      <c r="H19" s="5">
        <f>+'Demanda Regional'!V14</f>
        <v>416071553.3941856</v>
      </c>
      <c r="I19" s="5">
        <f>+'Demanda Regional'!W14</f>
        <v>431002292.68140113</v>
      </c>
      <c r="J19" s="5">
        <f>+'Demanda Regional'!X14</f>
        <v>444916943.85468256</v>
      </c>
      <c r="K19" s="5">
        <f>+'Demanda Regional'!Y14</f>
        <v>471974054.52068484</v>
      </c>
      <c r="L19" s="5">
        <f>+'Demanda Regional'!Z14</f>
        <v>479535474.5713678</v>
      </c>
      <c r="M19" s="5">
        <f>+'Demanda Regional'!AA14</f>
        <v>478050587.90087432</v>
      </c>
      <c r="N19" s="5">
        <f>+'Demanda Regional'!AB14</f>
        <v>515027350.12420291</v>
      </c>
      <c r="O19" s="5">
        <f>+'Demanda Regional'!AC14</f>
        <v>515053911.62936938</v>
      </c>
      <c r="P19" s="5">
        <f>+'Demanda Regional'!AD14</f>
        <v>506942428.42558002</v>
      </c>
      <c r="Q19" s="5">
        <f>+'Demanda Regional'!AE14</f>
        <v>527395467.93892372</v>
      </c>
      <c r="R19" s="5">
        <f>+'Demanda Regional'!AF14</f>
        <v>527395467.93892372</v>
      </c>
      <c r="S19" s="5">
        <f>+'Demanda Regional'!AG14</f>
        <v>527395467.93892372</v>
      </c>
      <c r="T19" s="5">
        <f>+'Demanda Regional'!AH14</f>
        <v>527395467.93892372</v>
      </c>
      <c r="U19" s="5">
        <f>+'Demanda Regional'!AI14</f>
        <v>527395467.93892372</v>
      </c>
      <c r="V19" s="5">
        <f>+'Demanda Regional'!AJ14</f>
        <v>527395467.93892372</v>
      </c>
      <c r="W19" s="5">
        <f>+'Demanda Regional'!AK14</f>
        <v>527395467.93892372</v>
      </c>
      <c r="X19" s="5">
        <f>+'Demanda Regional'!AL14</f>
        <v>527395467.93892372</v>
      </c>
      <c r="Y19" s="5">
        <f>+'Demanda Regional'!AM14</f>
        <v>527395467.93892372</v>
      </c>
    </row>
    <row r="20" spans="1:25" x14ac:dyDescent="0.25">
      <c r="B20" t="s">
        <v>52</v>
      </c>
      <c r="C20" s="5"/>
      <c r="D20" s="5"/>
      <c r="E20" s="24"/>
      <c r="F20" s="5">
        <f>(F19)/(1+$G$2)^F14</f>
        <v>293451405.10562581</v>
      </c>
      <c r="G20" s="5">
        <f t="shared" ref="G20:Y20" si="5">(G19)/(1+$G$2)^G14</f>
        <v>232071312.62539622</v>
      </c>
      <c r="H20" s="5">
        <f t="shared" si="5"/>
        <v>228341721.82712498</v>
      </c>
      <c r="I20" s="5">
        <f t="shared" si="5"/>
        <v>209787823.39471474</v>
      </c>
      <c r="J20" s="5">
        <f t="shared" si="5"/>
        <v>192071572.29979965</v>
      </c>
      <c r="K20" s="5">
        <f t="shared" si="5"/>
        <v>180711470.85368639</v>
      </c>
      <c r="L20" s="5">
        <f t="shared" si="5"/>
        <v>162844008.97830984</v>
      </c>
      <c r="M20" s="5">
        <f t="shared" si="5"/>
        <v>143982049.47372025</v>
      </c>
      <c r="N20" s="5">
        <f t="shared" si="5"/>
        <v>137577760.74569434</v>
      </c>
      <c r="O20" s="5">
        <f t="shared" si="5"/>
        <v>122026479.86115538</v>
      </c>
      <c r="P20" s="5">
        <f t="shared" si="5"/>
        <v>106523023.25791152</v>
      </c>
      <c r="Q20" s="5">
        <f t="shared" si="5"/>
        <v>98288947.768323317</v>
      </c>
      <c r="R20" s="5">
        <f t="shared" si="5"/>
        <v>87174233.053945303</v>
      </c>
      <c r="S20" s="5">
        <f t="shared" si="5"/>
        <v>77316392.952501372</v>
      </c>
      <c r="T20" s="5">
        <f t="shared" si="5"/>
        <v>68573297.518848225</v>
      </c>
      <c r="U20" s="5">
        <f t="shared" si="5"/>
        <v>60818889.151971824</v>
      </c>
      <c r="V20" s="5">
        <f t="shared" si="5"/>
        <v>53941365.101527117</v>
      </c>
      <c r="W20" s="5">
        <f t="shared" si="5"/>
        <v>47841565.50024578</v>
      </c>
      <c r="X20" s="5">
        <f t="shared" si="5"/>
        <v>42431543.680927522</v>
      </c>
      <c r="Y20" s="5">
        <f t="shared" si="5"/>
        <v>37633298.164902464</v>
      </c>
    </row>
    <row r="21" spans="1:25" x14ac:dyDescent="0.25">
      <c r="C21" s="5"/>
      <c r="D21" s="5"/>
      <c r="E21" s="2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.75" x14ac:dyDescent="0.3">
      <c r="B22" t="s">
        <v>30</v>
      </c>
      <c r="C22" s="11">
        <f>SUM(E17:Y17)</f>
        <v>20667265.290530656</v>
      </c>
      <c r="E22" s="26"/>
    </row>
    <row r="23" spans="1:25" ht="18.75" x14ac:dyDescent="0.3">
      <c r="B23" t="s">
        <v>51</v>
      </c>
      <c r="C23" s="11">
        <f>SUM(F20:Y20)</f>
        <v>2583408161.3163323</v>
      </c>
      <c r="E23" s="10"/>
    </row>
    <row r="24" spans="1:25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5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5" x14ac:dyDescent="0.2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5" x14ac:dyDescent="0.25">
      <c r="B27" s="12" t="s">
        <v>41</v>
      </c>
      <c r="E27" s="10"/>
    </row>
    <row r="28" spans="1:25" x14ac:dyDescent="0.25">
      <c r="B28" s="10" t="s">
        <v>31</v>
      </c>
      <c r="E28" s="10"/>
    </row>
    <row r="29" spans="1:25" ht="18.75" x14ac:dyDescent="0.3">
      <c r="B29" s="107" t="s">
        <v>68</v>
      </c>
      <c r="C29" s="21">
        <f>+C10/C22</f>
        <v>0.25078145041801586</v>
      </c>
      <c r="D29" s="10"/>
      <c r="E29" s="10"/>
    </row>
    <row r="30" spans="1:25" ht="18.75" x14ac:dyDescent="0.3">
      <c r="B30" t="s">
        <v>50</v>
      </c>
      <c r="C30" s="21">
        <f>+C10/C23</f>
        <v>2.0062516033441265E-3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showGridLines="0" zoomScaleNormal="100" workbookViewId="0">
      <pane ySplit="2" topLeftCell="A3" activePane="bottomLeft" state="frozen"/>
      <selection pane="bottomLeft" activeCell="E7" sqref="E7"/>
    </sheetView>
  </sheetViews>
  <sheetFormatPr baseColWidth="10" defaultRowHeight="15" x14ac:dyDescent="0.25"/>
  <cols>
    <col min="1" max="1" width="5" bestFit="1" customWidth="1"/>
    <col min="2" max="2" width="31.140625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</cols>
  <sheetData>
    <row r="1" spans="1:24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4" x14ac:dyDescent="0.25">
      <c r="A2" s="139"/>
      <c r="B2" t="s">
        <v>132</v>
      </c>
      <c r="C2" s="22" t="str">
        <f>+'%  Planta'!C16</f>
        <v>Tolima Grande</v>
      </c>
      <c r="D2" s="4">
        <v>0.03</v>
      </c>
      <c r="E2" s="144">
        <v>6</v>
      </c>
      <c r="F2" s="144">
        <v>2021</v>
      </c>
      <c r="G2" s="4">
        <v>0.1275</v>
      </c>
    </row>
    <row r="5" spans="1:24" x14ac:dyDescent="0.25">
      <c r="C5" s="10">
        <v>0</v>
      </c>
      <c r="D5" s="10">
        <v>1</v>
      </c>
      <c r="E5" s="13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</row>
    <row r="6" spans="1:24" x14ac:dyDescent="0.25">
      <c r="B6" s="12" t="s">
        <v>124</v>
      </c>
      <c r="C6" s="10">
        <v>2019</v>
      </c>
      <c r="D6" s="10">
        <v>2020</v>
      </c>
      <c r="E6" s="13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</row>
    <row r="7" spans="1:24" x14ac:dyDescent="0.25">
      <c r="B7" t="s">
        <v>24</v>
      </c>
      <c r="E7">
        <f>+E2</f>
        <v>6</v>
      </c>
    </row>
    <row r="8" spans="1:24" x14ac:dyDescent="0.25">
      <c r="B8" t="s">
        <v>25</v>
      </c>
      <c r="C8" s="5"/>
      <c r="D8" s="5"/>
      <c r="E8" s="5">
        <f>$E$7*$D$2</f>
        <v>0.18</v>
      </c>
      <c r="F8" s="5">
        <f t="shared" ref="F8:X8" si="0">$E$7*$D$2</f>
        <v>0.18</v>
      </c>
      <c r="G8" s="5">
        <f t="shared" si="0"/>
        <v>0.18</v>
      </c>
      <c r="H8" s="5">
        <f t="shared" si="0"/>
        <v>0.18</v>
      </c>
      <c r="I8" s="5">
        <f t="shared" si="0"/>
        <v>0.18</v>
      </c>
      <c r="J8" s="5">
        <f t="shared" si="0"/>
        <v>0.18</v>
      </c>
      <c r="K8" s="5">
        <f t="shared" si="0"/>
        <v>0.18</v>
      </c>
      <c r="L8" s="5">
        <f t="shared" si="0"/>
        <v>0.18</v>
      </c>
      <c r="M8" s="5">
        <f t="shared" si="0"/>
        <v>0.18</v>
      </c>
      <c r="N8" s="5">
        <f t="shared" si="0"/>
        <v>0.18</v>
      </c>
      <c r="O8" s="5">
        <f t="shared" si="0"/>
        <v>0.18</v>
      </c>
      <c r="P8" s="5">
        <f t="shared" si="0"/>
        <v>0.18</v>
      </c>
      <c r="Q8" s="5">
        <f t="shared" si="0"/>
        <v>0.18</v>
      </c>
      <c r="R8" s="5">
        <f t="shared" si="0"/>
        <v>0.18</v>
      </c>
      <c r="S8" s="5">
        <f t="shared" si="0"/>
        <v>0.18</v>
      </c>
      <c r="T8" s="5">
        <f t="shared" si="0"/>
        <v>0.18</v>
      </c>
      <c r="U8" s="5">
        <f t="shared" si="0"/>
        <v>0.18</v>
      </c>
      <c r="V8" s="5">
        <f t="shared" si="0"/>
        <v>0.18</v>
      </c>
      <c r="W8" s="5">
        <f t="shared" si="0"/>
        <v>0.18</v>
      </c>
      <c r="X8" s="5">
        <f t="shared" si="0"/>
        <v>0.18</v>
      </c>
    </row>
    <row r="9" spans="1:24" x14ac:dyDescent="0.25">
      <c r="B9" t="s">
        <v>26</v>
      </c>
      <c r="C9" s="5">
        <f>(C8/(1+$G$2)^C5)+(C7/(1+$G$2)^C5)</f>
        <v>0</v>
      </c>
      <c r="D9" s="5">
        <f t="shared" ref="D9:X9" si="1">(D8/(1+$G$2)^D5)+(D7/(1+$G$2)^D5)</f>
        <v>0</v>
      </c>
      <c r="E9" s="5">
        <f t="shared" si="1"/>
        <v>4.8613330317943371</v>
      </c>
      <c r="F9" s="5">
        <f t="shared" si="1"/>
        <v>0.12558068667584882</v>
      </c>
      <c r="G9" s="5">
        <f t="shared" si="1"/>
        <v>0.11137976645308099</v>
      </c>
      <c r="H9" s="5">
        <f t="shared" si="1"/>
        <v>9.8784715257721506E-2</v>
      </c>
      <c r="I9" s="5">
        <f t="shared" si="1"/>
        <v>8.7613938144320627E-2</v>
      </c>
      <c r="J9" s="5">
        <f t="shared" si="1"/>
        <v>7.7706375294297678E-2</v>
      </c>
      <c r="K9" s="5">
        <f t="shared" si="1"/>
        <v>6.8919179861904808E-2</v>
      </c>
      <c r="L9" s="5">
        <f t="shared" si="1"/>
        <v>6.1125658414106269E-2</v>
      </c>
      <c r="M9" s="5">
        <f t="shared" si="1"/>
        <v>5.4213444269717311E-2</v>
      </c>
      <c r="N9" s="5">
        <f t="shared" si="1"/>
        <v>4.8082877401079659E-2</v>
      </c>
      <c r="O9" s="5">
        <f t="shared" si="1"/>
        <v>4.2645567539760225E-2</v>
      </c>
      <c r="P9" s="5">
        <f t="shared" si="1"/>
        <v>3.7823119769188673E-2</v>
      </c>
      <c r="Q9" s="5">
        <f t="shared" si="1"/>
        <v>3.3546004229879085E-2</v>
      </c>
      <c r="R9" s="5">
        <f t="shared" si="1"/>
        <v>2.9752553640690994E-2</v>
      </c>
      <c r="S9" s="5">
        <f t="shared" si="1"/>
        <v>2.6388074182431033E-2</v>
      </c>
      <c r="T9" s="5">
        <f t="shared" si="1"/>
        <v>2.3404056924550807E-2</v>
      </c>
      <c r="U9" s="5">
        <f t="shared" si="1"/>
        <v>2.0757478425322225E-2</v>
      </c>
      <c r="V9" s="5">
        <f t="shared" si="1"/>
        <v>1.8410180421571817E-2</v>
      </c>
      <c r="W9" s="5">
        <f t="shared" si="1"/>
        <v>1.6328319664365248E-2</v>
      </c>
      <c r="X9" s="5">
        <f t="shared" si="1"/>
        <v>1.44818799683949E-2</v>
      </c>
    </row>
    <row r="10" spans="1:24" ht="18.75" x14ac:dyDescent="0.3">
      <c r="B10" t="s">
        <v>27</v>
      </c>
      <c r="C10" s="11">
        <f>SUM(C9:X9)*1000000</f>
        <v>5858276.9083325705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4" ht="16.5" customHeight="1" x14ac:dyDescent="0.25">
      <c r="C11" s="20"/>
    </row>
    <row r="12" spans="1:24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4" x14ac:dyDescent="0.25">
      <c r="C14" s="10">
        <v>0</v>
      </c>
      <c r="D14" s="10">
        <v>1</v>
      </c>
      <c r="E14" s="13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</row>
    <row r="15" spans="1:24" x14ac:dyDescent="0.25">
      <c r="A15" s="10"/>
      <c r="B15" s="12" t="s">
        <v>28</v>
      </c>
      <c r="C15" s="10">
        <v>2019</v>
      </c>
      <c r="D15" s="10">
        <v>2020</v>
      </c>
      <c r="E15" s="13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</row>
    <row r="16" spans="1:24" x14ac:dyDescent="0.25">
      <c r="A16">
        <v>2024</v>
      </c>
      <c r="B16" s="14" t="s">
        <v>82</v>
      </c>
      <c r="C16" s="5"/>
      <c r="D16" s="5"/>
      <c r="E16" s="23">
        <f>+'Demanda Regional'!S12</f>
        <v>6358028.7594826603</v>
      </c>
      <c r="F16" s="23">
        <f>+'Demanda Regional'!T12</f>
        <v>6309240.8136797128</v>
      </c>
      <c r="G16" s="23">
        <f>+'Demanda Regional'!U12</f>
        <v>5625730.4539467096</v>
      </c>
      <c r="H16" s="23">
        <f>+'Demanda Regional'!V12</f>
        <v>6241073.3009127844</v>
      </c>
      <c r="I16" s="23">
        <f>+'Demanda Regional'!W12</f>
        <v>6465034.3902210183</v>
      </c>
      <c r="J16" s="23">
        <f>+'Demanda Regional'!X12</f>
        <v>6673754.1578202369</v>
      </c>
      <c r="K16" s="23">
        <f>+'Demanda Regional'!Y12</f>
        <v>7079610.8178102719</v>
      </c>
      <c r="L16" s="23">
        <f>+'Demanda Regional'!Z12</f>
        <v>7193032.1185705159</v>
      </c>
      <c r="M16" s="23">
        <f>+'Demanda Regional'!AA12</f>
        <v>7170758.818513114</v>
      </c>
      <c r="N16" s="23">
        <f>+'Demanda Regional'!AB12</f>
        <v>7725410.2518630428</v>
      </c>
      <c r="O16" s="23">
        <f>+'Demanda Regional'!AC12</f>
        <v>7725808.6744405422</v>
      </c>
      <c r="P16" s="23">
        <f>+'Demanda Regional'!AD12</f>
        <v>7604136.4263836993</v>
      </c>
      <c r="Q16" s="23">
        <f>+'Demanda Regional'!AE12</f>
        <v>7910932.0190838547</v>
      </c>
      <c r="R16" s="23">
        <f>+'Demanda Regional'!AF12</f>
        <v>7910932.0190838547</v>
      </c>
      <c r="S16" s="23">
        <f>+'Demanda Regional'!AG12</f>
        <v>7910932.0190838547</v>
      </c>
      <c r="T16" s="23">
        <f>+'Demanda Regional'!AH12</f>
        <v>7910932.0190838547</v>
      </c>
      <c r="U16" s="23">
        <f>+'Demanda Regional'!AI12</f>
        <v>7910932.0190838547</v>
      </c>
      <c r="V16" s="23">
        <f>+'Demanda Regional'!AJ12</f>
        <v>7910932.0190838547</v>
      </c>
      <c r="W16" s="23">
        <f>+'Demanda Regional'!AK12</f>
        <v>7910932.0190838547</v>
      </c>
      <c r="X16" s="23">
        <f>+'Demanda Regional'!AL12</f>
        <v>7910932.0190838547</v>
      </c>
    </row>
    <row r="17" spans="1:24" x14ac:dyDescent="0.25">
      <c r="A17">
        <v>2043</v>
      </c>
      <c r="B17" t="s">
        <v>29</v>
      </c>
      <c r="C17" s="5">
        <f>(C16)/(1+$G$2)^C14</f>
        <v>0</v>
      </c>
      <c r="D17" s="5">
        <f t="shared" ref="D17:X17" si="2">(D16)/(1+$G$2)^D14</f>
        <v>0</v>
      </c>
      <c r="E17" s="5">
        <f t="shared" si="2"/>
        <v>5001374.6319694873</v>
      </c>
      <c r="F17" s="5">
        <f t="shared" si="2"/>
        <v>4401771.0765843866</v>
      </c>
      <c r="G17" s="5">
        <f t="shared" si="2"/>
        <v>3481069.6893809438</v>
      </c>
      <c r="H17" s="5">
        <f t="shared" si="2"/>
        <v>3425125.8274068749</v>
      </c>
      <c r="I17" s="5">
        <f t="shared" si="2"/>
        <v>3146817.3509207219</v>
      </c>
      <c r="J17" s="5">
        <f t="shared" si="2"/>
        <v>2881073.584496994</v>
      </c>
      <c r="K17" s="5">
        <f t="shared" si="2"/>
        <v>2710672.0628052955</v>
      </c>
      <c r="L17" s="5">
        <f t="shared" si="2"/>
        <v>2442660.1346746474</v>
      </c>
      <c r="M17" s="5">
        <f t="shared" si="2"/>
        <v>2159730.7421058035</v>
      </c>
      <c r="N17" s="5">
        <f t="shared" si="2"/>
        <v>2063666.4111854148</v>
      </c>
      <c r="O17" s="5">
        <f t="shared" si="2"/>
        <v>1830397.197917331</v>
      </c>
      <c r="P17" s="5">
        <f t="shared" si="2"/>
        <v>1597845.3488686725</v>
      </c>
      <c r="Q17" s="5">
        <f t="shared" si="2"/>
        <v>1474334.2165248494</v>
      </c>
      <c r="R17" s="5">
        <f t="shared" si="2"/>
        <v>1307613.4958091795</v>
      </c>
      <c r="S17" s="5">
        <f t="shared" si="2"/>
        <v>1159745.8942875206</v>
      </c>
      <c r="T17" s="5">
        <f t="shared" si="2"/>
        <v>1028599.4627827232</v>
      </c>
      <c r="U17" s="5">
        <f t="shared" si="2"/>
        <v>912283.33727957716</v>
      </c>
      <c r="V17" s="5">
        <f t="shared" si="2"/>
        <v>809120.47652290668</v>
      </c>
      <c r="W17" s="5">
        <f t="shared" si="2"/>
        <v>717623.48250368657</v>
      </c>
      <c r="X17" s="5">
        <f t="shared" si="2"/>
        <v>636473.15521391283</v>
      </c>
    </row>
    <row r="18" spans="1:24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5">
      <c r="B19" t="s">
        <v>83</v>
      </c>
      <c r="C19" s="5"/>
      <c r="D19" s="5"/>
      <c r="E19" s="5">
        <f>+'Demanda Regional'!S14</f>
        <v>423868583.96551085</v>
      </c>
      <c r="F19" s="5">
        <f>+'Demanda Regional'!T14</f>
        <v>420616054.24531424</v>
      </c>
      <c r="G19" s="5">
        <f>+'Demanda Regional'!U14</f>
        <v>375048696.9297806</v>
      </c>
      <c r="H19" s="5">
        <f>+'Demanda Regional'!V14</f>
        <v>416071553.3941856</v>
      </c>
      <c r="I19" s="5">
        <f>+'Demanda Regional'!W14</f>
        <v>431002292.68140113</v>
      </c>
      <c r="J19" s="5">
        <f>+'Demanda Regional'!X14</f>
        <v>444916943.85468256</v>
      </c>
      <c r="K19" s="5">
        <f>+'Demanda Regional'!Y14</f>
        <v>471974054.52068484</v>
      </c>
      <c r="L19" s="5">
        <f>+'Demanda Regional'!Z14</f>
        <v>479535474.5713678</v>
      </c>
      <c r="M19" s="5">
        <f>+'Demanda Regional'!AA14</f>
        <v>478050587.90087432</v>
      </c>
      <c r="N19" s="5">
        <f>+'Demanda Regional'!AB14</f>
        <v>515027350.12420291</v>
      </c>
      <c r="O19" s="5">
        <f>+'Demanda Regional'!AC14</f>
        <v>515053911.62936938</v>
      </c>
      <c r="P19" s="5">
        <f>+'Demanda Regional'!AD14</f>
        <v>506942428.42558002</v>
      </c>
      <c r="Q19" s="5">
        <f>+'Demanda Regional'!AE14</f>
        <v>527395467.93892372</v>
      </c>
      <c r="R19" s="5">
        <f>+'Demanda Regional'!AF14</f>
        <v>527395467.93892372</v>
      </c>
      <c r="S19" s="5">
        <f>+'Demanda Regional'!AG14</f>
        <v>527395467.93892372</v>
      </c>
      <c r="T19" s="5">
        <f>+'Demanda Regional'!AH14</f>
        <v>527395467.93892372</v>
      </c>
      <c r="U19" s="5">
        <f>+'Demanda Regional'!AI14</f>
        <v>527395467.93892372</v>
      </c>
      <c r="V19" s="5">
        <f>+'Demanda Regional'!AJ14</f>
        <v>527395467.93892372</v>
      </c>
      <c r="W19" s="5">
        <f>+'Demanda Regional'!AK14</f>
        <v>527395467.93892372</v>
      </c>
      <c r="X19" s="5">
        <f>+'Demanda Regional'!AL14</f>
        <v>527395467.93892372</v>
      </c>
    </row>
    <row r="20" spans="1:24" x14ac:dyDescent="0.25">
      <c r="B20" t="s">
        <v>52</v>
      </c>
      <c r="C20" s="5"/>
      <c r="D20" s="5"/>
      <c r="E20" s="5">
        <f>(E19)/(1+$G$2)^E14</f>
        <v>333424975.46463263</v>
      </c>
      <c r="F20" s="5">
        <f t="shared" ref="F20:X20" si="3">(F19)/(1+$G$2)^F14</f>
        <v>293451405.10562581</v>
      </c>
      <c r="G20" s="5">
        <f t="shared" si="3"/>
        <v>232071312.62539622</v>
      </c>
      <c r="H20" s="5">
        <f t="shared" si="3"/>
        <v>228341721.82712498</v>
      </c>
      <c r="I20" s="5">
        <f t="shared" si="3"/>
        <v>209787823.39471474</v>
      </c>
      <c r="J20" s="5">
        <f t="shared" si="3"/>
        <v>192071572.29979965</v>
      </c>
      <c r="K20" s="5">
        <f t="shared" si="3"/>
        <v>180711470.85368639</v>
      </c>
      <c r="L20" s="5">
        <f t="shared" si="3"/>
        <v>162844008.97830984</v>
      </c>
      <c r="M20" s="5">
        <f t="shared" si="3"/>
        <v>143982049.47372025</v>
      </c>
      <c r="N20" s="5">
        <f t="shared" si="3"/>
        <v>137577760.74569434</v>
      </c>
      <c r="O20" s="5">
        <f t="shared" si="3"/>
        <v>122026479.86115538</v>
      </c>
      <c r="P20" s="5">
        <f t="shared" si="3"/>
        <v>106523023.25791152</v>
      </c>
      <c r="Q20" s="5">
        <f t="shared" si="3"/>
        <v>98288947.768323317</v>
      </c>
      <c r="R20" s="5">
        <f t="shared" si="3"/>
        <v>87174233.053945303</v>
      </c>
      <c r="S20" s="5">
        <f t="shared" si="3"/>
        <v>77316392.952501372</v>
      </c>
      <c r="T20" s="5">
        <f t="shared" si="3"/>
        <v>68573297.518848225</v>
      </c>
      <c r="U20" s="5">
        <f t="shared" si="3"/>
        <v>60818889.151971824</v>
      </c>
      <c r="V20" s="5">
        <f t="shared" si="3"/>
        <v>53941365.101527117</v>
      </c>
      <c r="W20" s="5">
        <f t="shared" si="3"/>
        <v>47841565.50024578</v>
      </c>
      <c r="X20" s="5">
        <f t="shared" si="3"/>
        <v>42431543.680927522</v>
      </c>
    </row>
    <row r="21" spans="1:24" x14ac:dyDescent="0.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8.75" x14ac:dyDescent="0.3">
      <c r="B22" t="s">
        <v>30</v>
      </c>
      <c r="C22" s="11">
        <f>SUM(C17:X17)</f>
        <v>43187997.579240941</v>
      </c>
    </row>
    <row r="23" spans="1:24" ht="18.75" x14ac:dyDescent="0.3">
      <c r="C23" s="11">
        <f>SUM(E20:X20)</f>
        <v>2879199838.6160631</v>
      </c>
      <c r="E23" s="10"/>
    </row>
    <row r="24" spans="1:24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x14ac:dyDescent="0.2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x14ac:dyDescent="0.25">
      <c r="B27" s="12" t="s">
        <v>41</v>
      </c>
      <c r="E27" s="10"/>
    </row>
    <row r="28" spans="1:24" x14ac:dyDescent="0.25">
      <c r="B28" s="10" t="s">
        <v>31</v>
      </c>
      <c r="E28" s="10"/>
    </row>
    <row r="29" spans="1:24" ht="18.75" x14ac:dyDescent="0.3">
      <c r="B29" s="10" t="s">
        <v>84</v>
      </c>
      <c r="C29" s="21">
        <f>+C10/C22</f>
        <v>0.1356459487982479</v>
      </c>
      <c r="D29" s="10"/>
      <c r="E29" s="10"/>
    </row>
    <row r="30" spans="1:24" ht="18.75" x14ac:dyDescent="0.3">
      <c r="B30" t="s">
        <v>85</v>
      </c>
      <c r="C30" s="21">
        <f>+C10/C23</f>
        <v>2.0346892319737181E-3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zoomScale="85" zoomScaleNormal="85" workbookViewId="0">
      <pane ySplit="2" topLeftCell="A3" activePane="bottomLeft" state="frozen"/>
      <selection pane="bottomLeft" activeCell="E7" sqref="E7"/>
    </sheetView>
  </sheetViews>
  <sheetFormatPr baseColWidth="10" defaultRowHeight="15" x14ac:dyDescent="0.25"/>
  <cols>
    <col min="1" max="1" width="5.85546875" customWidth="1"/>
    <col min="2" max="2" width="26.140625" bestFit="1" customWidth="1"/>
    <col min="3" max="3" width="23.28515625" bestFit="1" customWidth="1"/>
    <col min="4" max="4" width="15.140625" bestFit="1" customWidth="1"/>
    <col min="5" max="5" width="15.7109375" bestFit="1" customWidth="1"/>
    <col min="6" max="6" width="17.140625" bestFit="1" customWidth="1"/>
    <col min="7" max="7" width="15.7109375" bestFit="1" customWidth="1"/>
    <col min="8" max="8" width="16.28515625" bestFit="1" customWidth="1"/>
    <col min="9" max="24" width="15.7109375" bestFit="1" customWidth="1"/>
  </cols>
  <sheetData>
    <row r="1" spans="1:24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4" x14ac:dyDescent="0.25">
      <c r="A2" s="139"/>
      <c r="B2" t="s">
        <v>127</v>
      </c>
      <c r="C2" s="22" t="str">
        <f>+'%  Planta'!C18</f>
        <v>Nacional</v>
      </c>
      <c r="D2" s="4">
        <v>0.03</v>
      </c>
      <c r="E2" s="144">
        <v>5</v>
      </c>
      <c r="F2" s="144">
        <v>2021</v>
      </c>
      <c r="G2" s="4">
        <v>0.1275</v>
      </c>
    </row>
    <row r="5" spans="1:24" x14ac:dyDescent="0.25"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</row>
    <row r="6" spans="1:24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</row>
    <row r="7" spans="1:24" x14ac:dyDescent="0.25">
      <c r="B7" t="s">
        <v>24</v>
      </c>
      <c r="E7" s="150">
        <f>+E2</f>
        <v>5</v>
      </c>
    </row>
    <row r="8" spans="1:24" x14ac:dyDescent="0.25">
      <c r="B8" t="s">
        <v>25</v>
      </c>
      <c r="C8" s="5"/>
      <c r="D8" s="5"/>
      <c r="E8" s="5">
        <f t="shared" ref="E8:X8" si="0">$E$7*$D$2</f>
        <v>0.15</v>
      </c>
      <c r="F8" s="5">
        <f t="shared" si="0"/>
        <v>0.15</v>
      </c>
      <c r="G8" s="5">
        <f t="shared" si="0"/>
        <v>0.15</v>
      </c>
      <c r="H8" s="5">
        <f t="shared" si="0"/>
        <v>0.15</v>
      </c>
      <c r="I8" s="5">
        <f t="shared" si="0"/>
        <v>0.15</v>
      </c>
      <c r="J8" s="5">
        <f t="shared" si="0"/>
        <v>0.15</v>
      </c>
      <c r="K8" s="5">
        <f t="shared" si="0"/>
        <v>0.15</v>
      </c>
      <c r="L8" s="5">
        <f t="shared" si="0"/>
        <v>0.15</v>
      </c>
      <c r="M8" s="5">
        <f t="shared" si="0"/>
        <v>0.15</v>
      </c>
      <c r="N8" s="5">
        <f t="shared" si="0"/>
        <v>0.15</v>
      </c>
      <c r="O8" s="5">
        <f t="shared" si="0"/>
        <v>0.15</v>
      </c>
      <c r="P8" s="5">
        <f t="shared" si="0"/>
        <v>0.15</v>
      </c>
      <c r="Q8" s="5">
        <f t="shared" si="0"/>
        <v>0.15</v>
      </c>
      <c r="R8" s="5">
        <f t="shared" si="0"/>
        <v>0.15</v>
      </c>
      <c r="S8" s="5">
        <f t="shared" si="0"/>
        <v>0.15</v>
      </c>
      <c r="T8" s="5">
        <f t="shared" si="0"/>
        <v>0.15</v>
      </c>
      <c r="U8" s="5">
        <f t="shared" si="0"/>
        <v>0.15</v>
      </c>
      <c r="V8" s="5">
        <f t="shared" si="0"/>
        <v>0.15</v>
      </c>
      <c r="W8" s="5">
        <f t="shared" si="0"/>
        <v>0.15</v>
      </c>
      <c r="X8" s="5">
        <f t="shared" si="0"/>
        <v>0.15</v>
      </c>
    </row>
    <row r="9" spans="1:24" x14ac:dyDescent="0.25">
      <c r="B9" t="s">
        <v>26</v>
      </c>
      <c r="C9" s="5">
        <f>(C8/(1+$G$2)^C5)+(C7/(1+$G$2)^C5)</f>
        <v>0</v>
      </c>
      <c r="D9" s="5">
        <f t="shared" ref="D9" si="1">(D8/(1+$G$2)^D5)+(D7/(1+$G$2)^D5)</f>
        <v>0</v>
      </c>
      <c r="E9" s="5">
        <f>(E8/(1+$G$2)^E5)+(E7/(1+$G$2)^E5)</f>
        <v>4.0511108598286141</v>
      </c>
      <c r="F9" s="5">
        <f t="shared" ref="F9:X9" si="2">(F8/(1+$G$2)^F5)+(F7/(1+$G$2)^F5)</f>
        <v>0.10465057222987402</v>
      </c>
      <c r="G9" s="5">
        <f t="shared" si="2"/>
        <v>9.2816472044234155E-2</v>
      </c>
      <c r="H9" s="5">
        <f t="shared" si="2"/>
        <v>8.2320596048101255E-2</v>
      </c>
      <c r="I9" s="5">
        <f t="shared" si="2"/>
        <v>7.3011615120267187E-2</v>
      </c>
      <c r="J9" s="5">
        <f t="shared" si="2"/>
        <v>6.4755312745248067E-2</v>
      </c>
      <c r="K9" s="5">
        <f t="shared" si="2"/>
        <v>5.7432649884920681E-2</v>
      </c>
      <c r="L9" s="5">
        <f t="shared" si="2"/>
        <v>5.0938048678421888E-2</v>
      </c>
      <c r="M9" s="5">
        <f t="shared" si="2"/>
        <v>4.5177870224764424E-2</v>
      </c>
      <c r="N9" s="5">
        <f t="shared" si="2"/>
        <v>4.0069064500899719E-2</v>
      </c>
      <c r="O9" s="5">
        <f t="shared" si="2"/>
        <v>3.5537972949800184E-2</v>
      </c>
      <c r="P9" s="5">
        <f t="shared" si="2"/>
        <v>3.1519266474323897E-2</v>
      </c>
      <c r="Q9" s="5">
        <f t="shared" si="2"/>
        <v>2.7955003524899238E-2</v>
      </c>
      <c r="R9" s="5">
        <f t="shared" si="2"/>
        <v>2.4793794700575827E-2</v>
      </c>
      <c r="S9" s="5">
        <f t="shared" si="2"/>
        <v>2.1990061818692529E-2</v>
      </c>
      <c r="T9" s="5">
        <f t="shared" si="2"/>
        <v>1.9503380770459006E-2</v>
      </c>
      <c r="U9" s="5">
        <f t="shared" si="2"/>
        <v>1.7297898687768518E-2</v>
      </c>
      <c r="V9" s="5">
        <f t="shared" si="2"/>
        <v>1.5341817017976515E-2</v>
      </c>
      <c r="W9" s="5">
        <f t="shared" si="2"/>
        <v>1.3606933053637707E-2</v>
      </c>
      <c r="X9" s="5">
        <f t="shared" si="2"/>
        <v>1.2068233306995749E-2</v>
      </c>
    </row>
    <row r="10" spans="1:24" ht="18.75" x14ac:dyDescent="0.3">
      <c r="B10" t="s">
        <v>27</v>
      </c>
      <c r="C10" s="11">
        <f>SUM(C9:X9)*1000000</f>
        <v>4881897.4236104721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4" ht="16.5" customHeight="1" x14ac:dyDescent="0.25">
      <c r="C11" s="20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24" x14ac:dyDescent="0.25">
      <c r="C12" s="1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4" x14ac:dyDescent="0.25">
      <c r="C14" s="10">
        <v>0</v>
      </c>
      <c r="D14" s="10">
        <v>1</v>
      </c>
      <c r="E14" s="28">
        <v>2</v>
      </c>
      <c r="F14" s="10">
        <v>3</v>
      </c>
      <c r="G14" s="10">
        <v>4</v>
      </c>
      <c r="H14" s="10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</row>
    <row r="15" spans="1:24" x14ac:dyDescent="0.25">
      <c r="A15" s="10"/>
      <c r="B15" s="12" t="s">
        <v>28</v>
      </c>
      <c r="C15" s="10">
        <v>2019</v>
      </c>
      <c r="D15" s="10">
        <v>2020</v>
      </c>
      <c r="E15" s="28">
        <v>2021</v>
      </c>
      <c r="F15" s="10">
        <v>2022</v>
      </c>
      <c r="G15" s="10">
        <v>2023</v>
      </c>
      <c r="H15" s="10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</row>
    <row r="16" spans="1:24" x14ac:dyDescent="0.25">
      <c r="A16">
        <v>2024</v>
      </c>
      <c r="B16" s="14" t="s">
        <v>72</v>
      </c>
      <c r="C16" s="5"/>
      <c r="D16" s="5"/>
      <c r="E16" s="108">
        <f>+'Demanda Regional'!S18</f>
        <v>135637946.86896342</v>
      </c>
      <c r="F16" s="108">
        <f>+'Demanda Regional'!T18</f>
        <v>134597137.35850054</v>
      </c>
      <c r="G16" s="108">
        <f>+'Demanda Regional'!U18</f>
        <v>120015583.01752979</v>
      </c>
      <c r="H16" s="108">
        <f>+'Demanda Regional'!V18</f>
        <v>133142897.0861394</v>
      </c>
      <c r="I16" s="108">
        <f>+'Demanda Regional'!W18</f>
        <v>137920733.65804839</v>
      </c>
      <c r="J16" s="108">
        <f>+'Demanda Regional'!X18</f>
        <v>142373422.03349841</v>
      </c>
      <c r="K16" s="108">
        <f>+'Demanda Regional'!Y18</f>
        <v>151031697.44661915</v>
      </c>
      <c r="L16" s="108">
        <f>+'Demanda Regional'!Z18</f>
        <v>153451351.8628377</v>
      </c>
      <c r="M16" s="108">
        <f>+'Demanda Regional'!AA18</f>
        <v>152976188.12827978</v>
      </c>
      <c r="N16" s="108">
        <f>+'Demanda Regional'!AB18</f>
        <v>164808752.03974497</v>
      </c>
      <c r="O16" s="108">
        <f>+'Demanda Regional'!AC18</f>
        <v>164817251.7213982</v>
      </c>
      <c r="P16" s="108">
        <f>+'Demanda Regional'!AD18</f>
        <v>162221577.09618559</v>
      </c>
      <c r="Q16" s="108">
        <f>+'Demanda Regional'!AE18</f>
        <v>168766549.74045557</v>
      </c>
      <c r="R16" s="108">
        <f>+'Demanda Regional'!AF18</f>
        <v>168766549.74045557</v>
      </c>
      <c r="S16" s="108">
        <f>+'Demanda Regional'!AG18</f>
        <v>168766549.74045557</v>
      </c>
      <c r="T16" s="108">
        <f>+'Demanda Regional'!AH18</f>
        <v>168766549.74045557</v>
      </c>
      <c r="U16" s="108">
        <f>+'Demanda Regional'!AI18</f>
        <v>168766549.74045557</v>
      </c>
      <c r="V16" s="108">
        <f>+'Demanda Regional'!AJ18</f>
        <v>168766549.74045557</v>
      </c>
      <c r="W16" s="108">
        <f>+'Demanda Regional'!AK18</f>
        <v>168766549.74045557</v>
      </c>
      <c r="X16" s="108">
        <f>+'Demanda Regional'!AL18</f>
        <v>168766549.74045557</v>
      </c>
    </row>
    <row r="17" spans="1:24" x14ac:dyDescent="0.25">
      <c r="A17">
        <v>2043</v>
      </c>
      <c r="B17" t="s">
        <v>29</v>
      </c>
      <c r="C17" s="5">
        <f>(C16)/(1+$G$2)^C14</f>
        <v>0</v>
      </c>
      <c r="D17" s="5">
        <f t="shared" ref="D17:X17" si="3">(D16)/(1+$G$2)^D14</f>
        <v>0</v>
      </c>
      <c r="E17" s="5">
        <f t="shared" si="3"/>
        <v>106695992.1486824</v>
      </c>
      <c r="F17" s="5">
        <f t="shared" si="3"/>
        <v>93904449.633800238</v>
      </c>
      <c r="G17" s="5">
        <f t="shared" si="3"/>
        <v>74262820.040126786</v>
      </c>
      <c r="H17" s="5">
        <f t="shared" si="3"/>
        <v>73069350.984679997</v>
      </c>
      <c r="I17" s="5">
        <f t="shared" si="3"/>
        <v>67132103.486308739</v>
      </c>
      <c r="J17" s="5">
        <f t="shared" si="3"/>
        <v>61462903.13593588</v>
      </c>
      <c r="K17" s="5">
        <f t="shared" si="3"/>
        <v>57827670.673179641</v>
      </c>
      <c r="L17" s="5">
        <f t="shared" si="3"/>
        <v>52110082.873059154</v>
      </c>
      <c r="M17" s="5">
        <f t="shared" si="3"/>
        <v>46074255.831590481</v>
      </c>
      <c r="N17" s="5">
        <f t="shared" si="3"/>
        <v>44024883.438622199</v>
      </c>
      <c r="O17" s="5">
        <f t="shared" si="3"/>
        <v>39048473.555569723</v>
      </c>
      <c r="P17" s="5">
        <f t="shared" si="3"/>
        <v>34087367.442531683</v>
      </c>
      <c r="Q17" s="5">
        <f t="shared" si="3"/>
        <v>31452463.285863455</v>
      </c>
      <c r="R17" s="5">
        <f t="shared" si="3"/>
        <v>27895754.577262495</v>
      </c>
      <c r="S17" s="5">
        <f t="shared" si="3"/>
        <v>24741245.744800437</v>
      </c>
      <c r="T17" s="5">
        <f t="shared" si="3"/>
        <v>21943455.206031431</v>
      </c>
      <c r="U17" s="5">
        <f t="shared" si="3"/>
        <v>19462044.528630979</v>
      </c>
      <c r="V17" s="5">
        <f t="shared" si="3"/>
        <v>17261236.832488675</v>
      </c>
      <c r="W17" s="5">
        <f t="shared" si="3"/>
        <v>15309300.960078647</v>
      </c>
      <c r="X17" s="5">
        <f t="shared" si="3"/>
        <v>13578093.977896806</v>
      </c>
    </row>
    <row r="18" spans="1:24" x14ac:dyDescent="0.25">
      <c r="B18" t="s">
        <v>73</v>
      </c>
      <c r="C18" s="5"/>
      <c r="D18" s="5">
        <v>0</v>
      </c>
      <c r="E18" s="5">
        <f>+'Demanda Regional'!S14</f>
        <v>423868583.96551085</v>
      </c>
      <c r="F18" s="5">
        <f>+'Demanda Regional'!T14</f>
        <v>420616054.24531424</v>
      </c>
      <c r="G18" s="5">
        <f>+'Demanda Regional'!U14</f>
        <v>375048696.9297806</v>
      </c>
      <c r="H18" s="5">
        <f>+'Demanda Regional'!V14</f>
        <v>416071553.3941856</v>
      </c>
      <c r="I18" s="5">
        <f>+'Demanda Regional'!W14</f>
        <v>431002292.68140113</v>
      </c>
      <c r="J18" s="5">
        <f>+'Demanda Regional'!X14</f>
        <v>444916943.85468256</v>
      </c>
      <c r="K18" s="5">
        <f>+'Demanda Regional'!Y14</f>
        <v>471974054.52068484</v>
      </c>
      <c r="L18" s="5">
        <f>+'Demanda Regional'!Z14</f>
        <v>479535474.5713678</v>
      </c>
      <c r="M18" s="5">
        <f>+'Demanda Regional'!AA14</f>
        <v>478050587.90087432</v>
      </c>
      <c r="N18" s="5">
        <f>+'Demanda Regional'!AB14</f>
        <v>515027350.12420291</v>
      </c>
      <c r="O18" s="5">
        <f>+'Demanda Regional'!AC14</f>
        <v>515053911.62936938</v>
      </c>
      <c r="P18" s="5">
        <f>+'Demanda Regional'!AD14</f>
        <v>506942428.42558002</v>
      </c>
      <c r="Q18" s="5">
        <f>+'Demanda Regional'!AE14</f>
        <v>527395467.93892372</v>
      </c>
      <c r="R18" s="5">
        <f>+'Demanda Regional'!AF14</f>
        <v>527395467.93892372</v>
      </c>
      <c r="S18" s="5">
        <f>+'Demanda Regional'!AG14</f>
        <v>527395467.93892372</v>
      </c>
      <c r="T18" s="5">
        <f>+'Demanda Regional'!AH14</f>
        <v>527395467.93892372</v>
      </c>
      <c r="U18" s="5">
        <f>+'Demanda Regional'!AI14</f>
        <v>527395467.93892372</v>
      </c>
      <c r="V18" s="5">
        <f>+'Demanda Regional'!AJ14</f>
        <v>527395467.93892372</v>
      </c>
      <c r="W18" s="5">
        <f>+'Demanda Regional'!AK14</f>
        <v>527395467.93892372</v>
      </c>
      <c r="X18" s="5">
        <f>+'Demanda Regional'!AL14</f>
        <v>527395467.93892372</v>
      </c>
    </row>
    <row r="19" spans="1:24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8.75" x14ac:dyDescent="0.3">
      <c r="B20" t="s">
        <v>74</v>
      </c>
      <c r="C20" s="11">
        <f>SUM(E17:X17)</f>
        <v>921343948.35713995</v>
      </c>
    </row>
    <row r="21" spans="1:24" ht="18.75" x14ac:dyDescent="0.3">
      <c r="B21" t="s">
        <v>75</v>
      </c>
      <c r="C21" s="11">
        <f>+NPV(G2,D18:X18)</f>
        <v>2879199838.6160631</v>
      </c>
      <c r="E21" s="10"/>
    </row>
    <row r="22" spans="1:24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5">
      <c r="B25" s="12" t="s">
        <v>41</v>
      </c>
      <c r="E25" s="10"/>
    </row>
    <row r="26" spans="1:24" x14ac:dyDescent="0.25">
      <c r="B26" s="10" t="s">
        <v>31</v>
      </c>
      <c r="E26" s="10"/>
    </row>
    <row r="27" spans="1:24" ht="18.75" x14ac:dyDescent="0.3">
      <c r="B27" s="10" t="s">
        <v>76</v>
      </c>
      <c r="C27" s="21">
        <f>+C10/C20</f>
        <v>5.2986698749315558E-3</v>
      </c>
      <c r="D27" s="10"/>
      <c r="E27" s="10"/>
    </row>
    <row r="28" spans="1:24" ht="18.75" x14ac:dyDescent="0.3">
      <c r="B28" t="s">
        <v>77</v>
      </c>
      <c r="C28" s="21">
        <f>+C10/C21</f>
        <v>1.6955743599780973E-3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88"/>
  <sheetViews>
    <sheetView showGridLines="0" tabSelected="1" topLeftCell="A31" zoomScaleNormal="100" workbookViewId="0">
      <selection activeCell="I52" sqref="I52"/>
    </sheetView>
  </sheetViews>
  <sheetFormatPr baseColWidth="10" defaultRowHeight="15" x14ac:dyDescent="0.25"/>
  <cols>
    <col min="1" max="1" width="9.42578125" customWidth="1"/>
    <col min="2" max="2" width="12.28515625" customWidth="1"/>
    <col min="3" max="3" width="12.42578125" customWidth="1"/>
    <col min="4" max="4" width="16.28515625" customWidth="1"/>
    <col min="5" max="5" width="16.28515625" bestFit="1" customWidth="1"/>
    <col min="6" max="6" width="18.5703125" customWidth="1"/>
    <col min="7" max="7" width="15.7109375" customWidth="1"/>
    <col min="8" max="8" width="15.85546875" customWidth="1"/>
    <col min="9" max="9" width="14.42578125" customWidth="1"/>
    <col min="10" max="10" width="16" customWidth="1"/>
    <col min="11" max="11" width="15.5703125" customWidth="1"/>
    <col min="12" max="12" width="17.42578125" customWidth="1"/>
    <col min="13" max="13" width="14.140625" customWidth="1"/>
    <col min="14" max="14" width="14.28515625" customWidth="1"/>
    <col min="15" max="15" width="17" bestFit="1" customWidth="1"/>
    <col min="16" max="16" width="20.42578125" customWidth="1"/>
    <col min="17" max="17" width="23.140625" customWidth="1"/>
    <col min="18" max="18" width="20.140625" customWidth="1"/>
    <col min="19" max="19" width="21.85546875" customWidth="1"/>
    <col min="20" max="20" width="24.7109375" customWidth="1"/>
    <col min="21" max="21" width="13.140625" bestFit="1" customWidth="1"/>
    <col min="23" max="23" width="22.42578125" bestFit="1" customWidth="1"/>
    <col min="24" max="24" width="12.7109375" bestFit="1" customWidth="1"/>
    <col min="25" max="25" width="22.42578125" bestFit="1" customWidth="1"/>
    <col min="28" max="28" width="22.42578125" bestFit="1" customWidth="1"/>
  </cols>
  <sheetData>
    <row r="1" spans="3:25" x14ac:dyDescent="0.25">
      <c r="E1" s="148" t="s">
        <v>117</v>
      </c>
      <c r="F1" s="135">
        <v>0.35</v>
      </c>
      <c r="J1" s="40"/>
      <c r="K1" s="41"/>
      <c r="L1" s="41"/>
      <c r="M1" s="41"/>
    </row>
    <row r="2" spans="3:25" x14ac:dyDescent="0.25">
      <c r="E2" s="148" t="s">
        <v>92</v>
      </c>
      <c r="F2" s="134">
        <f>100%-F1</f>
        <v>0.65</v>
      </c>
      <c r="J2" s="136"/>
      <c r="K2" s="137"/>
      <c r="L2" s="137"/>
      <c r="M2" s="137"/>
      <c r="N2" s="138"/>
    </row>
    <row r="3" spans="3:25" x14ac:dyDescent="0.25">
      <c r="E3" s="148" t="s">
        <v>115</v>
      </c>
      <c r="F3" s="134">
        <v>0.14399999999999999</v>
      </c>
      <c r="J3" s="136"/>
      <c r="K3" s="137"/>
      <c r="L3" s="137"/>
      <c r="M3" s="137"/>
      <c r="N3" s="138"/>
    </row>
    <row r="4" spans="3:25" x14ac:dyDescent="0.25">
      <c r="E4" s="148" t="s">
        <v>116</v>
      </c>
      <c r="F4" s="134">
        <v>0.85599999999999998</v>
      </c>
      <c r="J4" s="136"/>
      <c r="K4" s="137"/>
      <c r="L4" s="137"/>
      <c r="M4" s="137"/>
      <c r="N4" s="138"/>
    </row>
    <row r="5" spans="3:25" x14ac:dyDescent="0.25">
      <c r="J5" s="136"/>
      <c r="K5" s="137"/>
      <c r="L5" s="137"/>
      <c r="M5" s="137"/>
      <c r="N5" s="138"/>
    </row>
    <row r="7" spans="3:25" ht="105" x14ac:dyDescent="0.25">
      <c r="C7" s="112" t="s">
        <v>43</v>
      </c>
      <c r="D7" s="112" t="s">
        <v>42</v>
      </c>
      <c r="E7" s="112" t="s">
        <v>119</v>
      </c>
      <c r="F7" s="112" t="s">
        <v>118</v>
      </c>
      <c r="G7" s="112" t="s">
        <v>120</v>
      </c>
      <c r="H7" s="112" t="s">
        <v>121</v>
      </c>
      <c r="I7" s="112" t="s">
        <v>139</v>
      </c>
      <c r="J7" s="112" t="s">
        <v>54</v>
      </c>
      <c r="K7" s="112" t="s">
        <v>65</v>
      </c>
      <c r="L7" s="112" t="s">
        <v>66</v>
      </c>
      <c r="M7" s="112" t="s">
        <v>138</v>
      </c>
      <c r="N7" s="112" t="s">
        <v>49</v>
      </c>
      <c r="O7" s="45"/>
      <c r="P7" s="45"/>
      <c r="Q7" s="45"/>
      <c r="R7" s="56"/>
      <c r="S7" s="15"/>
      <c r="T7" s="46"/>
      <c r="X7" s="15"/>
      <c r="Y7" s="15"/>
    </row>
    <row r="8" spans="3:25" x14ac:dyDescent="0.25">
      <c r="C8" s="97" t="s">
        <v>2</v>
      </c>
      <c r="D8" s="97" t="s">
        <v>12</v>
      </c>
      <c r="E8" s="98">
        <v>0.22029773270147288</v>
      </c>
      <c r="F8" s="98">
        <v>0.21731807213591128</v>
      </c>
      <c r="G8" s="99">
        <f>+Bogotá!C56</f>
        <v>2.0693462093516385E-2</v>
      </c>
      <c r="H8" s="99">
        <f>+Bogotá!C26</f>
        <v>0.12469774852413645</v>
      </c>
      <c r="I8" s="100"/>
      <c r="J8" s="100">
        <f>+'Bid. Cartagena-ballena'!$C$28</f>
        <v>4.4882850705302624E-2</v>
      </c>
      <c r="K8" s="100"/>
      <c r="L8" s="100"/>
      <c r="M8" s="100">
        <f>+'Interconexión Costa-Interior'!C28</f>
        <v>1.6955743599780973E-3</v>
      </c>
      <c r="N8" s="161">
        <f>SUM(G8:M8)</f>
        <v>0.19196963568293357</v>
      </c>
      <c r="O8" s="52"/>
      <c r="P8" s="53"/>
      <c r="Q8" s="53"/>
      <c r="R8" s="29"/>
      <c r="S8" s="29"/>
    </row>
    <row r="9" spans="3:25" ht="30" x14ac:dyDescent="0.25">
      <c r="C9" s="97" t="s">
        <v>3</v>
      </c>
      <c r="D9" s="97" t="s">
        <v>48</v>
      </c>
      <c r="E9" s="98">
        <v>2.5103643406543232E-2</v>
      </c>
      <c r="F9" s="98">
        <v>2.5500397002670473E-2</v>
      </c>
      <c r="G9" s="99">
        <f>+Barranquilla!C51</f>
        <v>2.5799613069697122E-3</v>
      </c>
      <c r="H9" s="99">
        <f>+Barranquilla!C25</f>
        <v>1.50978212986882E-2</v>
      </c>
      <c r="I9" s="100">
        <f>+'Bid. Ballena - barranca'!$C$27</f>
        <v>5.2986698749315558E-3</v>
      </c>
      <c r="J9" s="100"/>
      <c r="K9" s="100"/>
      <c r="L9" s="100"/>
      <c r="M9" s="100">
        <f>+'Interconexión Costa-Interior'!C28</f>
        <v>1.6955743599780973E-3</v>
      </c>
      <c r="N9" s="161">
        <f t="shared" ref="N9:N16" si="0">SUM(G9:M9)</f>
        <v>2.4672026840567567E-2</v>
      </c>
      <c r="O9" s="52"/>
      <c r="P9" s="53"/>
      <c r="Q9" s="53"/>
      <c r="R9" s="29"/>
      <c r="S9" s="29"/>
      <c r="X9" s="29"/>
      <c r="Y9" s="29"/>
    </row>
    <row r="10" spans="3:25" ht="30" x14ac:dyDescent="0.25">
      <c r="C10" s="97" t="s">
        <v>4</v>
      </c>
      <c r="D10" s="97" t="s">
        <v>14</v>
      </c>
      <c r="E10" s="98">
        <v>2.2969813649559353E-3</v>
      </c>
      <c r="F10" s="98">
        <v>2.0257896272425136E-3</v>
      </c>
      <c r="G10" s="99">
        <f>+Valledupar!C52</f>
        <v>1.6396478388313565E-3</v>
      </c>
      <c r="H10" s="99">
        <f>+Valledupar!C25</f>
        <v>1.1051595535485495E-2</v>
      </c>
      <c r="I10" s="100"/>
      <c r="J10" s="100">
        <f>+'Bid. Cartagena-ballena'!$C$28</f>
        <v>4.4882850705302624E-2</v>
      </c>
      <c r="K10" s="100"/>
      <c r="L10" s="100"/>
      <c r="M10" s="100">
        <f>+'Interconexión Costa-Interior'!C28</f>
        <v>1.6955743599780973E-3</v>
      </c>
      <c r="N10" s="161">
        <f t="shared" si="0"/>
        <v>5.9269668439597571E-2</v>
      </c>
      <c r="O10" s="52"/>
      <c r="P10" s="53"/>
      <c r="Q10" s="53"/>
      <c r="R10" s="29"/>
      <c r="S10" s="29"/>
      <c r="X10" s="29"/>
      <c r="Y10" s="29"/>
    </row>
    <row r="11" spans="3:25" x14ac:dyDescent="0.25">
      <c r="C11" s="97" t="s">
        <v>0</v>
      </c>
      <c r="D11" s="97" t="s">
        <v>13</v>
      </c>
      <c r="E11" s="98">
        <v>9.7554924360447617E-2</v>
      </c>
      <c r="F11" s="98">
        <v>9.7837325895352253E-2</v>
      </c>
      <c r="G11" s="99">
        <f>+Manizales!C52</f>
        <v>0.12670121935985157</v>
      </c>
      <c r="H11" s="99">
        <f>+Manizales!C25</f>
        <v>0.75099438452587108</v>
      </c>
      <c r="I11" s="100"/>
      <c r="J11" s="100">
        <f>+'Bid. Cartagena-ballena'!$C$28</f>
        <v>4.4882850705302624E-2</v>
      </c>
      <c r="K11" s="100"/>
      <c r="L11" s="100"/>
      <c r="M11" s="100">
        <f>+'Interconexión Costa-Interior'!C28</f>
        <v>1.6955743599780973E-3</v>
      </c>
      <c r="N11" s="161">
        <f t="shared" si="0"/>
        <v>0.92427402895100341</v>
      </c>
      <c r="O11" s="52"/>
      <c r="P11" s="53"/>
      <c r="Q11" s="53"/>
      <c r="R11" s="29"/>
      <c r="S11" s="29"/>
      <c r="X11" s="29"/>
      <c r="Y11" s="29"/>
    </row>
    <row r="12" spans="3:25" ht="30" x14ac:dyDescent="0.25">
      <c r="C12" s="97" t="s">
        <v>5</v>
      </c>
      <c r="D12" s="97" t="s">
        <v>15</v>
      </c>
      <c r="E12" s="98">
        <v>0.27683586548413042</v>
      </c>
      <c r="F12" s="98">
        <v>0.28370381832142227</v>
      </c>
      <c r="G12" s="99">
        <f>+CIB!C51</f>
        <v>7.6542063124971055E-2</v>
      </c>
      <c r="H12" s="99">
        <f>+CIB!C25</f>
        <v>0.44398531941730585</v>
      </c>
      <c r="I12" s="100"/>
      <c r="J12" s="100">
        <f>+'Bid. Cartagena-ballena'!$C$28</f>
        <v>4.4882850705302624E-2</v>
      </c>
      <c r="K12" s="100"/>
      <c r="L12" s="100"/>
      <c r="M12" s="100">
        <f>+'Interconexión Costa-Interior'!C28</f>
        <v>1.6955743599780973E-3</v>
      </c>
      <c r="N12" s="161">
        <f t="shared" si="0"/>
        <v>0.56710580760755769</v>
      </c>
      <c r="O12" s="52"/>
      <c r="P12" s="53"/>
      <c r="Q12" s="53"/>
      <c r="R12" s="34"/>
      <c r="S12" s="34"/>
      <c r="T12" s="33"/>
      <c r="X12" s="29"/>
      <c r="Y12" s="29"/>
    </row>
    <row r="13" spans="3:25" x14ac:dyDescent="0.25">
      <c r="C13" s="97" t="s">
        <v>32</v>
      </c>
      <c r="D13" s="97" t="s">
        <v>16</v>
      </c>
      <c r="E13" s="98">
        <v>1.0714178249182123E-4</v>
      </c>
      <c r="F13" s="98">
        <v>2.7572321120772965E-4</v>
      </c>
      <c r="G13" s="99">
        <f>+Bucaramanga!C51</f>
        <v>8.9266715811508037E-4</v>
      </c>
      <c r="H13" s="99">
        <f>+Bucaramanga!C25</f>
        <v>2.0619891186157433E-3</v>
      </c>
      <c r="I13" s="100"/>
      <c r="J13" s="100">
        <f>+'Bid. Cartagena-ballena'!$C$28</f>
        <v>4.4882850705302624E-2</v>
      </c>
      <c r="K13" s="100"/>
      <c r="L13" s="100"/>
      <c r="M13" s="100">
        <f>+'Interconexión Costa-Interior'!C28</f>
        <v>1.6955743599780973E-3</v>
      </c>
      <c r="N13" s="161">
        <f t="shared" si="0"/>
        <v>4.9533081342011544E-2</v>
      </c>
      <c r="O13" s="52"/>
      <c r="P13" s="53"/>
      <c r="Q13" s="53"/>
      <c r="R13" s="29"/>
      <c r="S13" s="29"/>
      <c r="X13" s="29"/>
      <c r="Y13" s="29"/>
    </row>
    <row r="14" spans="3:25" ht="30" x14ac:dyDescent="0.25">
      <c r="C14" s="97" t="s">
        <v>33</v>
      </c>
      <c r="D14" s="102" t="s">
        <v>17</v>
      </c>
      <c r="E14" s="98">
        <v>4.3221386446314521E-2</v>
      </c>
      <c r="F14" s="98">
        <v>4.2163042614489374E-2</v>
      </c>
      <c r="G14" s="99">
        <f>+Medellin!C51</f>
        <v>2.730097568739337E-2</v>
      </c>
      <c r="H14" s="99">
        <f>+Medellin!C25</f>
        <v>0.1663627885798703</v>
      </c>
      <c r="I14" s="100"/>
      <c r="J14" s="100">
        <f>+'Bid. Cartagena-ballena'!$C$28</f>
        <v>4.4882850705302624E-2</v>
      </c>
      <c r="K14" s="100"/>
      <c r="L14" s="100"/>
      <c r="M14" s="100">
        <f>+'Interconexión Costa-Interior'!C28</f>
        <v>1.6955743599780973E-3</v>
      </c>
      <c r="N14" s="161">
        <f t="shared" si="0"/>
        <v>0.2402421893325444</v>
      </c>
      <c r="O14" s="52"/>
      <c r="P14" s="53"/>
      <c r="Q14" s="53"/>
      <c r="R14" s="29"/>
      <c r="S14" s="29"/>
      <c r="T14" s="29"/>
      <c r="U14" s="29"/>
      <c r="V14" s="29"/>
      <c r="W14" s="29"/>
      <c r="X14" s="29"/>
      <c r="Y14" s="29"/>
    </row>
    <row r="15" spans="3:25" ht="30" x14ac:dyDescent="0.25">
      <c r="C15" s="97" t="s">
        <v>34</v>
      </c>
      <c r="D15" s="97" t="s">
        <v>18</v>
      </c>
      <c r="E15" s="98">
        <v>0.28602331273901954</v>
      </c>
      <c r="F15" s="98">
        <v>0.28398522556903233</v>
      </c>
      <c r="G15" s="99">
        <f>+Cali!C52</f>
        <v>0.11492697837487661</v>
      </c>
      <c r="H15" s="99">
        <f>+Cali!C25</f>
        <v>0.68808001978979039</v>
      </c>
      <c r="I15" s="100"/>
      <c r="J15" s="100">
        <f>+'Bid. Cartagena-ballena'!$C$28</f>
        <v>4.4882850705302624E-2</v>
      </c>
      <c r="K15" s="101">
        <f>+'Amp. Transporte Jamundi'!C29</f>
        <v>0.25078145041801586</v>
      </c>
      <c r="L15" s="100"/>
      <c r="M15" s="100">
        <f>+'Interconexión Costa-Interior'!C28</f>
        <v>1.6955743599780973E-3</v>
      </c>
      <c r="N15" s="161">
        <f t="shared" si="0"/>
        <v>1.1003668736479635</v>
      </c>
      <c r="O15" s="52"/>
      <c r="P15" s="53"/>
      <c r="Q15" s="53"/>
      <c r="R15" s="5"/>
      <c r="S15" s="5"/>
      <c r="T15" s="29"/>
      <c r="U15" s="29"/>
      <c r="V15" s="29"/>
      <c r="W15" s="29"/>
      <c r="X15" s="29"/>
      <c r="Y15" s="29"/>
    </row>
    <row r="16" spans="3:25" ht="30" x14ac:dyDescent="0.25">
      <c r="C16" s="97" t="s">
        <v>9</v>
      </c>
      <c r="D16" s="97" t="s">
        <v>56</v>
      </c>
      <c r="E16" s="98">
        <v>4.8559011713944777E-2</v>
      </c>
      <c r="F16" s="98">
        <v>4.7190605622650435E-2</v>
      </c>
      <c r="G16" s="99">
        <f>+Ibague!C53</f>
        <v>0.10185457032889794</v>
      </c>
      <c r="H16" s="99">
        <f>+Ibague!C25</f>
        <v>0.62302587242303265</v>
      </c>
      <c r="I16" s="100"/>
      <c r="J16" s="100">
        <f>+'Bid. Cartagena-ballena'!$C$28</f>
        <v>4.4882850705302624E-2</v>
      </c>
      <c r="K16" s="96"/>
      <c r="L16" s="100">
        <f>+'Amp. Mariquita Gualanday'!C29</f>
        <v>0.1356459487982479</v>
      </c>
      <c r="M16" s="100">
        <f>+'Interconexión Costa-Interior'!C28</f>
        <v>1.6955743599780973E-3</v>
      </c>
      <c r="N16" s="161">
        <f t="shared" si="0"/>
        <v>0.90710481661545928</v>
      </c>
      <c r="O16" s="52"/>
      <c r="P16" s="53"/>
      <c r="Q16" s="53"/>
      <c r="R16" s="29"/>
      <c r="S16" s="29"/>
      <c r="T16" s="29"/>
      <c r="U16" s="29"/>
      <c r="V16" s="29"/>
      <c r="W16" s="29"/>
      <c r="X16" s="29"/>
      <c r="Y16" s="29"/>
    </row>
    <row r="17" spans="2:25" x14ac:dyDescent="0.25">
      <c r="C17" s="103"/>
      <c r="D17" s="103"/>
      <c r="E17" s="104"/>
      <c r="F17" s="104"/>
      <c r="G17" s="99"/>
      <c r="H17" s="105"/>
      <c r="I17" s="101"/>
      <c r="J17" s="101"/>
      <c r="K17" s="103"/>
      <c r="L17" s="101"/>
      <c r="M17" s="101"/>
      <c r="N17" s="101"/>
      <c r="O17" s="52"/>
      <c r="P17" s="49"/>
      <c r="Q17" s="49"/>
      <c r="W17" s="29"/>
      <c r="X17" s="29"/>
      <c r="Y17" s="29"/>
    </row>
    <row r="18" spans="2:25" s="32" customFormat="1" x14ac:dyDescent="0.25">
      <c r="C18" s="168" t="s">
        <v>67</v>
      </c>
      <c r="D18" s="169"/>
      <c r="E18" s="104"/>
      <c r="F18" s="104"/>
      <c r="G18" s="99">
        <f>+Nacional!C53</f>
        <v>3.2375480983447058E-2</v>
      </c>
      <c r="H18" s="106">
        <f>+Nacional!C26</f>
        <v>0.19245424806826861</v>
      </c>
      <c r="I18" s="101">
        <f>+'Bid. Ballena - barranca'!C28</f>
        <v>1.6955743599780973E-3</v>
      </c>
      <c r="J18" s="101">
        <f>+'Bid. Cartagena-ballena'!$C$29</f>
        <v>3.0520338479605776E-2</v>
      </c>
      <c r="K18" s="101">
        <f>+'Amp. Transporte Jamundi'!C30</f>
        <v>2.0062516033441265E-3</v>
      </c>
      <c r="L18" s="101">
        <f>+'Amp. Mariquita Gualanday'!C30</f>
        <v>2.0346892319737181E-3</v>
      </c>
      <c r="M18" s="100">
        <f>+'Interconexión Costa-Interior'!C28</f>
        <v>1.6955743599780973E-3</v>
      </c>
      <c r="N18" s="161">
        <f>SUM(G18:L18)</f>
        <v>0.26108658272661733</v>
      </c>
      <c r="O18" s="52"/>
      <c r="P18" s="53"/>
      <c r="Q18" s="53"/>
      <c r="R18" s="54"/>
      <c r="S18" s="54"/>
      <c r="T18" s="54"/>
      <c r="U18" s="54"/>
    </row>
    <row r="19" spans="2:25" s="32" customFormat="1" x14ac:dyDescent="0.25">
      <c r="C19" s="46"/>
      <c r="D19" s="46"/>
      <c r="E19" s="47"/>
      <c r="F19" s="47"/>
      <c r="G19" s="47"/>
      <c r="H19" s="50"/>
      <c r="I19" s="48"/>
      <c r="J19" s="48"/>
      <c r="K19" s="48"/>
      <c r="L19" s="48"/>
      <c r="M19" s="48"/>
      <c r="N19" s="48"/>
      <c r="O19" s="52"/>
      <c r="P19" s="53"/>
      <c r="Q19" s="53"/>
      <c r="R19" s="54"/>
      <c r="S19" s="54"/>
      <c r="T19" s="54"/>
      <c r="U19" s="54"/>
    </row>
    <row r="20" spans="2:25" s="32" customFormat="1" x14ac:dyDescent="0.25">
      <c r="C20" s="46"/>
      <c r="D20" s="46"/>
      <c r="E20" s="47"/>
      <c r="F20" s="47"/>
      <c r="G20" s="47"/>
      <c r="H20" s="50"/>
      <c r="I20" s="48"/>
      <c r="J20" s="48"/>
      <c r="K20" s="48"/>
      <c r="L20" s="48"/>
      <c r="M20" s="48"/>
      <c r="N20" s="48"/>
      <c r="O20" s="52"/>
      <c r="P20" s="53"/>
      <c r="Q20" s="53"/>
      <c r="R20" s="54"/>
      <c r="S20" s="54"/>
      <c r="T20" s="54"/>
      <c r="U20" s="54"/>
    </row>
    <row r="21" spans="2:25" s="32" customFormat="1" ht="21" x14ac:dyDescent="0.35">
      <c r="B21" s="151" t="s">
        <v>140</v>
      </c>
      <c r="C21" s="46"/>
      <c r="D21" s="46"/>
      <c r="E21" s="47"/>
      <c r="F21" s="47"/>
      <c r="G21" s="47"/>
      <c r="H21" s="50"/>
      <c r="I21" s="48"/>
      <c r="J21" s="48"/>
      <c r="K21" s="48"/>
      <c r="L21" s="48"/>
      <c r="M21" s="48"/>
      <c r="N21" s="48"/>
      <c r="O21" s="52"/>
      <c r="P21" s="53"/>
      <c r="Q21" s="53"/>
      <c r="R21" s="54"/>
      <c r="S21" s="54"/>
      <c r="T21" s="54"/>
      <c r="U21" s="54"/>
    </row>
    <row r="22" spans="2:25" x14ac:dyDescent="0.25">
      <c r="E22" s="47"/>
      <c r="F22" s="50"/>
      <c r="G22" s="48"/>
      <c r="H22" s="48"/>
      <c r="I22" s="48"/>
      <c r="J22" s="48"/>
      <c r="K22" s="48"/>
      <c r="L22" s="48"/>
      <c r="M22" s="51"/>
      <c r="N22" s="53"/>
      <c r="O22" s="53"/>
      <c r="P22" s="34"/>
      <c r="Q22" s="34"/>
      <c r="R22" s="34"/>
      <c r="S22" s="34"/>
    </row>
    <row r="23" spans="2:25" ht="21" x14ac:dyDescent="0.35">
      <c r="B23" s="123" t="s">
        <v>109</v>
      </c>
      <c r="J23" s="29"/>
      <c r="K23" s="29"/>
      <c r="L23" s="29"/>
    </row>
    <row r="24" spans="2:25" x14ac:dyDescent="0.25">
      <c r="O24" s="35"/>
    </row>
    <row r="25" spans="2:25" x14ac:dyDescent="0.25">
      <c r="C25" s="40"/>
      <c r="D25" s="163" t="s">
        <v>58</v>
      </c>
      <c r="E25" s="163"/>
      <c r="F25" s="164" t="s">
        <v>59</v>
      </c>
      <c r="G25" s="164"/>
      <c r="H25" s="165" t="s">
        <v>60</v>
      </c>
      <c r="I25" s="165"/>
      <c r="J25" s="95" t="s">
        <v>44</v>
      </c>
    </row>
    <row r="26" spans="2:25" ht="30" x14ac:dyDescent="0.25">
      <c r="B26" s="80" t="s">
        <v>57</v>
      </c>
      <c r="C26" s="80" t="s">
        <v>39</v>
      </c>
      <c r="D26" s="81" t="s">
        <v>45</v>
      </c>
      <c r="E26" s="82" t="s">
        <v>46</v>
      </c>
      <c r="F26" s="83" t="s">
        <v>45</v>
      </c>
      <c r="G26" s="84" t="s">
        <v>46</v>
      </c>
      <c r="H26" s="85" t="s">
        <v>45</v>
      </c>
      <c r="I26" s="86" t="s">
        <v>46</v>
      </c>
      <c r="J26" s="87" t="s">
        <v>46</v>
      </c>
      <c r="M26" s="9" t="s">
        <v>134</v>
      </c>
      <c r="N26" s="46"/>
    </row>
    <row r="27" spans="2:25" x14ac:dyDescent="0.25">
      <c r="B27" s="80" t="s">
        <v>2</v>
      </c>
      <c r="C27" s="80" t="s">
        <v>12</v>
      </c>
      <c r="D27" s="88">
        <v>1.54</v>
      </c>
      <c r="E27" s="89">
        <f>+D27+N8</f>
        <v>1.7319696356829337</v>
      </c>
      <c r="F27" s="90">
        <v>3.08</v>
      </c>
      <c r="G27" s="91">
        <f>+F27+N8</f>
        <v>3.2719696356829338</v>
      </c>
      <c r="H27" s="90">
        <v>4.8499999999999996</v>
      </c>
      <c r="I27" s="91">
        <f>+H27+N8</f>
        <v>5.0419696356829329</v>
      </c>
      <c r="J27" s="91">
        <f>2.08+1.21+N8</f>
        <v>3.4819696356829337</v>
      </c>
      <c r="K27" s="27"/>
      <c r="L27" s="27" t="s">
        <v>135</v>
      </c>
      <c r="M27">
        <v>1.35</v>
      </c>
      <c r="O27" s="5"/>
      <c r="P27" s="5"/>
    </row>
    <row r="28" spans="2:25" x14ac:dyDescent="0.25">
      <c r="B28" s="80" t="s">
        <v>33</v>
      </c>
      <c r="C28" s="80" t="s">
        <v>17</v>
      </c>
      <c r="D28" s="88">
        <v>2.4500000000000002</v>
      </c>
      <c r="E28" s="89">
        <f>+D28+N14</f>
        <v>2.6902421893325448</v>
      </c>
      <c r="F28" s="90">
        <v>2.83</v>
      </c>
      <c r="G28" s="91">
        <f>+F28+N14</f>
        <v>3.0702421893325447</v>
      </c>
      <c r="H28" s="90">
        <v>4.5999999999999996</v>
      </c>
      <c r="I28" s="91">
        <f>+H28+N14</f>
        <v>4.8402421893325442</v>
      </c>
      <c r="J28" s="91">
        <f>2.08+0.17+1.13+N14</f>
        <v>3.6202421893325445</v>
      </c>
      <c r="K28" s="27"/>
      <c r="L28" t="s">
        <v>136</v>
      </c>
      <c r="M28">
        <v>2.9</v>
      </c>
      <c r="O28" s="5"/>
      <c r="P28" s="5"/>
    </row>
    <row r="29" spans="2:25" x14ac:dyDescent="0.25">
      <c r="B29" s="80" t="s">
        <v>34</v>
      </c>
      <c r="C29" s="80" t="s">
        <v>18</v>
      </c>
      <c r="D29" s="88">
        <v>3.25</v>
      </c>
      <c r="E29" s="91">
        <f>+D29+N15</f>
        <v>4.3503668736479639</v>
      </c>
      <c r="F29" s="90">
        <v>3.95</v>
      </c>
      <c r="G29" s="91">
        <f>+F29+N15</f>
        <v>5.0503668736479632</v>
      </c>
      <c r="H29" s="90">
        <v>5.72</v>
      </c>
      <c r="I29" s="91">
        <f>+H29+N15</f>
        <v>6.8203668736479628</v>
      </c>
      <c r="J29" s="89">
        <f>+N15</f>
        <v>1.1003668736479635</v>
      </c>
      <c r="K29" s="27"/>
      <c r="L29" s="27" t="s">
        <v>137</v>
      </c>
      <c r="M29" s="5">
        <v>1.03</v>
      </c>
      <c r="O29" s="5"/>
      <c r="P29" s="5"/>
    </row>
    <row r="30" spans="2:25" x14ac:dyDescent="0.25">
      <c r="B30" s="80" t="s">
        <v>3</v>
      </c>
      <c r="C30" s="80" t="s">
        <v>47</v>
      </c>
      <c r="D30" s="90">
        <v>4.13</v>
      </c>
      <c r="E30" s="91">
        <f>+D30+N9</f>
        <v>4.1546720268405677</v>
      </c>
      <c r="F30" s="90">
        <v>1</v>
      </c>
      <c r="G30" s="91">
        <f>+F30+N9</f>
        <v>1.0246720268405676</v>
      </c>
      <c r="H30" s="88">
        <v>0.91</v>
      </c>
      <c r="I30" s="89">
        <f>+H30+N9</f>
        <v>0.9346720268405676</v>
      </c>
      <c r="J30" s="91">
        <f>2.08+0.17+1.7+0.74+0.27+N9</f>
        <v>4.9846720268405686</v>
      </c>
      <c r="K30" s="57"/>
      <c r="O30" s="5"/>
      <c r="P30" s="5"/>
    </row>
    <row r="31" spans="2:25" x14ac:dyDescent="0.25">
      <c r="B31" s="80" t="s">
        <v>3</v>
      </c>
      <c r="C31" s="80" t="s">
        <v>1</v>
      </c>
      <c r="D31" s="90">
        <v>3.86</v>
      </c>
      <c r="E31" s="91">
        <f>+D31+N9</f>
        <v>3.8846720268405672</v>
      </c>
      <c r="F31" s="88">
        <v>0.74</v>
      </c>
      <c r="G31" s="89">
        <f>+F31+N9</f>
        <v>0.76467202684056756</v>
      </c>
      <c r="H31" s="90">
        <v>1.18</v>
      </c>
      <c r="I31" s="91">
        <f>+H31+N9</f>
        <v>1.2046720268405675</v>
      </c>
      <c r="J31" s="91">
        <f>2.08+0.17+1.7+0.74+N9</f>
        <v>4.7146720268405682</v>
      </c>
      <c r="K31" s="27"/>
      <c r="L31" s="27"/>
      <c r="O31" s="5"/>
      <c r="P31" s="5"/>
    </row>
    <row r="32" spans="2:25" x14ac:dyDescent="0.25">
      <c r="B32" s="80" t="s">
        <v>9</v>
      </c>
      <c r="C32" s="92" t="s">
        <v>56</v>
      </c>
      <c r="D32" s="88">
        <v>4.38</v>
      </c>
      <c r="E32" s="93">
        <f>+D32+N16</f>
        <v>5.2871048166154591</v>
      </c>
      <c r="F32" s="90">
        <v>5.08</v>
      </c>
      <c r="G32" s="93">
        <f>+F32+N16</f>
        <v>5.9871048166154592</v>
      </c>
      <c r="H32" s="90">
        <v>6.85</v>
      </c>
      <c r="I32" s="91">
        <f>+H32+N16</f>
        <v>7.7571048166154588</v>
      </c>
      <c r="J32" s="89">
        <f>+M27+M28+N16</f>
        <v>5.1571048166154592</v>
      </c>
      <c r="O32" s="5"/>
      <c r="P32" s="5"/>
    </row>
    <row r="33" spans="2:16" x14ac:dyDescent="0.25">
      <c r="B33" s="80" t="s">
        <v>0</v>
      </c>
      <c r="C33" s="80" t="s">
        <v>13</v>
      </c>
      <c r="D33" s="88">
        <f>1.15+0.64</f>
        <v>1.79</v>
      </c>
      <c r="E33" s="91">
        <f>+D33+$N$11</f>
        <v>2.7142740289510034</v>
      </c>
      <c r="F33" s="94">
        <f>1.7+0.17+0.64</f>
        <v>2.5099999999999998</v>
      </c>
      <c r="G33" s="91">
        <f>+F33+$N$11</f>
        <v>3.4342740289510032</v>
      </c>
      <c r="H33" s="94">
        <f>0.38+0.53+0.27+0.74+1.7+0.17+0.64</f>
        <v>4.43</v>
      </c>
      <c r="I33" s="91">
        <f>+H33+$N$11</f>
        <v>5.3542740289510036</v>
      </c>
      <c r="J33" s="89">
        <f>+M29+N11</f>
        <v>1.9542740289510034</v>
      </c>
      <c r="O33" s="5"/>
      <c r="P33" s="5"/>
    </row>
    <row r="34" spans="2:16" s="32" customFormat="1" x14ac:dyDescent="0.25"/>
    <row r="35" spans="2:16" s="32" customFormat="1" ht="18.75" x14ac:dyDescent="0.3">
      <c r="B35" s="122" t="s">
        <v>62</v>
      </c>
    </row>
    <row r="36" spans="2:16" s="32" customFormat="1" x14ac:dyDescent="0.25"/>
    <row r="37" spans="2:16" ht="20.25" customHeight="1" x14ac:dyDescent="0.25">
      <c r="C37" s="73"/>
      <c r="D37" s="67" t="s">
        <v>58</v>
      </c>
      <c r="E37" s="67">
        <v>4.7</v>
      </c>
      <c r="F37" s="59" t="s">
        <v>59</v>
      </c>
      <c r="G37" s="59">
        <v>4.7300000000000004</v>
      </c>
      <c r="H37" s="68" t="s">
        <v>60</v>
      </c>
      <c r="I37" s="68">
        <v>5</v>
      </c>
      <c r="J37" s="69" t="s">
        <v>61</v>
      </c>
      <c r="K37" s="69">
        <v>6.5</v>
      </c>
      <c r="L37" s="44"/>
    </row>
    <row r="38" spans="2:16" ht="44.25" customHeight="1" x14ac:dyDescent="0.25">
      <c r="B38" s="60" t="s">
        <v>57</v>
      </c>
      <c r="C38" s="60" t="s">
        <v>39</v>
      </c>
      <c r="D38" s="67" t="s">
        <v>45</v>
      </c>
      <c r="E38" s="70" t="s">
        <v>46</v>
      </c>
      <c r="F38" s="59" t="s">
        <v>45</v>
      </c>
      <c r="G38" s="71" t="s">
        <v>46</v>
      </c>
      <c r="H38" s="68" t="s">
        <v>45</v>
      </c>
      <c r="I38" s="72" t="s">
        <v>46</v>
      </c>
      <c r="J38" s="166" t="s">
        <v>46</v>
      </c>
      <c r="K38" s="167"/>
      <c r="L38" s="46"/>
    </row>
    <row r="39" spans="2:16" x14ac:dyDescent="0.25">
      <c r="B39" s="60" t="str">
        <f>+C8</f>
        <v>Centro</v>
      </c>
      <c r="C39" s="60" t="s">
        <v>12</v>
      </c>
      <c r="D39" s="61">
        <f>+D27+$E$37</f>
        <v>6.24</v>
      </c>
      <c r="E39" s="62">
        <f>+E27+$E$37</f>
        <v>6.4319696356829343</v>
      </c>
      <c r="F39" s="58">
        <f t="shared" ref="F39:G45" si="1">+F27+$G$37</f>
        <v>7.8100000000000005</v>
      </c>
      <c r="G39" s="63">
        <f t="shared" si="1"/>
        <v>8.0019696356829346</v>
      </c>
      <c r="H39" s="58">
        <f t="shared" ref="H39:I45" si="2">+H27+$I$37</f>
        <v>9.85</v>
      </c>
      <c r="I39" s="63">
        <f t="shared" si="2"/>
        <v>10.041969635682932</v>
      </c>
      <c r="J39" s="162">
        <f t="shared" ref="J39:J45" si="3">+J27+$K$37</f>
        <v>9.9819696356829333</v>
      </c>
      <c r="K39" s="162"/>
      <c r="L39" s="55"/>
      <c r="O39" s="5"/>
      <c r="P39" s="5"/>
    </row>
    <row r="40" spans="2:16" x14ac:dyDescent="0.25">
      <c r="B40" s="60" t="str">
        <f>+C14</f>
        <v>NorOccidente</v>
      </c>
      <c r="C40" s="60" t="s">
        <v>17</v>
      </c>
      <c r="D40" s="61">
        <f t="shared" ref="D40:E45" si="4">+D28+$E$37</f>
        <v>7.15</v>
      </c>
      <c r="E40" s="130">
        <f t="shared" si="4"/>
        <v>7.390242189332545</v>
      </c>
      <c r="F40" s="64">
        <f t="shared" si="1"/>
        <v>7.5600000000000005</v>
      </c>
      <c r="G40" s="131">
        <f t="shared" si="1"/>
        <v>7.8002421893325451</v>
      </c>
      <c r="H40" s="58">
        <f t="shared" si="2"/>
        <v>9.6</v>
      </c>
      <c r="I40" s="63">
        <f t="shared" si="2"/>
        <v>9.8402421893325442</v>
      </c>
      <c r="J40" s="162">
        <f t="shared" si="3"/>
        <v>10.120242189332544</v>
      </c>
      <c r="K40" s="162"/>
      <c r="L40" s="55"/>
      <c r="O40" s="5"/>
      <c r="P40" s="5"/>
    </row>
    <row r="41" spans="2:16" x14ac:dyDescent="0.25">
      <c r="B41" s="60" t="str">
        <f>+C15</f>
        <v>SurOccidente</v>
      </c>
      <c r="C41" s="60" t="s">
        <v>18</v>
      </c>
      <c r="D41" s="61">
        <f t="shared" si="4"/>
        <v>7.95</v>
      </c>
      <c r="E41" s="63">
        <f t="shared" si="4"/>
        <v>9.0503668736479632</v>
      </c>
      <c r="F41" s="58">
        <f t="shared" si="1"/>
        <v>8.68</v>
      </c>
      <c r="G41" s="63">
        <f t="shared" si="1"/>
        <v>9.7803668736479636</v>
      </c>
      <c r="H41" s="58">
        <f t="shared" si="2"/>
        <v>10.719999999999999</v>
      </c>
      <c r="I41" s="63">
        <f t="shared" si="2"/>
        <v>11.820366873647963</v>
      </c>
      <c r="J41" s="170">
        <f t="shared" si="3"/>
        <v>7.6003668736479639</v>
      </c>
      <c r="K41" s="170"/>
      <c r="L41" s="55"/>
      <c r="M41" s="29"/>
      <c r="N41" s="5"/>
      <c r="O41" s="5"/>
      <c r="P41" s="5"/>
    </row>
    <row r="42" spans="2:16" x14ac:dyDescent="0.25">
      <c r="B42" s="60" t="str">
        <f>+C9</f>
        <v>Costa Atlántica</v>
      </c>
      <c r="C42" s="60" t="s">
        <v>47</v>
      </c>
      <c r="D42" s="58">
        <f t="shared" si="4"/>
        <v>8.83</v>
      </c>
      <c r="E42" s="63">
        <f t="shared" si="4"/>
        <v>8.8546720268405679</v>
      </c>
      <c r="F42" s="61">
        <f t="shared" si="1"/>
        <v>5.73</v>
      </c>
      <c r="G42" s="62">
        <f t="shared" si="1"/>
        <v>5.7546720268405682</v>
      </c>
      <c r="H42" s="58">
        <f t="shared" si="2"/>
        <v>5.91</v>
      </c>
      <c r="I42" s="63">
        <f t="shared" si="2"/>
        <v>5.9346720268405679</v>
      </c>
      <c r="J42" s="162">
        <f t="shared" si="3"/>
        <v>11.484672026840569</v>
      </c>
      <c r="K42" s="162"/>
      <c r="L42" s="55"/>
      <c r="N42" s="29"/>
      <c r="O42" s="5"/>
      <c r="P42" s="5"/>
    </row>
    <row r="43" spans="2:16" x14ac:dyDescent="0.25">
      <c r="B43" s="60" t="str">
        <f>+C9</f>
        <v>Costa Atlántica</v>
      </c>
      <c r="C43" s="60" t="s">
        <v>1</v>
      </c>
      <c r="D43" s="58">
        <f t="shared" si="4"/>
        <v>8.56</v>
      </c>
      <c r="E43" s="63">
        <f t="shared" si="4"/>
        <v>8.5846720268405683</v>
      </c>
      <c r="F43" s="61">
        <f t="shared" si="1"/>
        <v>5.4700000000000006</v>
      </c>
      <c r="G43" s="62">
        <f t="shared" si="1"/>
        <v>5.4946720268405684</v>
      </c>
      <c r="H43" s="58">
        <f t="shared" si="2"/>
        <v>6.18</v>
      </c>
      <c r="I43" s="63">
        <f t="shared" si="2"/>
        <v>6.2046720268405675</v>
      </c>
      <c r="J43" s="162">
        <f t="shared" si="3"/>
        <v>11.214672026840567</v>
      </c>
      <c r="K43" s="162"/>
      <c r="L43" s="55"/>
      <c r="O43" s="5"/>
      <c r="P43" s="5"/>
    </row>
    <row r="44" spans="2:16" x14ac:dyDescent="0.25">
      <c r="B44" s="60" t="str">
        <f>+C16</f>
        <v>Tolima Grande</v>
      </c>
      <c r="C44" s="66" t="s">
        <v>56</v>
      </c>
      <c r="D44" s="61">
        <f t="shared" si="4"/>
        <v>9.08</v>
      </c>
      <c r="E44" s="62">
        <f t="shared" si="4"/>
        <v>9.9871048166154601</v>
      </c>
      <c r="F44" s="58">
        <f t="shared" si="1"/>
        <v>9.81</v>
      </c>
      <c r="G44" s="63">
        <f t="shared" si="1"/>
        <v>10.717104816615461</v>
      </c>
      <c r="H44" s="58">
        <f t="shared" si="2"/>
        <v>11.85</v>
      </c>
      <c r="I44" s="63">
        <f t="shared" si="2"/>
        <v>12.75710481661546</v>
      </c>
      <c r="J44" s="162">
        <f t="shared" si="3"/>
        <v>11.657104816615458</v>
      </c>
      <c r="K44" s="162"/>
      <c r="L44" s="55"/>
      <c r="O44" s="5"/>
      <c r="P44" s="5"/>
    </row>
    <row r="45" spans="2:16" x14ac:dyDescent="0.25">
      <c r="B45" s="60" t="str">
        <f>+C11</f>
        <v>CQR</v>
      </c>
      <c r="C45" s="60" t="s">
        <v>13</v>
      </c>
      <c r="D45" s="61">
        <f t="shared" si="4"/>
        <v>6.49</v>
      </c>
      <c r="E45" s="62">
        <f t="shared" si="4"/>
        <v>7.4142740289510041</v>
      </c>
      <c r="F45" s="64">
        <f t="shared" si="1"/>
        <v>7.24</v>
      </c>
      <c r="G45" s="65">
        <f t="shared" si="1"/>
        <v>8.1642740289510041</v>
      </c>
      <c r="H45" s="64">
        <f t="shared" si="2"/>
        <v>9.43</v>
      </c>
      <c r="I45" s="65">
        <f t="shared" si="2"/>
        <v>10.354274028951004</v>
      </c>
      <c r="J45" s="171">
        <f t="shared" si="3"/>
        <v>8.4542740289510032</v>
      </c>
      <c r="K45" s="171"/>
      <c r="L45" s="26"/>
      <c r="O45" s="5"/>
      <c r="P45" s="5"/>
    </row>
    <row r="46" spans="2:16" x14ac:dyDescent="0.25">
      <c r="B46" s="75"/>
      <c r="C46" s="75"/>
      <c r="D46" s="75"/>
      <c r="E46" s="75"/>
      <c r="F46" s="76"/>
      <c r="G46" s="55"/>
      <c r="H46" s="76"/>
      <c r="I46" s="55"/>
      <c r="J46" s="55"/>
      <c r="K46" s="55"/>
      <c r="L46" s="26"/>
      <c r="O46" s="5"/>
      <c r="P46" s="5"/>
    </row>
    <row r="47" spans="2:16" ht="18.75" x14ac:dyDescent="0.25">
      <c r="B47" s="124" t="s">
        <v>63</v>
      </c>
      <c r="C47" s="75"/>
      <c r="D47" s="75"/>
      <c r="E47" s="75"/>
      <c r="F47" s="76"/>
      <c r="G47" s="55"/>
      <c r="H47" s="76"/>
      <c r="I47" s="55"/>
      <c r="J47" s="55"/>
      <c r="K47" s="55"/>
      <c r="L47" s="26"/>
      <c r="O47" s="5"/>
      <c r="P47" s="5"/>
    </row>
    <row r="48" spans="2:16" x14ac:dyDescent="0.25">
      <c r="L48" s="26"/>
      <c r="M48" s="29"/>
    </row>
    <row r="49" spans="2:16" x14ac:dyDescent="0.25">
      <c r="C49" s="73"/>
      <c r="D49" s="67" t="s">
        <v>58</v>
      </c>
      <c r="E49" s="67">
        <v>4.7</v>
      </c>
      <c r="F49" s="59" t="s">
        <v>59</v>
      </c>
      <c r="G49" s="59">
        <v>4.7300000000000004</v>
      </c>
      <c r="H49" s="68" t="s">
        <v>60</v>
      </c>
      <c r="I49" s="68">
        <v>5</v>
      </c>
      <c r="J49" s="69" t="s">
        <v>61</v>
      </c>
      <c r="K49" s="69">
        <v>6.5</v>
      </c>
      <c r="L49" s="26"/>
    </row>
    <row r="50" spans="2:16" ht="24" x14ac:dyDescent="0.25">
      <c r="B50" s="60" t="s">
        <v>57</v>
      </c>
      <c r="C50" s="60" t="s">
        <v>39</v>
      </c>
      <c r="D50" s="67" t="s">
        <v>45</v>
      </c>
      <c r="E50" s="70" t="s">
        <v>64</v>
      </c>
      <c r="F50" s="59" t="s">
        <v>45</v>
      </c>
      <c r="G50" s="71" t="s">
        <v>64</v>
      </c>
      <c r="H50" s="68" t="s">
        <v>45</v>
      </c>
      <c r="I50" s="72" t="s">
        <v>64</v>
      </c>
      <c r="J50" s="166" t="s">
        <v>64</v>
      </c>
      <c r="K50" s="167"/>
    </row>
    <row r="51" spans="2:16" x14ac:dyDescent="0.25">
      <c r="B51" s="60" t="s">
        <v>2</v>
      </c>
      <c r="C51" s="60" t="s">
        <v>12</v>
      </c>
      <c r="D51" s="61">
        <f t="shared" ref="D51:D57" si="5">+D27+$E$37</f>
        <v>6.24</v>
      </c>
      <c r="E51" s="62">
        <f t="shared" ref="E51:E57" si="6">+D51+$N$18</f>
        <v>6.501086582726618</v>
      </c>
      <c r="F51" s="58">
        <f>+F27+$G$37</f>
        <v>7.8100000000000005</v>
      </c>
      <c r="G51" s="63">
        <f t="shared" ref="G51:G57" si="7">+F51+$N$18</f>
        <v>8.0710865827266183</v>
      </c>
      <c r="H51" s="58">
        <f t="shared" ref="H51:H57" si="8">+H27+$I$37</f>
        <v>9.85</v>
      </c>
      <c r="I51" s="63">
        <f>+H51+$N$18</f>
        <v>10.111086582726617</v>
      </c>
      <c r="J51" s="162">
        <f>2.08+1.21+N18+K37</f>
        <v>10.051086582726617</v>
      </c>
      <c r="K51" s="162"/>
      <c r="L51" s="29"/>
      <c r="O51" s="5"/>
      <c r="P51" s="5"/>
    </row>
    <row r="52" spans="2:16" x14ac:dyDescent="0.25">
      <c r="B52" s="60" t="s">
        <v>33</v>
      </c>
      <c r="C52" s="60" t="s">
        <v>17</v>
      </c>
      <c r="D52" s="61">
        <f t="shared" si="5"/>
        <v>7.15</v>
      </c>
      <c r="E52" s="130">
        <f t="shared" si="6"/>
        <v>7.4110865827266181</v>
      </c>
      <c r="F52" s="64">
        <f t="shared" ref="F51:F57" si="9">+F28+$G$37</f>
        <v>7.5600000000000005</v>
      </c>
      <c r="G52" s="131">
        <f t="shared" si="7"/>
        <v>7.8210865827266183</v>
      </c>
      <c r="H52" s="58">
        <f t="shared" si="8"/>
        <v>9.6</v>
      </c>
      <c r="I52" s="133">
        <f t="shared" ref="I52:I57" si="10">+H52+$N$18</f>
        <v>9.8610865827266174</v>
      </c>
      <c r="J52" s="162">
        <f>2.08+0.17+1.13+N18+K37</f>
        <v>10.141086582726617</v>
      </c>
      <c r="K52" s="162"/>
      <c r="L52" s="29"/>
      <c r="O52" s="5"/>
      <c r="P52" s="5"/>
    </row>
    <row r="53" spans="2:16" x14ac:dyDescent="0.25">
      <c r="B53" s="60" t="s">
        <v>34</v>
      </c>
      <c r="C53" s="60" t="s">
        <v>18</v>
      </c>
      <c r="D53" s="61">
        <f t="shared" si="5"/>
        <v>7.95</v>
      </c>
      <c r="E53" s="63">
        <f t="shared" si="6"/>
        <v>8.2110865827266171</v>
      </c>
      <c r="F53" s="58">
        <f t="shared" si="9"/>
        <v>8.68</v>
      </c>
      <c r="G53" s="63">
        <f t="shared" si="7"/>
        <v>8.9410865827266175</v>
      </c>
      <c r="H53" s="58">
        <f t="shared" si="8"/>
        <v>10.719999999999999</v>
      </c>
      <c r="I53" s="133">
        <f t="shared" si="10"/>
        <v>10.981086582726617</v>
      </c>
      <c r="J53" s="170">
        <f>+N18+K37</f>
        <v>6.7610865827266178</v>
      </c>
      <c r="K53" s="170"/>
      <c r="L53" s="29"/>
      <c r="O53" s="5"/>
      <c r="P53" s="5"/>
    </row>
    <row r="54" spans="2:16" x14ac:dyDescent="0.25">
      <c r="B54" s="60" t="s">
        <v>3</v>
      </c>
      <c r="C54" s="60" t="s">
        <v>47</v>
      </c>
      <c r="D54" s="58">
        <f t="shared" si="5"/>
        <v>8.83</v>
      </c>
      <c r="E54" s="63">
        <f t="shared" si="6"/>
        <v>9.0910865827266178</v>
      </c>
      <c r="F54" s="61">
        <f t="shared" si="9"/>
        <v>5.73</v>
      </c>
      <c r="G54" s="62">
        <f t="shared" si="7"/>
        <v>5.9910865827266182</v>
      </c>
      <c r="H54" s="58">
        <f t="shared" si="8"/>
        <v>5.91</v>
      </c>
      <c r="I54" s="133">
        <f t="shared" si="10"/>
        <v>6.1710865827266179</v>
      </c>
      <c r="J54" s="162">
        <f>2.08+0.17+1.7+0.74+0.27+N18+K37</f>
        <v>11.721086582726619</v>
      </c>
      <c r="K54" s="162"/>
      <c r="L54" s="29"/>
      <c r="O54" s="5"/>
      <c r="P54" s="5"/>
    </row>
    <row r="55" spans="2:16" x14ac:dyDescent="0.25">
      <c r="B55" s="60" t="s">
        <v>3</v>
      </c>
      <c r="C55" s="60" t="s">
        <v>1</v>
      </c>
      <c r="D55" s="58">
        <f t="shared" si="5"/>
        <v>8.56</v>
      </c>
      <c r="E55" s="63">
        <f t="shared" si="6"/>
        <v>8.8210865827266183</v>
      </c>
      <c r="F55" s="61">
        <f t="shared" si="9"/>
        <v>5.4700000000000006</v>
      </c>
      <c r="G55" s="62">
        <f t="shared" si="7"/>
        <v>5.7310865827266184</v>
      </c>
      <c r="H55" s="58">
        <f t="shared" si="8"/>
        <v>6.18</v>
      </c>
      <c r="I55" s="133">
        <f t="shared" si="10"/>
        <v>6.4410865827266175</v>
      </c>
      <c r="J55" s="162">
        <f>2.08+0.17+1.7+0.74+N18+K37</f>
        <v>11.451086582726617</v>
      </c>
      <c r="K55" s="162"/>
      <c r="L55" s="29"/>
      <c r="O55" s="5"/>
      <c r="P55" s="5"/>
    </row>
    <row r="56" spans="2:16" x14ac:dyDescent="0.25">
      <c r="B56" s="60" t="s">
        <v>9</v>
      </c>
      <c r="C56" s="66" t="s">
        <v>56</v>
      </c>
      <c r="D56" s="61">
        <f t="shared" si="5"/>
        <v>9.08</v>
      </c>
      <c r="E56" s="62">
        <f t="shared" si="6"/>
        <v>9.3410865827266178</v>
      </c>
      <c r="F56" s="58">
        <f t="shared" si="9"/>
        <v>9.81</v>
      </c>
      <c r="G56" s="63">
        <f t="shared" si="7"/>
        <v>10.071086582726618</v>
      </c>
      <c r="H56" s="58">
        <f t="shared" si="8"/>
        <v>11.85</v>
      </c>
      <c r="I56" s="133">
        <f t="shared" si="10"/>
        <v>12.111086582726617</v>
      </c>
      <c r="J56" s="162">
        <f>+M27+M28+N18+K37</f>
        <v>11.011086582726618</v>
      </c>
      <c r="K56" s="162"/>
      <c r="L56" s="29"/>
      <c r="O56" s="5"/>
      <c r="P56" s="5"/>
    </row>
    <row r="57" spans="2:16" x14ac:dyDescent="0.25">
      <c r="B57" s="60" t="s">
        <v>0</v>
      </c>
      <c r="C57" s="60" t="s">
        <v>13</v>
      </c>
      <c r="D57" s="61">
        <f t="shared" si="5"/>
        <v>6.49</v>
      </c>
      <c r="E57" s="62">
        <f t="shared" si="6"/>
        <v>6.751086582726618</v>
      </c>
      <c r="F57" s="64">
        <f t="shared" si="9"/>
        <v>7.24</v>
      </c>
      <c r="G57" s="65">
        <f t="shared" si="7"/>
        <v>7.501086582726618</v>
      </c>
      <c r="H57" s="64">
        <f t="shared" si="8"/>
        <v>9.43</v>
      </c>
      <c r="I57" s="133">
        <f t="shared" si="10"/>
        <v>9.6910865827266175</v>
      </c>
      <c r="J57" s="171">
        <f>+M29+N18+K37</f>
        <v>7.7910865827266171</v>
      </c>
      <c r="K57" s="171"/>
      <c r="L57" s="29"/>
      <c r="O57" s="5"/>
      <c r="P57" s="5"/>
    </row>
    <row r="59" spans="2:16" ht="18.75" x14ac:dyDescent="0.25">
      <c r="B59" s="124" t="s">
        <v>91</v>
      </c>
    </row>
    <row r="61" spans="2:16" x14ac:dyDescent="0.25">
      <c r="D61" s="67" t="s">
        <v>58</v>
      </c>
      <c r="E61" s="67">
        <v>4.7</v>
      </c>
      <c r="F61" s="59" t="s">
        <v>59</v>
      </c>
      <c r="G61" s="59">
        <v>4.7300000000000004</v>
      </c>
      <c r="H61" s="68" t="s">
        <v>60</v>
      </c>
      <c r="I61" s="68">
        <v>5</v>
      </c>
      <c r="J61" s="69" t="s">
        <v>61</v>
      </c>
      <c r="K61" s="69">
        <v>6.5</v>
      </c>
    </row>
    <row r="62" spans="2:16" ht="24" x14ac:dyDescent="0.25">
      <c r="B62" s="74" t="s">
        <v>57</v>
      </c>
      <c r="C62" s="74" t="s">
        <v>39</v>
      </c>
      <c r="D62" s="70" t="s">
        <v>46</v>
      </c>
      <c r="E62" s="70" t="s">
        <v>64</v>
      </c>
      <c r="F62" s="71" t="s">
        <v>46</v>
      </c>
      <c r="G62" s="71" t="s">
        <v>64</v>
      </c>
      <c r="H62" s="72" t="s">
        <v>46</v>
      </c>
      <c r="I62" s="72" t="s">
        <v>64</v>
      </c>
      <c r="J62" s="77" t="s">
        <v>46</v>
      </c>
      <c r="K62" s="77" t="s">
        <v>64</v>
      </c>
    </row>
    <row r="63" spans="2:16" x14ac:dyDescent="0.25">
      <c r="B63" s="60" t="s">
        <v>2</v>
      </c>
      <c r="C63" s="60" t="s">
        <v>12</v>
      </c>
      <c r="D63" s="79">
        <f t="shared" ref="D63:D69" si="11">+E39</f>
        <v>6.4319696356829343</v>
      </c>
      <c r="E63" s="78">
        <f t="shared" ref="E63:E69" si="12">+E51</f>
        <v>6.501086582726618</v>
      </c>
      <c r="F63" s="79">
        <f t="shared" ref="F63:F69" si="13">+G39</f>
        <v>8.0019696356829346</v>
      </c>
      <c r="G63" s="78">
        <f t="shared" ref="G63:G69" si="14">+G51</f>
        <v>8.0710865827266183</v>
      </c>
      <c r="H63" s="79">
        <f t="shared" ref="H63:H69" si="15">+I39</f>
        <v>10.041969635682932</v>
      </c>
      <c r="I63" s="78">
        <f t="shared" ref="I63:I69" si="16">+I51</f>
        <v>10.111086582726617</v>
      </c>
      <c r="J63" s="79">
        <f t="shared" ref="J63:J69" si="17">+J39</f>
        <v>9.9819696356829333</v>
      </c>
      <c r="K63" s="78">
        <f t="shared" ref="K63:K69" si="18">+J51</f>
        <v>10.051086582726617</v>
      </c>
    </row>
    <row r="64" spans="2:16" x14ac:dyDescent="0.25">
      <c r="B64" s="60" t="s">
        <v>33</v>
      </c>
      <c r="C64" s="60" t="s">
        <v>17</v>
      </c>
      <c r="D64" s="79">
        <f t="shared" si="11"/>
        <v>7.390242189332545</v>
      </c>
      <c r="E64" s="78">
        <f t="shared" si="12"/>
        <v>7.4110865827266181</v>
      </c>
      <c r="F64" s="79">
        <f t="shared" si="13"/>
        <v>7.8002421893325451</v>
      </c>
      <c r="G64" s="78">
        <f t="shared" si="14"/>
        <v>7.8210865827266183</v>
      </c>
      <c r="H64" s="79">
        <f t="shared" si="15"/>
        <v>9.8402421893325442</v>
      </c>
      <c r="I64" s="78">
        <f t="shared" si="16"/>
        <v>9.8610865827266174</v>
      </c>
      <c r="J64" s="79">
        <f t="shared" si="17"/>
        <v>10.120242189332544</v>
      </c>
      <c r="K64" s="78">
        <f t="shared" si="18"/>
        <v>10.141086582726617</v>
      </c>
    </row>
    <row r="65" spans="2:11" x14ac:dyDescent="0.25">
      <c r="B65" s="60" t="s">
        <v>34</v>
      </c>
      <c r="C65" s="60" t="s">
        <v>18</v>
      </c>
      <c r="D65" s="78">
        <f t="shared" si="11"/>
        <v>9.0503668736479632</v>
      </c>
      <c r="E65" s="79">
        <f t="shared" si="12"/>
        <v>8.2110865827266171</v>
      </c>
      <c r="F65" s="78">
        <f t="shared" si="13"/>
        <v>9.7803668736479636</v>
      </c>
      <c r="G65" s="79">
        <f t="shared" si="14"/>
        <v>8.9410865827266175</v>
      </c>
      <c r="H65" s="78">
        <f t="shared" si="15"/>
        <v>11.820366873647963</v>
      </c>
      <c r="I65" s="79">
        <f t="shared" si="16"/>
        <v>10.981086582726617</v>
      </c>
      <c r="J65" s="78">
        <f t="shared" si="17"/>
        <v>7.6003668736479639</v>
      </c>
      <c r="K65" s="79">
        <f t="shared" si="18"/>
        <v>6.7610865827266178</v>
      </c>
    </row>
    <row r="66" spans="2:11" x14ac:dyDescent="0.25">
      <c r="B66" s="60" t="s">
        <v>3</v>
      </c>
      <c r="C66" s="60" t="s">
        <v>47</v>
      </c>
      <c r="D66" s="79">
        <f t="shared" si="11"/>
        <v>8.8546720268405679</v>
      </c>
      <c r="E66" s="78">
        <f t="shared" si="12"/>
        <v>9.0910865827266178</v>
      </c>
      <c r="F66" s="79">
        <f t="shared" si="13"/>
        <v>5.7546720268405682</v>
      </c>
      <c r="G66" s="78">
        <f t="shared" si="14"/>
        <v>5.9910865827266182</v>
      </c>
      <c r="H66" s="79">
        <f t="shared" si="15"/>
        <v>5.9346720268405679</v>
      </c>
      <c r="I66" s="78">
        <f t="shared" si="16"/>
        <v>6.1710865827266179</v>
      </c>
      <c r="J66" s="79">
        <f t="shared" si="17"/>
        <v>11.484672026840569</v>
      </c>
      <c r="K66" s="78">
        <f t="shared" si="18"/>
        <v>11.721086582726619</v>
      </c>
    </row>
    <row r="67" spans="2:11" x14ac:dyDescent="0.25">
      <c r="B67" s="60" t="s">
        <v>3</v>
      </c>
      <c r="C67" s="60" t="s">
        <v>1</v>
      </c>
      <c r="D67" s="79">
        <f t="shared" si="11"/>
        <v>8.5846720268405683</v>
      </c>
      <c r="E67" s="78">
        <f t="shared" si="12"/>
        <v>8.8210865827266183</v>
      </c>
      <c r="F67" s="79">
        <f t="shared" si="13"/>
        <v>5.4946720268405684</v>
      </c>
      <c r="G67" s="78">
        <f t="shared" si="14"/>
        <v>5.7310865827266184</v>
      </c>
      <c r="H67" s="79">
        <f t="shared" si="15"/>
        <v>6.2046720268405675</v>
      </c>
      <c r="I67" s="78">
        <f t="shared" si="16"/>
        <v>6.4410865827266175</v>
      </c>
      <c r="J67" s="79">
        <f t="shared" si="17"/>
        <v>11.214672026840567</v>
      </c>
      <c r="K67" s="78">
        <f t="shared" si="18"/>
        <v>11.451086582726617</v>
      </c>
    </row>
    <row r="68" spans="2:11" x14ac:dyDescent="0.25">
      <c r="B68" s="60" t="s">
        <v>9</v>
      </c>
      <c r="C68" s="66" t="s">
        <v>56</v>
      </c>
      <c r="D68" s="78">
        <f t="shared" si="11"/>
        <v>9.9871048166154601</v>
      </c>
      <c r="E68" s="79">
        <f t="shared" si="12"/>
        <v>9.3410865827266178</v>
      </c>
      <c r="F68" s="78">
        <f t="shared" si="13"/>
        <v>10.717104816615461</v>
      </c>
      <c r="G68" s="79">
        <f t="shared" si="14"/>
        <v>10.071086582726618</v>
      </c>
      <c r="H68" s="78">
        <f t="shared" si="15"/>
        <v>12.75710481661546</v>
      </c>
      <c r="I68" s="79">
        <f t="shared" si="16"/>
        <v>12.111086582726617</v>
      </c>
      <c r="J68" s="78">
        <f t="shared" si="17"/>
        <v>11.657104816615458</v>
      </c>
      <c r="K68" s="79">
        <f t="shared" si="18"/>
        <v>11.011086582726618</v>
      </c>
    </row>
    <row r="69" spans="2:11" x14ac:dyDescent="0.25">
      <c r="B69" s="60" t="s">
        <v>0</v>
      </c>
      <c r="C69" s="60" t="s">
        <v>13</v>
      </c>
      <c r="D69" s="78">
        <f t="shared" si="11"/>
        <v>7.4142740289510041</v>
      </c>
      <c r="E69" s="79">
        <f t="shared" si="12"/>
        <v>6.751086582726618</v>
      </c>
      <c r="F69" s="78">
        <f t="shared" si="13"/>
        <v>8.1642740289510041</v>
      </c>
      <c r="G69" s="79">
        <f t="shared" si="14"/>
        <v>7.501086582726618</v>
      </c>
      <c r="H69" s="78">
        <f t="shared" si="15"/>
        <v>10.354274028951004</v>
      </c>
      <c r="I69" s="79">
        <f t="shared" si="16"/>
        <v>9.6910865827266175</v>
      </c>
      <c r="J69" s="78">
        <f t="shared" si="17"/>
        <v>8.4542740289510032</v>
      </c>
      <c r="K69" s="79">
        <f t="shared" si="18"/>
        <v>7.7910865827266171</v>
      </c>
    </row>
    <row r="71" spans="2:11" ht="21" x14ac:dyDescent="0.35">
      <c r="B71" s="123" t="s">
        <v>122</v>
      </c>
    </row>
    <row r="73" spans="2:11" s="10" customFormat="1" ht="49.5" customHeight="1" x14ac:dyDescent="0.25">
      <c r="D73" s="172" t="s">
        <v>96</v>
      </c>
      <c r="E73" s="172"/>
      <c r="F73" s="172" t="s">
        <v>97</v>
      </c>
      <c r="G73" s="172"/>
    </row>
    <row r="74" spans="2:11" ht="90" customHeight="1" x14ac:dyDescent="0.25">
      <c r="B74" s="112" t="s">
        <v>43</v>
      </c>
      <c r="C74" s="112" t="s">
        <v>42</v>
      </c>
      <c r="D74" s="112" t="s">
        <v>90</v>
      </c>
      <c r="E74" s="112" t="s">
        <v>89</v>
      </c>
      <c r="F74" s="112" t="s">
        <v>90</v>
      </c>
      <c r="G74" s="112" t="s">
        <v>89</v>
      </c>
    </row>
    <row r="75" spans="2:11" x14ac:dyDescent="0.25">
      <c r="B75" s="117" t="s">
        <v>2</v>
      </c>
      <c r="C75" s="118" t="s">
        <v>12</v>
      </c>
      <c r="D75" s="99">
        <f t="shared" ref="D75:D83" si="19">+G8</f>
        <v>2.0693462093516385E-2</v>
      </c>
      <c r="E75" s="99">
        <f t="shared" ref="E75:E83" si="20">+H8</f>
        <v>0.12469774852413645</v>
      </c>
      <c r="F75" s="99">
        <f>+D75*$F$2</f>
        <v>1.3450750360785651E-2</v>
      </c>
      <c r="G75" s="99">
        <f>+E75*$F$2</f>
        <v>8.1053536540688698E-2</v>
      </c>
    </row>
    <row r="76" spans="2:11" ht="45" x14ac:dyDescent="0.25">
      <c r="B76" s="117" t="s">
        <v>3</v>
      </c>
      <c r="C76" s="118" t="s">
        <v>110</v>
      </c>
      <c r="D76" s="99">
        <f t="shared" si="19"/>
        <v>2.5799613069697122E-3</v>
      </c>
      <c r="E76" s="99">
        <f t="shared" si="20"/>
        <v>1.50978212986882E-2</v>
      </c>
      <c r="F76" s="99">
        <f t="shared" ref="F76:F83" si="21">+D76*$F$2</f>
        <v>1.676974849530313E-3</v>
      </c>
      <c r="G76" s="99">
        <f t="shared" ref="G76:G83" si="22">+E76*$F$2</f>
        <v>9.8135838441473309E-3</v>
      </c>
    </row>
    <row r="77" spans="2:11" ht="30" x14ac:dyDescent="0.25">
      <c r="B77" s="117" t="s">
        <v>4</v>
      </c>
      <c r="C77" s="118" t="s">
        <v>14</v>
      </c>
      <c r="D77" s="99">
        <f t="shared" si="19"/>
        <v>1.6396478388313565E-3</v>
      </c>
      <c r="E77" s="99">
        <f t="shared" si="20"/>
        <v>1.1051595535485495E-2</v>
      </c>
      <c r="F77" s="99">
        <f t="shared" si="21"/>
        <v>1.0657710952403818E-3</v>
      </c>
      <c r="G77" s="99">
        <f t="shared" si="22"/>
        <v>7.1835370980655724E-3</v>
      </c>
    </row>
    <row r="78" spans="2:11" x14ac:dyDescent="0.25">
      <c r="B78" s="117" t="s">
        <v>0</v>
      </c>
      <c r="C78" s="118" t="s">
        <v>13</v>
      </c>
      <c r="D78" s="99">
        <f t="shared" si="19"/>
        <v>0.12670121935985157</v>
      </c>
      <c r="E78" s="99">
        <f t="shared" si="20"/>
        <v>0.75099438452587108</v>
      </c>
      <c r="F78" s="99">
        <f t="shared" si="21"/>
        <v>8.235579258390352E-2</v>
      </c>
      <c r="G78" s="99">
        <f t="shared" si="22"/>
        <v>0.48814634994181622</v>
      </c>
    </row>
    <row r="79" spans="2:11" ht="30" x14ac:dyDescent="0.25">
      <c r="B79" s="117" t="s">
        <v>5</v>
      </c>
      <c r="C79" s="118" t="s">
        <v>15</v>
      </c>
      <c r="D79" s="99">
        <f t="shared" si="19"/>
        <v>7.6542063124971055E-2</v>
      </c>
      <c r="E79" s="99">
        <f t="shared" si="20"/>
        <v>0.44398531941730585</v>
      </c>
      <c r="F79" s="132">
        <f>+CIB!C98</f>
        <v>0.1297386815284339</v>
      </c>
      <c r="G79" s="132">
        <f>+CIB!C75</f>
        <v>0.75255444663327531</v>
      </c>
    </row>
    <row r="80" spans="2:11" ht="30" x14ac:dyDescent="0.25">
      <c r="B80" s="117" t="s">
        <v>32</v>
      </c>
      <c r="C80" s="118" t="s">
        <v>16</v>
      </c>
      <c r="D80" s="99">
        <f t="shared" si="19"/>
        <v>8.9266715811508037E-4</v>
      </c>
      <c r="E80" s="99">
        <f t="shared" si="20"/>
        <v>2.0619891186157433E-3</v>
      </c>
      <c r="F80" s="99">
        <f t="shared" si="21"/>
        <v>5.802336527748023E-4</v>
      </c>
      <c r="G80" s="99">
        <f t="shared" si="22"/>
        <v>1.3402929271002333E-3</v>
      </c>
    </row>
    <row r="81" spans="2:7" ht="30" x14ac:dyDescent="0.25">
      <c r="B81" s="117" t="s">
        <v>33</v>
      </c>
      <c r="C81" s="118" t="s">
        <v>17</v>
      </c>
      <c r="D81" s="99">
        <f t="shared" si="19"/>
        <v>2.730097568739337E-2</v>
      </c>
      <c r="E81" s="99">
        <f t="shared" si="20"/>
        <v>0.1663627885798703</v>
      </c>
      <c r="F81" s="99">
        <f t="shared" si="21"/>
        <v>1.774563419680569E-2</v>
      </c>
      <c r="G81" s="99">
        <f>+E81*$F$2</f>
        <v>0.10813581257691569</v>
      </c>
    </row>
    <row r="82" spans="2:7" ht="30" x14ac:dyDescent="0.25">
      <c r="B82" s="117" t="s">
        <v>34</v>
      </c>
      <c r="C82" s="118" t="s">
        <v>18</v>
      </c>
      <c r="D82" s="99">
        <f t="shared" si="19"/>
        <v>0.11492697837487661</v>
      </c>
      <c r="E82" s="99">
        <f t="shared" si="20"/>
        <v>0.68808001978979039</v>
      </c>
      <c r="F82" s="132">
        <f>+Cali!C100</f>
        <v>0.12539761023087545</v>
      </c>
      <c r="G82" s="132">
        <f>+Cali!C77</f>
        <v>0.75076880423852754</v>
      </c>
    </row>
    <row r="83" spans="2:7" ht="30" x14ac:dyDescent="0.25">
      <c r="B83" s="117" t="s">
        <v>9</v>
      </c>
      <c r="C83" s="118" t="s">
        <v>56</v>
      </c>
      <c r="D83" s="99">
        <f t="shared" si="19"/>
        <v>0.10185457032889794</v>
      </c>
      <c r="E83" s="99">
        <f t="shared" si="20"/>
        <v>0.62302587242303265</v>
      </c>
      <c r="F83" s="99">
        <f t="shared" si="21"/>
        <v>6.620547071378366E-2</v>
      </c>
      <c r="G83" s="99">
        <f t="shared" si="22"/>
        <v>0.40496681707497123</v>
      </c>
    </row>
    <row r="84" spans="2:7" s="32" customFormat="1" x14ac:dyDescent="0.25">
      <c r="B84" s="119"/>
      <c r="C84" s="119"/>
      <c r="D84" s="120"/>
      <c r="F84" s="120"/>
    </row>
    <row r="86" spans="2:7" ht="51.75" customHeight="1" x14ac:dyDescent="0.25">
      <c r="B86" s="10"/>
      <c r="C86" s="10"/>
      <c r="D86" s="172" t="s">
        <v>96</v>
      </c>
      <c r="E86" s="172"/>
      <c r="F86" s="172" t="s">
        <v>97</v>
      </c>
      <c r="G86" s="172"/>
    </row>
    <row r="87" spans="2:7" ht="60" x14ac:dyDescent="0.25">
      <c r="B87" s="112" t="s">
        <v>43</v>
      </c>
      <c r="C87" s="112" t="s">
        <v>42</v>
      </c>
      <c r="D87" s="112" t="s">
        <v>90</v>
      </c>
      <c r="E87" s="112" t="s">
        <v>89</v>
      </c>
      <c r="F87" s="112" t="s">
        <v>90</v>
      </c>
      <c r="G87" s="112" t="s">
        <v>89</v>
      </c>
    </row>
    <row r="88" spans="2:7" x14ac:dyDescent="0.25">
      <c r="B88" s="173" t="s">
        <v>67</v>
      </c>
      <c r="C88" s="174"/>
      <c r="D88" s="99">
        <f>+G18</f>
        <v>3.2375480983447058E-2</v>
      </c>
      <c r="E88" s="99">
        <f>+H18</f>
        <v>0.19245424806826861</v>
      </c>
      <c r="F88" s="99">
        <f>+Nacional!C100</f>
        <v>2.3547760139171311E-2</v>
      </c>
      <c r="G88" s="99">
        <f>+Nacional!C78</f>
        <v>0.13997835193840721</v>
      </c>
    </row>
  </sheetData>
  <mergeCells count="25">
    <mergeCell ref="D73:E73"/>
    <mergeCell ref="F73:G73"/>
    <mergeCell ref="B88:C88"/>
    <mergeCell ref="D86:E86"/>
    <mergeCell ref="F86:G86"/>
    <mergeCell ref="J57:K57"/>
    <mergeCell ref="J42:K42"/>
    <mergeCell ref="J43:K43"/>
    <mergeCell ref="J50:K50"/>
    <mergeCell ref="J51:K51"/>
    <mergeCell ref="J52:K52"/>
    <mergeCell ref="J45:K45"/>
    <mergeCell ref="J44:K44"/>
    <mergeCell ref="C18:D18"/>
    <mergeCell ref="J53:K53"/>
    <mergeCell ref="J54:K54"/>
    <mergeCell ref="J55:K55"/>
    <mergeCell ref="J56:K56"/>
    <mergeCell ref="J41:K41"/>
    <mergeCell ref="J40:K40"/>
    <mergeCell ref="D25:E25"/>
    <mergeCell ref="F25:G25"/>
    <mergeCell ref="H25:I25"/>
    <mergeCell ref="J38:K38"/>
    <mergeCell ref="J39:K39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"/>
  <sheetViews>
    <sheetView showGridLines="0" workbookViewId="0">
      <pane ySplit="2" topLeftCell="A39" activePane="bottomLeft" state="frozen"/>
      <selection pane="bottomLeft" activeCell="F65" sqref="F65"/>
    </sheetView>
  </sheetViews>
  <sheetFormatPr baseColWidth="10" defaultRowHeight="15" x14ac:dyDescent="0.25"/>
  <cols>
    <col min="1" max="1" width="19.42578125" bestFit="1" customWidth="1"/>
    <col min="2" max="2" width="26.140625" bestFit="1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8" t="s">
        <v>123</v>
      </c>
      <c r="C2" s="42" t="str">
        <f>+'%  Planta'!C8</f>
        <v>Centro</v>
      </c>
      <c r="D2" s="43">
        <v>0.03</v>
      </c>
      <c r="E2" s="27">
        <v>700</v>
      </c>
      <c r="F2" s="27">
        <v>2024</v>
      </c>
      <c r="G2" s="143">
        <v>0.1275</v>
      </c>
    </row>
    <row r="4" spans="1:27" ht="18.75" x14ac:dyDescent="0.3">
      <c r="A4" s="113" t="s">
        <v>88</v>
      </c>
    </row>
    <row r="5" spans="1:27" x14ac:dyDescent="0.25"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128">
        <f>(E2*'%  Planta'!F4)*'%  Planta'!E8</f>
        <v>132.00240143472254</v>
      </c>
    </row>
    <row r="8" spans="1:27" x14ac:dyDescent="0.25">
      <c r="B8" t="s">
        <v>25</v>
      </c>
      <c r="C8" s="5"/>
      <c r="D8" s="5"/>
      <c r="E8" s="5"/>
      <c r="F8" s="5"/>
      <c r="G8" s="5"/>
      <c r="H8" s="24">
        <f t="shared" ref="H8:AA8" si="0">$H$7*$D$2</f>
        <v>3.9600720430416763</v>
      </c>
      <c r="I8" s="24">
        <f t="shared" si="0"/>
        <v>3.9600720430416763</v>
      </c>
      <c r="J8" s="24">
        <f t="shared" si="0"/>
        <v>3.9600720430416763</v>
      </c>
      <c r="K8" s="24">
        <f t="shared" si="0"/>
        <v>3.9600720430416763</v>
      </c>
      <c r="L8" s="24">
        <f t="shared" si="0"/>
        <v>3.9600720430416763</v>
      </c>
      <c r="M8" s="24">
        <f t="shared" si="0"/>
        <v>3.9600720430416763</v>
      </c>
      <c r="N8" s="24">
        <f t="shared" si="0"/>
        <v>3.9600720430416763</v>
      </c>
      <c r="O8" s="24">
        <f t="shared" si="0"/>
        <v>3.9600720430416763</v>
      </c>
      <c r="P8" s="24">
        <f t="shared" si="0"/>
        <v>3.9600720430416763</v>
      </c>
      <c r="Q8" s="24">
        <f t="shared" si="0"/>
        <v>3.9600720430416763</v>
      </c>
      <c r="R8" s="24">
        <f t="shared" si="0"/>
        <v>3.9600720430416763</v>
      </c>
      <c r="S8" s="24">
        <f t="shared" si="0"/>
        <v>3.9600720430416763</v>
      </c>
      <c r="T8" s="24">
        <f t="shared" si="0"/>
        <v>3.9600720430416763</v>
      </c>
      <c r="U8" s="24">
        <f t="shared" si="0"/>
        <v>3.9600720430416763</v>
      </c>
      <c r="V8" s="24">
        <f t="shared" si="0"/>
        <v>3.9600720430416763</v>
      </c>
      <c r="W8" s="24">
        <f t="shared" si="0"/>
        <v>3.9600720430416763</v>
      </c>
      <c r="X8" s="24">
        <f t="shared" si="0"/>
        <v>3.9600720430416763</v>
      </c>
      <c r="Y8" s="24">
        <f t="shared" si="0"/>
        <v>3.9600720430416763</v>
      </c>
      <c r="Z8" s="24">
        <f t="shared" si="0"/>
        <v>3.9600720430416763</v>
      </c>
      <c r="AA8" s="24">
        <f t="shared" si="0"/>
        <v>3.9600720430416763</v>
      </c>
    </row>
    <row r="9" spans="1:27" x14ac:dyDescent="0.25">
      <c r="B9" s="20"/>
      <c r="C9" s="5">
        <f>+C8+C7</f>
        <v>0</v>
      </c>
      <c r="D9" s="5">
        <f t="shared" ref="D9:AA9" si="1">+D8+D7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>+H8+H7</f>
        <v>135.96247347776421</v>
      </c>
      <c r="I9" s="5">
        <f t="shared" si="1"/>
        <v>3.9600720430416763</v>
      </c>
      <c r="J9" s="5">
        <f t="shared" si="1"/>
        <v>3.9600720430416763</v>
      </c>
      <c r="K9" s="5">
        <f t="shared" si="1"/>
        <v>3.9600720430416763</v>
      </c>
      <c r="L9" s="5">
        <f t="shared" si="1"/>
        <v>3.9600720430416763</v>
      </c>
      <c r="M9" s="5">
        <f t="shared" si="1"/>
        <v>3.9600720430416763</v>
      </c>
      <c r="N9" s="5">
        <f t="shared" si="1"/>
        <v>3.9600720430416763</v>
      </c>
      <c r="O9" s="5">
        <f t="shared" si="1"/>
        <v>3.9600720430416763</v>
      </c>
      <c r="P9" s="5">
        <f t="shared" si="1"/>
        <v>3.9600720430416763</v>
      </c>
      <c r="Q9" s="5">
        <f t="shared" si="1"/>
        <v>3.9600720430416763</v>
      </c>
      <c r="R9" s="5">
        <f t="shared" si="1"/>
        <v>3.9600720430416763</v>
      </c>
      <c r="S9" s="5">
        <f t="shared" si="1"/>
        <v>3.9600720430416763</v>
      </c>
      <c r="T9" s="5">
        <f t="shared" si="1"/>
        <v>3.9600720430416763</v>
      </c>
      <c r="U9" s="5">
        <f t="shared" si="1"/>
        <v>3.9600720430416763</v>
      </c>
      <c r="V9" s="5">
        <f t="shared" si="1"/>
        <v>3.9600720430416763</v>
      </c>
      <c r="W9" s="5">
        <f t="shared" si="1"/>
        <v>3.9600720430416763</v>
      </c>
      <c r="X9" s="5">
        <f t="shared" si="1"/>
        <v>3.9600720430416763</v>
      </c>
      <c r="Y9" s="5">
        <f t="shared" si="1"/>
        <v>3.9600720430416763</v>
      </c>
      <c r="Z9" s="5">
        <f t="shared" si="1"/>
        <v>3.9600720430416763</v>
      </c>
      <c r="AA9" s="5">
        <f t="shared" si="1"/>
        <v>3.9600720430416763</v>
      </c>
    </row>
    <row r="10" spans="1:27" x14ac:dyDescent="0.25">
      <c r="B10" t="s">
        <v>26</v>
      </c>
      <c r="C10" s="5">
        <f t="shared" ref="C10:AA10" si="2">(C8/(1+$G$2)^C5)+(C7/(1+$G$2)^C5)</f>
        <v>0</v>
      </c>
      <c r="D10" s="5">
        <f t="shared" si="2"/>
        <v>0</v>
      </c>
      <c r="E10" s="5">
        <f t="shared" si="2"/>
        <v>0</v>
      </c>
      <c r="F10" s="5">
        <f t="shared" si="2"/>
        <v>0</v>
      </c>
      <c r="G10" s="5">
        <f t="shared" si="2"/>
        <v>0</v>
      </c>
      <c r="H10" s="5">
        <f t="shared" si="2"/>
        <v>74.616745712424731</v>
      </c>
      <c r="I10" s="5">
        <f t="shared" si="2"/>
        <v>1.9275417057005935</v>
      </c>
      <c r="J10" s="5">
        <f t="shared" si="2"/>
        <v>1.7095713576058482</v>
      </c>
      <c r="K10" s="5">
        <f t="shared" si="2"/>
        <v>1.5162495411138341</v>
      </c>
      <c r="L10" s="5">
        <f t="shared" si="2"/>
        <v>1.3447889499900969</v>
      </c>
      <c r="M10" s="5">
        <f t="shared" si="2"/>
        <v>1.1927174722750304</v>
      </c>
      <c r="N10" s="5">
        <f t="shared" si="2"/>
        <v>1.057842547472311</v>
      </c>
      <c r="O10" s="5">
        <f t="shared" si="2"/>
        <v>0.93821955429916704</v>
      </c>
      <c r="P10" s="5">
        <f t="shared" si="2"/>
        <v>0.83212377321433906</v>
      </c>
      <c r="Q10" s="5">
        <f t="shared" si="2"/>
        <v>0.73802551948056661</v>
      </c>
      <c r="R10" s="5">
        <f t="shared" si="2"/>
        <v>0.65456808823110135</v>
      </c>
      <c r="S10" s="5">
        <f t="shared" si="2"/>
        <v>0.58054819355308318</v>
      </c>
      <c r="T10" s="5">
        <f t="shared" si="2"/>
        <v>0.51489861955927563</v>
      </c>
      <c r="U10" s="5">
        <f t="shared" si="2"/>
        <v>0.4566728333119961</v>
      </c>
      <c r="V10" s="5">
        <f t="shared" si="2"/>
        <v>0.4050313377489988</v>
      </c>
      <c r="W10" s="5">
        <f t="shared" si="2"/>
        <v>0.35922956784833593</v>
      </c>
      <c r="X10" s="5">
        <f t="shared" si="2"/>
        <v>0.31860715551958846</v>
      </c>
      <c r="Y10" s="5">
        <f t="shared" si="2"/>
        <v>0.28257840844309395</v>
      </c>
      <c r="Z10" s="5">
        <f t="shared" si="2"/>
        <v>0.25062386558145811</v>
      </c>
      <c r="AA10" s="5">
        <f t="shared" si="2"/>
        <v>0.22228280761104929</v>
      </c>
    </row>
    <row r="11" spans="1:27" ht="18.75" x14ac:dyDescent="0.3">
      <c r="B11" t="s">
        <v>27</v>
      </c>
      <c r="C11" s="11">
        <f>SUM(C10:AA10)*1000000</f>
        <v>89918867.01098451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7" ht="16.5" customHeight="1" x14ac:dyDescent="0.25">
      <c r="C12" s="20"/>
    </row>
    <row r="13" spans="1:27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5" spans="1:27" x14ac:dyDescent="0.25">
      <c r="C15" s="10">
        <v>0</v>
      </c>
      <c r="D15" s="10">
        <v>1</v>
      </c>
      <c r="E15" s="10">
        <v>2</v>
      </c>
      <c r="F15" s="10">
        <v>3</v>
      </c>
      <c r="G15" s="10">
        <v>4</v>
      </c>
      <c r="H15" s="13">
        <v>5</v>
      </c>
      <c r="I15" s="10">
        <v>6</v>
      </c>
      <c r="J15" s="10">
        <v>7</v>
      </c>
      <c r="K15" s="10">
        <v>8</v>
      </c>
      <c r="L15" s="10">
        <v>9</v>
      </c>
      <c r="M15" s="10">
        <v>10</v>
      </c>
      <c r="N15" s="10">
        <v>11</v>
      </c>
      <c r="O15" s="10">
        <v>12</v>
      </c>
      <c r="P15" s="10">
        <v>13</v>
      </c>
      <c r="Q15" s="10">
        <v>14</v>
      </c>
      <c r="R15" s="10">
        <v>15</v>
      </c>
      <c r="S15" s="10">
        <v>16</v>
      </c>
      <c r="T15" s="10">
        <v>17</v>
      </c>
      <c r="U15" s="10">
        <v>18</v>
      </c>
      <c r="V15" s="10">
        <v>19</v>
      </c>
      <c r="W15" s="10">
        <v>20</v>
      </c>
      <c r="X15" s="10">
        <v>21</v>
      </c>
      <c r="Y15" s="10">
        <v>22</v>
      </c>
      <c r="Z15" s="10">
        <v>23</v>
      </c>
      <c r="AA15" s="10">
        <v>24</v>
      </c>
    </row>
    <row r="16" spans="1:27" x14ac:dyDescent="0.25">
      <c r="A16" s="10"/>
      <c r="B16" s="12" t="s">
        <v>28</v>
      </c>
      <c r="C16" s="10">
        <v>2019</v>
      </c>
      <c r="D16" s="10">
        <v>2020</v>
      </c>
      <c r="E16" s="10">
        <v>2021</v>
      </c>
      <c r="F16" s="10">
        <v>2022</v>
      </c>
      <c r="G16" s="10">
        <v>2023</v>
      </c>
      <c r="H16" s="13">
        <v>2024</v>
      </c>
      <c r="I16" s="10">
        <v>2025</v>
      </c>
      <c r="J16" s="10">
        <v>2026</v>
      </c>
      <c r="K16" s="10">
        <v>2027</v>
      </c>
      <c r="L16" s="10">
        <v>2028</v>
      </c>
      <c r="M16" s="10">
        <v>2029</v>
      </c>
      <c r="N16" s="10">
        <v>2030</v>
      </c>
      <c r="O16" s="10">
        <v>2031</v>
      </c>
      <c r="P16" s="10">
        <v>2032</v>
      </c>
      <c r="Q16" s="10">
        <v>2033</v>
      </c>
      <c r="R16" s="10">
        <v>2034</v>
      </c>
      <c r="S16" s="10">
        <v>2035</v>
      </c>
      <c r="T16" s="10">
        <v>2036</v>
      </c>
      <c r="U16" s="10">
        <v>2037</v>
      </c>
      <c r="V16" s="10">
        <v>2038</v>
      </c>
      <c r="W16" s="10">
        <v>2039</v>
      </c>
      <c r="X16" s="10">
        <v>2040</v>
      </c>
      <c r="Y16" s="10">
        <v>2041</v>
      </c>
      <c r="Z16" s="10">
        <v>2042</v>
      </c>
      <c r="AA16" s="10">
        <v>2043</v>
      </c>
    </row>
    <row r="17" spans="1:27" x14ac:dyDescent="0.25">
      <c r="A17">
        <v>2024</v>
      </c>
      <c r="B17" s="14" t="s">
        <v>98</v>
      </c>
      <c r="C17" s="5"/>
      <c r="D17" s="5">
        <v>0</v>
      </c>
      <c r="E17" s="5">
        <v>0</v>
      </c>
      <c r="F17" s="5">
        <v>0</v>
      </c>
      <c r="G17" s="5">
        <v>0</v>
      </c>
      <c r="H17" s="23">
        <f>+'Demanda Regional'!V4</f>
        <v>141464328.15402311</v>
      </c>
      <c r="I17" s="23">
        <f>+'Demanda Regional'!W4</f>
        <v>146540779.51167634</v>
      </c>
      <c r="J17" s="23">
        <f>+'Demanda Regional'!X4</f>
        <v>151271760.91059208</v>
      </c>
      <c r="K17" s="23">
        <f>+'Demanda Regional'!Y4</f>
        <v>160471178.53703284</v>
      </c>
      <c r="L17" s="23">
        <f>+'Demanda Regional'!Z4</f>
        <v>163042061.35426506</v>
      </c>
      <c r="M17" s="23">
        <f>+'Demanda Regional'!AA4</f>
        <v>162537199.88629726</v>
      </c>
      <c r="N17" s="23">
        <f>+'Demanda Regional'!AB4</f>
        <v>175109299.042229</v>
      </c>
      <c r="O17" s="23">
        <f>+'Demanda Regional'!AC4</f>
        <v>175118329.9539856</v>
      </c>
      <c r="P17" s="23">
        <f>+'Demanda Regional'!AD4</f>
        <v>172360425.66469723</v>
      </c>
      <c r="Q17" s="23">
        <f>+'Demanda Regional'!AE4</f>
        <v>179314459.09923404</v>
      </c>
      <c r="R17" s="23">
        <f>+'Demanda Regional'!AF4</f>
        <v>179314459.09923404</v>
      </c>
      <c r="S17" s="23">
        <f>+'Demanda Regional'!AG4</f>
        <v>179314459.09923404</v>
      </c>
      <c r="T17" s="23">
        <f>+'Demanda Regional'!AH4</f>
        <v>179314459.09923404</v>
      </c>
      <c r="U17" s="23">
        <f>+'Demanda Regional'!AI4</f>
        <v>179314459.09923404</v>
      </c>
      <c r="V17" s="23">
        <f>+'Demanda Regional'!AJ4</f>
        <v>179314459.09923404</v>
      </c>
      <c r="W17" s="23">
        <f>+'Demanda Regional'!AK4</f>
        <v>179314459.09923404</v>
      </c>
      <c r="X17" s="23">
        <f>+'Demanda Regional'!AL4</f>
        <v>179314459.09923404</v>
      </c>
      <c r="Y17" s="23">
        <f>+'Demanda Regional'!AM4</f>
        <v>179314459.09923404</v>
      </c>
      <c r="Z17" s="23">
        <f>+'Demanda Regional'!AN4</f>
        <v>179314459.09923404</v>
      </c>
      <c r="AA17" s="23">
        <f>+'Demanda Regional'!AO4</f>
        <v>179314459.09923404</v>
      </c>
    </row>
    <row r="18" spans="1:27" x14ac:dyDescent="0.25">
      <c r="A18">
        <v>2043</v>
      </c>
      <c r="B18" t="s">
        <v>29</v>
      </c>
      <c r="C18" s="5">
        <f>(C17)/(1+$G$2)^C15</f>
        <v>0</v>
      </c>
      <c r="D18" s="5">
        <v>0</v>
      </c>
      <c r="E18" s="5">
        <v>0</v>
      </c>
      <c r="F18" s="5">
        <v>0</v>
      </c>
      <c r="G18" s="5">
        <v>0</v>
      </c>
      <c r="H18" s="5">
        <f t="shared" ref="H18:AA18" si="3">(H17)/(1+$G$2)^H15</f>
        <v>77636185.421222493</v>
      </c>
      <c r="I18" s="5">
        <f t="shared" si="3"/>
        <v>71327859.954202995</v>
      </c>
      <c r="J18" s="5">
        <f t="shared" si="3"/>
        <v>65304334.581931882</v>
      </c>
      <c r="K18" s="5">
        <f t="shared" si="3"/>
        <v>61441900.090253368</v>
      </c>
      <c r="L18" s="5">
        <f t="shared" si="3"/>
        <v>55366963.052625351</v>
      </c>
      <c r="M18" s="5">
        <f t="shared" si="3"/>
        <v>48953896.821064882</v>
      </c>
      <c r="N18" s="5">
        <f t="shared" si="3"/>
        <v>46776438.653536074</v>
      </c>
      <c r="O18" s="5">
        <f t="shared" si="3"/>
        <v>41489003.152792826</v>
      </c>
      <c r="P18" s="5">
        <f t="shared" si="3"/>
        <v>36217827.907689922</v>
      </c>
      <c r="Q18" s="5">
        <f t="shared" si="3"/>
        <v>33418242.241229922</v>
      </c>
      <c r="R18" s="5">
        <f t="shared" si="3"/>
        <v>29639239.238341402</v>
      </c>
      <c r="S18" s="5">
        <f t="shared" si="3"/>
        <v>26287573.603850465</v>
      </c>
      <c r="T18" s="5">
        <f t="shared" si="3"/>
        <v>23314921.156408396</v>
      </c>
      <c r="U18" s="5">
        <f t="shared" si="3"/>
        <v>20678422.311670415</v>
      </c>
      <c r="V18" s="5">
        <f t="shared" si="3"/>
        <v>18340064.134519219</v>
      </c>
      <c r="W18" s="5">
        <f t="shared" si="3"/>
        <v>16266132.270083563</v>
      </c>
      <c r="X18" s="5">
        <f t="shared" si="3"/>
        <v>14426724.851515356</v>
      </c>
      <c r="Y18" s="5">
        <f t="shared" si="3"/>
        <v>12795321.376066836</v>
      </c>
      <c r="Z18" s="5">
        <f t="shared" si="3"/>
        <v>11348400.333540432</v>
      </c>
      <c r="AA18" s="5">
        <f t="shared" si="3"/>
        <v>10065100.074093508</v>
      </c>
    </row>
    <row r="19" spans="1:27" ht="18.75" x14ac:dyDescent="0.3">
      <c r="B19" t="s">
        <v>30</v>
      </c>
      <c r="C19" s="11">
        <f>SUM(C18:AA18)</f>
        <v>721094551.22663939</v>
      </c>
    </row>
    <row r="20" spans="1:27" x14ac:dyDescent="0.25">
      <c r="C20" s="20"/>
      <c r="E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B24" s="12" t="s">
        <v>41</v>
      </c>
      <c r="E24" s="10"/>
    </row>
    <row r="25" spans="1:27" x14ac:dyDescent="0.25">
      <c r="B25" s="10" t="s">
        <v>31</v>
      </c>
      <c r="E25" s="10"/>
    </row>
    <row r="26" spans="1:27" ht="18.75" x14ac:dyDescent="0.3">
      <c r="B26" s="10" t="s">
        <v>40</v>
      </c>
      <c r="C26" s="11">
        <f>+C11/C19</f>
        <v>0.12469774852413645</v>
      </c>
      <c r="D26" s="10"/>
      <c r="E26" s="10"/>
    </row>
    <row r="28" spans="1:27" x14ac:dyDescent="0.25">
      <c r="H28" s="129"/>
      <c r="I28" s="129"/>
      <c r="J28" s="129"/>
      <c r="K28" s="129"/>
      <c r="L28" s="129"/>
    </row>
    <row r="34" spans="1:27" ht="18.75" x14ac:dyDescent="0.3">
      <c r="A34" s="113" t="s">
        <v>87</v>
      </c>
    </row>
    <row r="35" spans="1:27" x14ac:dyDescent="0.25">
      <c r="C35" s="10">
        <v>0</v>
      </c>
      <c r="D35" s="10">
        <v>1</v>
      </c>
      <c r="E35" s="10">
        <v>2</v>
      </c>
      <c r="F35" s="10">
        <v>3</v>
      </c>
      <c r="G35" s="10">
        <v>4</v>
      </c>
      <c r="H35" s="10">
        <v>5</v>
      </c>
      <c r="I35" s="10">
        <v>6</v>
      </c>
      <c r="J35" s="10">
        <v>7</v>
      </c>
      <c r="K35" s="10">
        <v>8</v>
      </c>
      <c r="L35" s="10">
        <v>9</v>
      </c>
      <c r="M35" s="10">
        <v>10</v>
      </c>
      <c r="N35" s="10">
        <v>11</v>
      </c>
      <c r="O35" s="10">
        <v>12</v>
      </c>
      <c r="P35" s="10">
        <v>13</v>
      </c>
      <c r="Q35" s="10">
        <v>14</v>
      </c>
      <c r="R35" s="10">
        <v>15</v>
      </c>
      <c r="S35" s="10">
        <v>16</v>
      </c>
      <c r="T35" s="10">
        <v>17</v>
      </c>
      <c r="U35" s="10">
        <v>18</v>
      </c>
      <c r="V35" s="10">
        <v>19</v>
      </c>
      <c r="W35" s="10">
        <v>20</v>
      </c>
      <c r="X35" s="10">
        <v>21</v>
      </c>
      <c r="Y35" s="10">
        <v>22</v>
      </c>
      <c r="Z35" s="10">
        <v>23</v>
      </c>
      <c r="AA35" s="10">
        <v>24</v>
      </c>
    </row>
    <row r="36" spans="1:27" x14ac:dyDescent="0.25">
      <c r="B36" s="12" t="s">
        <v>125</v>
      </c>
      <c r="C36" s="10">
        <v>2019</v>
      </c>
      <c r="D36" s="10">
        <v>2020</v>
      </c>
      <c r="E36" s="10">
        <v>2021</v>
      </c>
      <c r="F36" s="10">
        <v>2022</v>
      </c>
      <c r="G36" s="10">
        <v>2023</v>
      </c>
      <c r="H36" s="10">
        <v>2024</v>
      </c>
      <c r="I36" s="10">
        <v>2025</v>
      </c>
      <c r="J36" s="10">
        <v>2026</v>
      </c>
      <c r="K36" s="10">
        <v>2027</v>
      </c>
      <c r="L36" s="10">
        <v>2028</v>
      </c>
      <c r="M36" s="10">
        <v>2029</v>
      </c>
      <c r="N36" s="10">
        <v>2030</v>
      </c>
      <c r="O36" s="10">
        <v>2031</v>
      </c>
      <c r="P36" s="10">
        <v>2032</v>
      </c>
      <c r="Q36" s="10">
        <v>2033</v>
      </c>
      <c r="R36" s="10">
        <v>2034</v>
      </c>
      <c r="S36" s="10">
        <v>2035</v>
      </c>
      <c r="T36" s="10">
        <v>2036</v>
      </c>
      <c r="U36" s="10">
        <v>2037</v>
      </c>
      <c r="V36" s="10">
        <v>2038</v>
      </c>
      <c r="W36" s="10">
        <v>2039</v>
      </c>
      <c r="X36" s="10">
        <v>2040</v>
      </c>
      <c r="Y36" s="10">
        <v>2041</v>
      </c>
      <c r="Z36" s="10">
        <v>2042</v>
      </c>
      <c r="AA36" s="10">
        <v>2043</v>
      </c>
    </row>
    <row r="37" spans="1:27" x14ac:dyDescent="0.25">
      <c r="B37" t="s">
        <v>24</v>
      </c>
      <c r="H37" s="22">
        <f>(E2*'%  Planta'!F3)*'%  Planta'!F8</f>
        <v>21.905661671299857</v>
      </c>
    </row>
    <row r="38" spans="1:27" x14ac:dyDescent="0.25">
      <c r="B38" t="s">
        <v>25</v>
      </c>
      <c r="C38" s="5"/>
      <c r="D38" s="5"/>
      <c r="E38" s="5"/>
      <c r="F38" s="5"/>
      <c r="G38" s="5"/>
      <c r="H38" s="24">
        <f t="shared" ref="H38:AA38" si="4">$H$37*$D$2</f>
        <v>0.65716985013899565</v>
      </c>
      <c r="I38" s="24">
        <f t="shared" si="4"/>
        <v>0.65716985013899565</v>
      </c>
      <c r="J38" s="24">
        <f t="shared" si="4"/>
        <v>0.65716985013899565</v>
      </c>
      <c r="K38" s="24">
        <f t="shared" si="4"/>
        <v>0.65716985013899565</v>
      </c>
      <c r="L38" s="24">
        <f t="shared" si="4"/>
        <v>0.65716985013899565</v>
      </c>
      <c r="M38" s="24">
        <f t="shared" si="4"/>
        <v>0.65716985013899565</v>
      </c>
      <c r="N38" s="24">
        <f t="shared" si="4"/>
        <v>0.65716985013899565</v>
      </c>
      <c r="O38" s="24">
        <f t="shared" si="4"/>
        <v>0.65716985013899565</v>
      </c>
      <c r="P38" s="24">
        <f t="shared" si="4"/>
        <v>0.65716985013899565</v>
      </c>
      <c r="Q38" s="24">
        <f t="shared" si="4"/>
        <v>0.65716985013899565</v>
      </c>
      <c r="R38" s="24">
        <f t="shared" si="4"/>
        <v>0.65716985013899565</v>
      </c>
      <c r="S38" s="24">
        <f t="shared" si="4"/>
        <v>0.65716985013899565</v>
      </c>
      <c r="T38" s="24">
        <f t="shared" si="4"/>
        <v>0.65716985013899565</v>
      </c>
      <c r="U38" s="24">
        <f t="shared" si="4"/>
        <v>0.65716985013899565</v>
      </c>
      <c r="V38" s="24">
        <f t="shared" si="4"/>
        <v>0.65716985013899565</v>
      </c>
      <c r="W38" s="24">
        <f t="shared" si="4"/>
        <v>0.65716985013899565</v>
      </c>
      <c r="X38" s="24">
        <f t="shared" si="4"/>
        <v>0.65716985013899565</v>
      </c>
      <c r="Y38" s="24">
        <f t="shared" si="4"/>
        <v>0.65716985013899565</v>
      </c>
      <c r="Z38" s="24">
        <f t="shared" si="4"/>
        <v>0.65716985013899565</v>
      </c>
      <c r="AA38" s="24">
        <f t="shared" si="4"/>
        <v>0.65716985013899565</v>
      </c>
    </row>
    <row r="39" spans="1:27" x14ac:dyDescent="0.25">
      <c r="B39" s="20"/>
      <c r="C39" s="5">
        <f>+C38+C37</f>
        <v>0</v>
      </c>
      <c r="D39" s="5">
        <f t="shared" ref="D39:G39" si="5">+D38+D37</f>
        <v>0</v>
      </c>
      <c r="E39" s="5">
        <f t="shared" si="5"/>
        <v>0</v>
      </c>
      <c r="F39" s="5">
        <f t="shared" si="5"/>
        <v>0</v>
      </c>
      <c r="G39" s="5">
        <f t="shared" si="5"/>
        <v>0</v>
      </c>
      <c r="H39" s="5">
        <f>+H38+H37</f>
        <v>22.562831521438852</v>
      </c>
      <c r="I39" s="5">
        <f t="shared" ref="I39:AA39" si="6">+I38+I37</f>
        <v>0.65716985013899565</v>
      </c>
      <c r="J39" s="5">
        <f t="shared" si="6"/>
        <v>0.65716985013899565</v>
      </c>
      <c r="K39" s="5">
        <f t="shared" si="6"/>
        <v>0.65716985013899565</v>
      </c>
      <c r="L39" s="5">
        <f t="shared" si="6"/>
        <v>0.65716985013899565</v>
      </c>
      <c r="M39" s="5">
        <f t="shared" si="6"/>
        <v>0.65716985013899565</v>
      </c>
      <c r="N39" s="5">
        <f t="shared" si="6"/>
        <v>0.65716985013899565</v>
      </c>
      <c r="O39" s="5">
        <f t="shared" si="6"/>
        <v>0.65716985013899565</v>
      </c>
      <c r="P39" s="5">
        <f t="shared" si="6"/>
        <v>0.65716985013899565</v>
      </c>
      <c r="Q39" s="5">
        <f t="shared" si="6"/>
        <v>0.65716985013899565</v>
      </c>
      <c r="R39" s="5">
        <f t="shared" si="6"/>
        <v>0.65716985013899565</v>
      </c>
      <c r="S39" s="5">
        <f t="shared" si="6"/>
        <v>0.65716985013899565</v>
      </c>
      <c r="T39" s="5">
        <f t="shared" si="6"/>
        <v>0.65716985013899565</v>
      </c>
      <c r="U39" s="5">
        <f t="shared" si="6"/>
        <v>0.65716985013899565</v>
      </c>
      <c r="V39" s="5">
        <f t="shared" si="6"/>
        <v>0.65716985013899565</v>
      </c>
      <c r="W39" s="5">
        <f t="shared" si="6"/>
        <v>0.65716985013899565</v>
      </c>
      <c r="X39" s="5">
        <f t="shared" si="6"/>
        <v>0.65716985013899565</v>
      </c>
      <c r="Y39" s="5">
        <f t="shared" si="6"/>
        <v>0.65716985013899565</v>
      </c>
      <c r="Z39" s="5">
        <f t="shared" si="6"/>
        <v>0.65716985013899565</v>
      </c>
      <c r="AA39" s="5">
        <f t="shared" si="6"/>
        <v>0.65716985013899565</v>
      </c>
    </row>
    <row r="40" spans="1:27" x14ac:dyDescent="0.25">
      <c r="B40" t="s">
        <v>26</v>
      </c>
      <c r="C40" s="5">
        <f t="shared" ref="C40:AA40" si="7">(C38/(1+$G$2)^C35)+(C37/(1+$G$2)^C35)</f>
        <v>0</v>
      </c>
      <c r="D40" s="5">
        <f t="shared" si="7"/>
        <v>0</v>
      </c>
      <c r="E40" s="5">
        <f t="shared" si="7"/>
        <v>0</v>
      </c>
      <c r="F40" s="5">
        <f t="shared" si="7"/>
        <v>0</v>
      </c>
      <c r="G40" s="5">
        <f t="shared" si="7"/>
        <v>0</v>
      </c>
      <c r="H40" s="5">
        <f t="shared" si="7"/>
        <v>12.382571595851557</v>
      </c>
      <c r="I40" s="5">
        <f t="shared" si="7"/>
        <v>0.31987354777994681</v>
      </c>
      <c r="J40" s="5">
        <f t="shared" si="7"/>
        <v>0.28370159448332311</v>
      </c>
      <c r="K40" s="5">
        <f t="shared" si="7"/>
        <v>0.25162003945305822</v>
      </c>
      <c r="L40" s="5">
        <f t="shared" si="7"/>
        <v>0.22316633210914252</v>
      </c>
      <c r="M40" s="5">
        <f t="shared" si="7"/>
        <v>0.19793022803471622</v>
      </c>
      <c r="N40" s="5">
        <f t="shared" si="7"/>
        <v>0.17554787408844014</v>
      </c>
      <c r="O40" s="5">
        <f t="shared" si="7"/>
        <v>0.15569656238442581</v>
      </c>
      <c r="P40" s="5">
        <f t="shared" si="7"/>
        <v>0.13809007750281671</v>
      </c>
      <c r="Q40" s="5">
        <f t="shared" si="7"/>
        <v>0.12247456984728752</v>
      </c>
      <c r="R40" s="5">
        <f t="shared" si="7"/>
        <v>0.10862489565169628</v>
      </c>
      <c r="S40" s="5">
        <f t="shared" si="7"/>
        <v>9.6341370866249471E-2</v>
      </c>
      <c r="T40" s="5">
        <f t="shared" si="7"/>
        <v>8.5446892120842097E-2</v>
      </c>
      <c r="U40" s="5">
        <f t="shared" si="7"/>
        <v>7.578438325573579E-2</v>
      </c>
      <c r="V40" s="5">
        <f t="shared" si="7"/>
        <v>6.7214530603756803E-2</v>
      </c>
      <c r="W40" s="5">
        <f t="shared" si="7"/>
        <v>5.9613774371402924E-2</v>
      </c>
      <c r="X40" s="5">
        <f t="shared" si="7"/>
        <v>5.2872527158672224E-2</v>
      </c>
      <c r="Y40" s="5">
        <f t="shared" si="7"/>
        <v>4.6893593932303523E-2</v>
      </c>
      <c r="Z40" s="5">
        <f t="shared" si="7"/>
        <v>4.1590770671666104E-2</v>
      </c>
      <c r="AA40" s="5">
        <f t="shared" si="7"/>
        <v>3.6887601482630684E-2</v>
      </c>
    </row>
    <row r="41" spans="1:27" ht="18.75" x14ac:dyDescent="0.3">
      <c r="B41" t="s">
        <v>27</v>
      </c>
      <c r="C41" s="11">
        <f>SUM(C40:AA40)*1000000</f>
        <v>14921942.76164967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7" ht="16.5" customHeight="1" x14ac:dyDescent="0.25">
      <c r="C42" s="20">
        <f>+NPV(G2,D39:AA39)</f>
        <v>14.921942761649674</v>
      </c>
    </row>
    <row r="43" spans="1:27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5" spans="1:27" x14ac:dyDescent="0.25">
      <c r="C45" s="10">
        <v>0</v>
      </c>
      <c r="D45" s="10">
        <v>1</v>
      </c>
      <c r="E45" s="10">
        <v>2</v>
      </c>
      <c r="F45" s="10">
        <v>3</v>
      </c>
      <c r="G45" s="10">
        <v>4</v>
      </c>
      <c r="H45" s="13">
        <v>5</v>
      </c>
      <c r="I45" s="10">
        <v>6</v>
      </c>
      <c r="J45" s="10">
        <v>7</v>
      </c>
      <c r="K45" s="10">
        <v>8</v>
      </c>
      <c r="L45" s="10">
        <v>9</v>
      </c>
      <c r="M45" s="10">
        <v>10</v>
      </c>
      <c r="N45" s="10">
        <v>11</v>
      </c>
      <c r="O45" s="10">
        <v>12</v>
      </c>
      <c r="P45" s="10">
        <v>13</v>
      </c>
      <c r="Q45" s="10">
        <v>14</v>
      </c>
      <c r="R45" s="10">
        <v>15</v>
      </c>
      <c r="S45" s="10">
        <v>16</v>
      </c>
      <c r="T45" s="10">
        <v>17</v>
      </c>
      <c r="U45" s="10">
        <v>18</v>
      </c>
      <c r="V45" s="10">
        <v>19</v>
      </c>
      <c r="W45" s="10">
        <v>20</v>
      </c>
      <c r="X45" s="10">
        <v>21</v>
      </c>
      <c r="Y45" s="10">
        <v>22</v>
      </c>
      <c r="Z45" s="10">
        <v>23</v>
      </c>
      <c r="AA45" s="10">
        <v>24</v>
      </c>
    </row>
    <row r="46" spans="1:27" x14ac:dyDescent="0.25">
      <c r="A46" s="10"/>
      <c r="B46" s="12" t="s">
        <v>28</v>
      </c>
      <c r="C46" s="10">
        <v>2019</v>
      </c>
      <c r="D46" s="10">
        <v>2020</v>
      </c>
      <c r="E46" s="10">
        <v>2021</v>
      </c>
      <c r="F46" s="10">
        <v>2022</v>
      </c>
      <c r="G46" s="10">
        <v>2023</v>
      </c>
      <c r="H46" s="13">
        <v>2024</v>
      </c>
      <c r="I46" s="10">
        <v>2025</v>
      </c>
      <c r="J46" s="10">
        <v>2026</v>
      </c>
      <c r="K46" s="10">
        <v>2027</v>
      </c>
      <c r="L46" s="10">
        <v>2028</v>
      </c>
      <c r="M46" s="10">
        <v>2029</v>
      </c>
      <c r="N46" s="10">
        <v>2030</v>
      </c>
      <c r="O46" s="10">
        <v>2031</v>
      </c>
      <c r="P46" s="10">
        <v>2032</v>
      </c>
      <c r="Q46" s="10">
        <v>2033</v>
      </c>
      <c r="R46" s="10">
        <v>2034</v>
      </c>
      <c r="S46" s="10">
        <v>2035</v>
      </c>
      <c r="T46" s="10">
        <v>2036</v>
      </c>
      <c r="U46" s="10">
        <v>2037</v>
      </c>
      <c r="V46" s="10">
        <v>2038</v>
      </c>
      <c r="W46" s="10">
        <v>2039</v>
      </c>
      <c r="X46" s="10">
        <v>2040</v>
      </c>
      <c r="Y46" s="10">
        <v>2041</v>
      </c>
      <c r="Z46" s="10">
        <v>2042</v>
      </c>
      <c r="AA46" s="10">
        <v>2043</v>
      </c>
    </row>
    <row r="47" spans="1:27" x14ac:dyDescent="0.25">
      <c r="A47">
        <v>2024</v>
      </c>
      <c r="B47" s="14" t="s">
        <v>98</v>
      </c>
      <c r="C47" s="5"/>
      <c r="D47" s="5">
        <v>0</v>
      </c>
      <c r="E47" s="5">
        <v>0</v>
      </c>
      <c r="F47" s="5">
        <v>0</v>
      </c>
      <c r="G47" s="5">
        <v>0</v>
      </c>
      <c r="H47" s="23">
        <f>+'Demanda Regional'!V4</f>
        <v>141464328.15402311</v>
      </c>
      <c r="I47" s="23">
        <f>+'Demanda Regional'!W4</f>
        <v>146540779.51167634</v>
      </c>
      <c r="J47" s="23">
        <f>+'Demanda Regional'!X4</f>
        <v>151271760.91059208</v>
      </c>
      <c r="K47" s="23">
        <f>+'Demanda Regional'!Y4</f>
        <v>160471178.53703284</v>
      </c>
      <c r="L47" s="23">
        <f>+'Demanda Regional'!Z4</f>
        <v>163042061.35426506</v>
      </c>
      <c r="M47" s="23">
        <f>+'Demanda Regional'!AA4</f>
        <v>162537199.88629726</v>
      </c>
      <c r="N47" s="23">
        <f>+'Demanda Regional'!AB4</f>
        <v>175109299.042229</v>
      </c>
      <c r="O47" s="23">
        <f>+'Demanda Regional'!AC4</f>
        <v>175118329.9539856</v>
      </c>
      <c r="P47" s="23">
        <f>+'Demanda Regional'!AD4</f>
        <v>172360425.66469723</v>
      </c>
      <c r="Q47" s="23">
        <f>+'Demanda Regional'!AE4</f>
        <v>179314459.09923404</v>
      </c>
      <c r="R47" s="23">
        <f>+'Demanda Regional'!AF4</f>
        <v>179314459.09923404</v>
      </c>
      <c r="S47" s="23">
        <f>+'Demanda Regional'!AG4</f>
        <v>179314459.09923404</v>
      </c>
      <c r="T47" s="23">
        <f>+'Demanda Regional'!AH4</f>
        <v>179314459.09923404</v>
      </c>
      <c r="U47" s="23">
        <f>+'Demanda Regional'!AI4</f>
        <v>179314459.09923404</v>
      </c>
      <c r="V47" s="23">
        <f>+'Demanda Regional'!AJ4</f>
        <v>179314459.09923404</v>
      </c>
      <c r="W47" s="23">
        <f>+'Demanda Regional'!AK4</f>
        <v>179314459.09923404</v>
      </c>
      <c r="X47" s="23">
        <f>+'Demanda Regional'!AL4</f>
        <v>179314459.09923404</v>
      </c>
      <c r="Y47" s="23">
        <f>+'Demanda Regional'!AM4</f>
        <v>179314459.09923404</v>
      </c>
      <c r="Z47" s="23">
        <f>+'Demanda Regional'!AN4</f>
        <v>179314459.09923404</v>
      </c>
      <c r="AA47" s="23">
        <f>+'Demanda Regional'!AO4</f>
        <v>179314459.09923404</v>
      </c>
    </row>
    <row r="48" spans="1:27" x14ac:dyDescent="0.25">
      <c r="A48">
        <v>2043</v>
      </c>
      <c r="B48" t="s">
        <v>29</v>
      </c>
      <c r="C48" s="5">
        <f>(C47)/(1+$G$2)^C45</f>
        <v>0</v>
      </c>
      <c r="D48" s="5">
        <v>0</v>
      </c>
      <c r="E48" s="5">
        <v>0</v>
      </c>
      <c r="F48" s="5">
        <v>0</v>
      </c>
      <c r="G48" s="5">
        <v>0</v>
      </c>
      <c r="H48" s="5">
        <f t="shared" ref="H48:AA48" si="8">(H47)/(1+$G$2)^H45</f>
        <v>77636185.421222493</v>
      </c>
      <c r="I48" s="5">
        <f t="shared" si="8"/>
        <v>71327859.954202995</v>
      </c>
      <c r="J48" s="5">
        <f t="shared" si="8"/>
        <v>65304334.581931882</v>
      </c>
      <c r="K48" s="5">
        <f t="shared" si="8"/>
        <v>61441900.090253368</v>
      </c>
      <c r="L48" s="5">
        <f t="shared" si="8"/>
        <v>55366963.052625351</v>
      </c>
      <c r="M48" s="5">
        <f t="shared" si="8"/>
        <v>48953896.821064882</v>
      </c>
      <c r="N48" s="5">
        <f t="shared" si="8"/>
        <v>46776438.653536074</v>
      </c>
      <c r="O48" s="5">
        <f t="shared" si="8"/>
        <v>41489003.152792826</v>
      </c>
      <c r="P48" s="5">
        <f t="shared" si="8"/>
        <v>36217827.907689922</v>
      </c>
      <c r="Q48" s="5">
        <f t="shared" si="8"/>
        <v>33418242.241229922</v>
      </c>
      <c r="R48" s="5">
        <f t="shared" si="8"/>
        <v>29639239.238341402</v>
      </c>
      <c r="S48" s="5">
        <f t="shared" si="8"/>
        <v>26287573.603850465</v>
      </c>
      <c r="T48" s="5">
        <f t="shared" si="8"/>
        <v>23314921.156408396</v>
      </c>
      <c r="U48" s="5">
        <f t="shared" si="8"/>
        <v>20678422.311670415</v>
      </c>
      <c r="V48" s="5">
        <f t="shared" si="8"/>
        <v>18340064.134519219</v>
      </c>
      <c r="W48" s="5">
        <f t="shared" si="8"/>
        <v>16266132.270083563</v>
      </c>
      <c r="X48" s="5">
        <f t="shared" si="8"/>
        <v>14426724.851515356</v>
      </c>
      <c r="Y48" s="5">
        <f t="shared" si="8"/>
        <v>12795321.376066836</v>
      </c>
      <c r="Z48" s="5">
        <f t="shared" si="8"/>
        <v>11348400.333540432</v>
      </c>
      <c r="AA48" s="5">
        <f t="shared" si="8"/>
        <v>10065100.074093508</v>
      </c>
    </row>
    <row r="49" spans="1:27" ht="18.75" x14ac:dyDescent="0.3">
      <c r="B49" t="s">
        <v>30</v>
      </c>
      <c r="C49" s="11">
        <f>SUM(C48:AA48)</f>
        <v>721094551.22663939</v>
      </c>
    </row>
    <row r="50" spans="1:27" x14ac:dyDescent="0.25">
      <c r="C50" s="20"/>
      <c r="E50" s="10"/>
    </row>
    <row r="51" spans="1:27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2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2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25">
      <c r="B54" s="12" t="s">
        <v>41</v>
      </c>
      <c r="E54" s="10"/>
    </row>
    <row r="55" spans="1:27" x14ac:dyDescent="0.25">
      <c r="B55" s="10" t="s">
        <v>31</v>
      </c>
      <c r="E55" s="10"/>
    </row>
    <row r="56" spans="1:27" ht="18.75" x14ac:dyDescent="0.3">
      <c r="B56" s="10" t="s">
        <v>40</v>
      </c>
      <c r="C56" s="11">
        <f>+C41/C49</f>
        <v>2.0693462093516385E-2</v>
      </c>
      <c r="D56" s="10"/>
      <c r="E56" s="10"/>
    </row>
    <row r="61" spans="1:27" x14ac:dyDescent="0.25">
      <c r="A61" s="10"/>
    </row>
    <row r="64" spans="1:27" ht="18.75" x14ac:dyDescent="0.3">
      <c r="A64" s="113" t="s">
        <v>93</v>
      </c>
      <c r="C64" s="10">
        <v>0</v>
      </c>
      <c r="D64" s="10">
        <v>1</v>
      </c>
      <c r="E64" s="10">
        <v>2</v>
      </c>
      <c r="F64" s="10">
        <v>3</v>
      </c>
      <c r="G64" s="10">
        <v>4</v>
      </c>
      <c r="H64" s="10">
        <v>5</v>
      </c>
      <c r="I64" s="10">
        <v>6</v>
      </c>
      <c r="J64" s="10">
        <v>7</v>
      </c>
      <c r="K64" s="10">
        <v>8</v>
      </c>
      <c r="L64" s="10">
        <v>9</v>
      </c>
      <c r="M64" s="10">
        <v>10</v>
      </c>
      <c r="N64" s="10">
        <v>11</v>
      </c>
      <c r="O64" s="10">
        <v>12</v>
      </c>
      <c r="P64" s="10">
        <v>13</v>
      </c>
      <c r="Q64" s="10">
        <v>14</v>
      </c>
      <c r="R64" s="10">
        <v>15</v>
      </c>
      <c r="S64" s="10">
        <v>16</v>
      </c>
      <c r="T64" s="10">
        <v>17</v>
      </c>
      <c r="U64" s="10">
        <v>18</v>
      </c>
      <c r="V64" s="10">
        <v>19</v>
      </c>
      <c r="W64" s="10">
        <v>20</v>
      </c>
      <c r="X64" s="10">
        <v>21</v>
      </c>
      <c r="Y64" s="10">
        <v>22</v>
      </c>
      <c r="Z64" s="10">
        <v>23</v>
      </c>
      <c r="AA64" s="10">
        <v>24</v>
      </c>
    </row>
    <row r="65" spans="2:27" x14ac:dyDescent="0.25">
      <c r="B65" s="12" t="s">
        <v>124</v>
      </c>
      <c r="C65" s="10">
        <v>2019</v>
      </c>
      <c r="D65" s="10">
        <v>2020</v>
      </c>
      <c r="E65" s="10">
        <v>2021</v>
      </c>
      <c r="F65" s="10">
        <v>2022</v>
      </c>
      <c r="G65" s="10">
        <v>2023</v>
      </c>
      <c r="H65" s="10">
        <v>2024</v>
      </c>
      <c r="I65" s="10">
        <v>2025</v>
      </c>
      <c r="J65" s="10">
        <v>2026</v>
      </c>
      <c r="K65" s="10">
        <v>2027</v>
      </c>
      <c r="L65" s="10">
        <v>2028</v>
      </c>
      <c r="M65" s="10">
        <v>2029</v>
      </c>
      <c r="N65" s="10">
        <v>2030</v>
      </c>
      <c r="O65" s="10">
        <v>2031</v>
      </c>
      <c r="P65" s="10">
        <v>2032</v>
      </c>
      <c r="Q65" s="10">
        <v>2033</v>
      </c>
      <c r="R65" s="10">
        <v>2034</v>
      </c>
      <c r="S65" s="10">
        <v>2035</v>
      </c>
      <c r="T65" s="10">
        <v>2036</v>
      </c>
      <c r="U65" s="10">
        <v>2037</v>
      </c>
      <c r="V65" s="10">
        <v>2038</v>
      </c>
      <c r="W65" s="10">
        <v>2039</v>
      </c>
      <c r="X65" s="10">
        <v>2040</v>
      </c>
      <c r="Y65" s="10">
        <v>2041</v>
      </c>
      <c r="Z65" s="10">
        <v>2042</v>
      </c>
      <c r="AA65" s="10">
        <v>2043</v>
      </c>
    </row>
    <row r="66" spans="2:27" x14ac:dyDescent="0.25">
      <c r="B66" t="s">
        <v>24</v>
      </c>
      <c r="H66" s="150">
        <f>+H7*'%  Planta'!F2</f>
        <v>85.801560932569657</v>
      </c>
    </row>
    <row r="67" spans="2:27" x14ac:dyDescent="0.25">
      <c r="B67" t="s">
        <v>25</v>
      </c>
      <c r="C67" s="5"/>
      <c r="D67" s="5"/>
      <c r="E67" s="5"/>
      <c r="F67" s="5"/>
      <c r="G67" s="5"/>
      <c r="H67" s="24">
        <f t="shared" ref="H67:AA67" si="9">$H$66*$D$2</f>
        <v>2.5740468279770896</v>
      </c>
      <c r="I67" s="24">
        <f t="shared" si="9"/>
        <v>2.5740468279770896</v>
      </c>
      <c r="J67" s="24">
        <f t="shared" si="9"/>
        <v>2.5740468279770896</v>
      </c>
      <c r="K67" s="24">
        <f t="shared" si="9"/>
        <v>2.5740468279770896</v>
      </c>
      <c r="L67" s="24">
        <f t="shared" si="9"/>
        <v>2.5740468279770896</v>
      </c>
      <c r="M67" s="24">
        <f t="shared" si="9"/>
        <v>2.5740468279770896</v>
      </c>
      <c r="N67" s="24">
        <f t="shared" si="9"/>
        <v>2.5740468279770896</v>
      </c>
      <c r="O67" s="24">
        <f t="shared" si="9"/>
        <v>2.5740468279770896</v>
      </c>
      <c r="P67" s="24">
        <f t="shared" si="9"/>
        <v>2.5740468279770896</v>
      </c>
      <c r="Q67" s="24">
        <f t="shared" si="9"/>
        <v>2.5740468279770896</v>
      </c>
      <c r="R67" s="24">
        <f t="shared" si="9"/>
        <v>2.5740468279770896</v>
      </c>
      <c r="S67" s="24">
        <f t="shared" si="9"/>
        <v>2.5740468279770896</v>
      </c>
      <c r="T67" s="24">
        <f t="shared" si="9"/>
        <v>2.5740468279770896</v>
      </c>
      <c r="U67" s="24">
        <f t="shared" si="9"/>
        <v>2.5740468279770896</v>
      </c>
      <c r="V67" s="24">
        <f t="shared" si="9"/>
        <v>2.5740468279770896</v>
      </c>
      <c r="W67" s="24">
        <f t="shared" si="9"/>
        <v>2.5740468279770896</v>
      </c>
      <c r="X67" s="24">
        <f t="shared" si="9"/>
        <v>2.5740468279770896</v>
      </c>
      <c r="Y67" s="24">
        <f t="shared" si="9"/>
        <v>2.5740468279770896</v>
      </c>
      <c r="Z67" s="24">
        <f t="shared" si="9"/>
        <v>2.5740468279770896</v>
      </c>
      <c r="AA67" s="24">
        <f t="shared" si="9"/>
        <v>2.5740468279770896</v>
      </c>
    </row>
    <row r="68" spans="2:27" x14ac:dyDescent="0.25">
      <c r="B68" s="20"/>
      <c r="C68" s="5">
        <f>+C67+C66</f>
        <v>0</v>
      </c>
      <c r="D68" s="5">
        <f t="shared" ref="D68:AA68" si="10">+D67+D66</f>
        <v>0</v>
      </c>
      <c r="E68" s="5">
        <f t="shared" si="10"/>
        <v>0</v>
      </c>
      <c r="F68" s="5">
        <f t="shared" si="10"/>
        <v>0</v>
      </c>
      <c r="G68" s="5">
        <f t="shared" si="10"/>
        <v>0</v>
      </c>
      <c r="H68" s="5">
        <f>+H67+H66</f>
        <v>88.375607760546742</v>
      </c>
      <c r="I68" s="5">
        <f t="shared" si="10"/>
        <v>2.5740468279770896</v>
      </c>
      <c r="J68" s="5">
        <f t="shared" si="10"/>
        <v>2.5740468279770896</v>
      </c>
      <c r="K68" s="5">
        <f t="shared" si="10"/>
        <v>2.5740468279770896</v>
      </c>
      <c r="L68" s="5">
        <f t="shared" si="10"/>
        <v>2.5740468279770896</v>
      </c>
      <c r="M68" s="5">
        <f t="shared" si="10"/>
        <v>2.5740468279770896</v>
      </c>
      <c r="N68" s="5">
        <f t="shared" si="10"/>
        <v>2.5740468279770896</v>
      </c>
      <c r="O68" s="5">
        <f t="shared" si="10"/>
        <v>2.5740468279770896</v>
      </c>
      <c r="P68" s="5">
        <f t="shared" si="10"/>
        <v>2.5740468279770896</v>
      </c>
      <c r="Q68" s="5">
        <f t="shared" si="10"/>
        <v>2.5740468279770896</v>
      </c>
      <c r="R68" s="5">
        <f t="shared" si="10"/>
        <v>2.5740468279770896</v>
      </c>
      <c r="S68" s="5">
        <f t="shared" si="10"/>
        <v>2.5740468279770896</v>
      </c>
      <c r="T68" s="5">
        <f t="shared" si="10"/>
        <v>2.5740468279770896</v>
      </c>
      <c r="U68" s="5">
        <f t="shared" si="10"/>
        <v>2.5740468279770896</v>
      </c>
      <c r="V68" s="5">
        <f t="shared" si="10"/>
        <v>2.5740468279770896</v>
      </c>
      <c r="W68" s="5">
        <f t="shared" si="10"/>
        <v>2.5740468279770896</v>
      </c>
      <c r="X68" s="5">
        <f t="shared" si="10"/>
        <v>2.5740468279770896</v>
      </c>
      <c r="Y68" s="5">
        <f t="shared" si="10"/>
        <v>2.5740468279770896</v>
      </c>
      <c r="Z68" s="5">
        <f t="shared" si="10"/>
        <v>2.5740468279770896</v>
      </c>
      <c r="AA68" s="5">
        <f t="shared" si="10"/>
        <v>2.5740468279770896</v>
      </c>
    </row>
    <row r="69" spans="2:27" x14ac:dyDescent="0.25">
      <c r="B69" t="s">
        <v>26</v>
      </c>
      <c r="C69" s="5">
        <f t="shared" ref="C69:AA69" si="11">(C67/(1+$G$2)^C64)+(C66/(1+$G$2)^C64)</f>
        <v>0</v>
      </c>
      <c r="D69" s="5">
        <f t="shared" si="11"/>
        <v>0</v>
      </c>
      <c r="E69" s="5">
        <f t="shared" si="11"/>
        <v>0</v>
      </c>
      <c r="F69" s="5">
        <f t="shared" si="11"/>
        <v>0</v>
      </c>
      <c r="G69" s="5">
        <f t="shared" si="11"/>
        <v>0</v>
      </c>
      <c r="H69" s="5">
        <f t="shared" si="11"/>
        <v>48.500884713076076</v>
      </c>
      <c r="I69" s="5">
        <f t="shared" si="11"/>
        <v>1.2529021087053858</v>
      </c>
      <c r="J69" s="5">
        <f t="shared" si="11"/>
        <v>1.1112213824438013</v>
      </c>
      <c r="K69" s="5">
        <f t="shared" si="11"/>
        <v>0.98556220172399223</v>
      </c>
      <c r="L69" s="5">
        <f t="shared" si="11"/>
        <v>0.87411281749356307</v>
      </c>
      <c r="M69" s="5">
        <f t="shared" si="11"/>
        <v>0.77526635697876978</v>
      </c>
      <c r="N69" s="5">
        <f t="shared" si="11"/>
        <v>0.68759765585700217</v>
      </c>
      <c r="O69" s="5">
        <f t="shared" si="11"/>
        <v>0.60984271029445858</v>
      </c>
      <c r="P69" s="5">
        <f t="shared" si="11"/>
        <v>0.54088045258932038</v>
      </c>
      <c r="Q69" s="5">
        <f t="shared" si="11"/>
        <v>0.4797165876623683</v>
      </c>
      <c r="R69" s="5">
        <f t="shared" si="11"/>
        <v>0.4254692573502159</v>
      </c>
      <c r="S69" s="5">
        <f t="shared" si="11"/>
        <v>0.37735632580950412</v>
      </c>
      <c r="T69" s="5">
        <f t="shared" si="11"/>
        <v>0.33468410271352916</v>
      </c>
      <c r="U69" s="5">
        <f t="shared" si="11"/>
        <v>0.29683734165279746</v>
      </c>
      <c r="V69" s="5">
        <f t="shared" si="11"/>
        <v>0.26327036953684924</v>
      </c>
      <c r="W69" s="5">
        <f t="shared" si="11"/>
        <v>0.23349921910141835</v>
      </c>
      <c r="X69" s="5">
        <f t="shared" si="11"/>
        <v>0.20709465108773251</v>
      </c>
      <c r="Y69" s="5">
        <f t="shared" si="11"/>
        <v>0.18367596548801107</v>
      </c>
      <c r="Z69" s="5">
        <f t="shared" si="11"/>
        <v>0.16290551262794778</v>
      </c>
      <c r="AA69" s="5">
        <f t="shared" si="11"/>
        <v>0.14448382494718204</v>
      </c>
    </row>
    <row r="70" spans="2:27" ht="18.75" x14ac:dyDescent="0.3">
      <c r="B70" t="s">
        <v>27</v>
      </c>
      <c r="C70" s="11">
        <f>SUM(C69:AA69)*1000000</f>
        <v>58447263.557139918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2:27" x14ac:dyDescent="0.25">
      <c r="C71" s="20">
        <f>+NPV(G2,D68:AA68)*1000000</f>
        <v>58447263.557139926</v>
      </c>
    </row>
    <row r="72" spans="2:27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4" spans="2:27" x14ac:dyDescent="0.25">
      <c r="C74" s="10">
        <v>0</v>
      </c>
      <c r="D74" s="10">
        <v>1</v>
      </c>
      <c r="E74" s="10">
        <v>2</v>
      </c>
      <c r="F74" s="10">
        <v>3</v>
      </c>
      <c r="G74" s="10">
        <v>4</v>
      </c>
      <c r="H74" s="13">
        <v>5</v>
      </c>
      <c r="I74" s="10">
        <v>6</v>
      </c>
      <c r="J74" s="10">
        <v>7</v>
      </c>
      <c r="K74" s="10">
        <v>8</v>
      </c>
      <c r="L74" s="10">
        <v>9</v>
      </c>
      <c r="M74" s="10">
        <v>10</v>
      </c>
      <c r="N74" s="10">
        <v>11</v>
      </c>
      <c r="O74" s="10">
        <v>12</v>
      </c>
      <c r="P74" s="10">
        <v>13</v>
      </c>
      <c r="Q74" s="10">
        <v>14</v>
      </c>
      <c r="R74" s="10">
        <v>15</v>
      </c>
      <c r="S74" s="10">
        <v>16</v>
      </c>
      <c r="T74" s="10">
        <v>17</v>
      </c>
      <c r="U74" s="10">
        <v>18</v>
      </c>
      <c r="V74" s="10">
        <v>19</v>
      </c>
      <c r="W74" s="10">
        <v>20</v>
      </c>
      <c r="X74" s="10">
        <v>21</v>
      </c>
      <c r="Y74" s="10">
        <v>22</v>
      </c>
      <c r="Z74" s="10">
        <v>23</v>
      </c>
      <c r="AA74" s="10">
        <v>24</v>
      </c>
    </row>
    <row r="75" spans="2:27" x14ac:dyDescent="0.25">
      <c r="B75" s="12" t="s">
        <v>28</v>
      </c>
      <c r="C75" s="10">
        <v>2019</v>
      </c>
      <c r="D75" s="10">
        <v>2020</v>
      </c>
      <c r="E75" s="10">
        <v>2021</v>
      </c>
      <c r="F75" s="10">
        <v>2022</v>
      </c>
      <c r="G75" s="10">
        <v>2023</v>
      </c>
      <c r="H75" s="13">
        <v>2024</v>
      </c>
      <c r="I75" s="10">
        <v>2025</v>
      </c>
      <c r="J75" s="10">
        <v>2026</v>
      </c>
      <c r="K75" s="10">
        <v>2027</v>
      </c>
      <c r="L75" s="10">
        <v>2028</v>
      </c>
      <c r="M75" s="10">
        <v>2029</v>
      </c>
      <c r="N75" s="10">
        <v>2030</v>
      </c>
      <c r="O75" s="10">
        <v>2031</v>
      </c>
      <c r="P75" s="10">
        <v>2032</v>
      </c>
      <c r="Q75" s="10">
        <v>2033</v>
      </c>
      <c r="R75" s="10">
        <v>2034</v>
      </c>
      <c r="S75" s="10">
        <v>2035</v>
      </c>
      <c r="T75" s="10">
        <v>2036</v>
      </c>
      <c r="U75" s="10">
        <v>2037</v>
      </c>
      <c r="V75" s="10">
        <v>2038</v>
      </c>
      <c r="W75" s="10">
        <v>2039</v>
      </c>
      <c r="X75" s="10">
        <v>2040</v>
      </c>
      <c r="Y75" s="10">
        <v>2041</v>
      </c>
      <c r="Z75" s="10">
        <v>2042</v>
      </c>
      <c r="AA75" s="10">
        <v>2043</v>
      </c>
    </row>
    <row r="76" spans="2:27" x14ac:dyDescent="0.25">
      <c r="B76" s="14" t="s">
        <v>98</v>
      </c>
      <c r="C76" s="5"/>
      <c r="D76" s="5">
        <v>0</v>
      </c>
      <c r="E76" s="5">
        <v>0</v>
      </c>
      <c r="F76" s="5">
        <v>0</v>
      </c>
      <c r="G76" s="5">
        <v>0</v>
      </c>
      <c r="H76" s="23">
        <f>+'Demanda Regional'!V22</f>
        <v>141464328.15402311</v>
      </c>
      <c r="I76" s="23">
        <f>+'Demanda Regional'!W22</f>
        <v>146540779.51167634</v>
      </c>
      <c r="J76" s="23">
        <f>+'Demanda Regional'!X22</f>
        <v>151271760.91059208</v>
      </c>
      <c r="K76" s="23">
        <f>+'Demanda Regional'!Y22</f>
        <v>160471178.53703284</v>
      </c>
      <c r="L76" s="23">
        <f>+'Demanda Regional'!Z22</f>
        <v>163042061.35426506</v>
      </c>
      <c r="M76" s="23">
        <f>+'Demanda Regional'!AA22</f>
        <v>162537199.88629726</v>
      </c>
      <c r="N76" s="23">
        <f>+'Demanda Regional'!AB22</f>
        <v>175109299.042229</v>
      </c>
      <c r="O76" s="23">
        <f>+'Demanda Regional'!AC22</f>
        <v>175118329.9539856</v>
      </c>
      <c r="P76" s="23">
        <f>+'Demanda Regional'!AD22</f>
        <v>172360425.66469723</v>
      </c>
      <c r="Q76" s="23">
        <f>+'Demanda Regional'!AE22</f>
        <v>179314459.09923404</v>
      </c>
      <c r="R76" s="23">
        <f>+'Demanda Regional'!AF22</f>
        <v>179314459.09923404</v>
      </c>
      <c r="S76" s="23">
        <f>+'Demanda Regional'!AG22</f>
        <v>179314459.09923404</v>
      </c>
      <c r="T76" s="23">
        <f>+'Demanda Regional'!AH22</f>
        <v>179314459.09923404</v>
      </c>
      <c r="U76" s="23">
        <f>+'Demanda Regional'!AI22</f>
        <v>179314459.09923404</v>
      </c>
      <c r="V76" s="23">
        <f>+'Demanda Regional'!AJ22</f>
        <v>179314459.09923404</v>
      </c>
      <c r="W76" s="23">
        <f>+'Demanda Regional'!AK22</f>
        <v>179314459.09923404</v>
      </c>
      <c r="X76" s="23">
        <f>+'Demanda Regional'!AL22</f>
        <v>179314459.09923404</v>
      </c>
      <c r="Y76" s="23">
        <f>+'Demanda Regional'!AM22</f>
        <v>179314459.09923404</v>
      </c>
      <c r="Z76" s="23">
        <f>+'Demanda Regional'!AN22</f>
        <v>179314459.09923404</v>
      </c>
      <c r="AA76" s="23">
        <f>+'Demanda Regional'!AO22</f>
        <v>179314459.09923404</v>
      </c>
    </row>
    <row r="77" spans="2:27" x14ac:dyDescent="0.25">
      <c r="B77" t="s">
        <v>29</v>
      </c>
      <c r="C77" s="5">
        <f>(C76)/(1+$G$2)^C74</f>
        <v>0</v>
      </c>
      <c r="D77" s="5">
        <v>0</v>
      </c>
      <c r="E77" s="5">
        <v>0</v>
      </c>
      <c r="F77" s="5">
        <v>0</v>
      </c>
      <c r="G77" s="5">
        <v>0</v>
      </c>
      <c r="H77" s="5">
        <f t="shared" ref="H77:AA77" si="12">(H76)/(1+$G$2)^H74</f>
        <v>77636185.421222493</v>
      </c>
      <c r="I77" s="5">
        <f t="shared" si="12"/>
        <v>71327859.954202995</v>
      </c>
      <c r="J77" s="5">
        <f t="shared" si="12"/>
        <v>65304334.581931882</v>
      </c>
      <c r="K77" s="5">
        <f t="shared" si="12"/>
        <v>61441900.090253368</v>
      </c>
      <c r="L77" s="5">
        <f t="shared" si="12"/>
        <v>55366963.052625351</v>
      </c>
      <c r="M77" s="5">
        <f t="shared" si="12"/>
        <v>48953896.821064882</v>
      </c>
      <c r="N77" s="5">
        <f t="shared" si="12"/>
        <v>46776438.653536074</v>
      </c>
      <c r="O77" s="5">
        <f t="shared" si="12"/>
        <v>41489003.152792826</v>
      </c>
      <c r="P77" s="5">
        <f t="shared" si="12"/>
        <v>36217827.907689922</v>
      </c>
      <c r="Q77" s="5">
        <f t="shared" si="12"/>
        <v>33418242.241229922</v>
      </c>
      <c r="R77" s="5">
        <f t="shared" si="12"/>
        <v>29639239.238341402</v>
      </c>
      <c r="S77" s="5">
        <f t="shared" si="12"/>
        <v>26287573.603850465</v>
      </c>
      <c r="T77" s="5">
        <f t="shared" si="12"/>
        <v>23314921.156408396</v>
      </c>
      <c r="U77" s="5">
        <f t="shared" si="12"/>
        <v>20678422.311670415</v>
      </c>
      <c r="V77" s="5">
        <f t="shared" si="12"/>
        <v>18340064.134519219</v>
      </c>
      <c r="W77" s="5">
        <f t="shared" si="12"/>
        <v>16266132.270083563</v>
      </c>
      <c r="X77" s="5">
        <f t="shared" si="12"/>
        <v>14426724.851515356</v>
      </c>
      <c r="Y77" s="5">
        <f t="shared" si="12"/>
        <v>12795321.376066836</v>
      </c>
      <c r="Z77" s="5">
        <f t="shared" si="12"/>
        <v>11348400.333540432</v>
      </c>
      <c r="AA77" s="5">
        <f t="shared" si="12"/>
        <v>10065100.074093508</v>
      </c>
    </row>
    <row r="78" spans="2:27" ht="18.75" x14ac:dyDescent="0.3">
      <c r="B78" t="s">
        <v>30</v>
      </c>
      <c r="C78" s="11">
        <f>SUM(C77:AA77)</f>
        <v>721094551.22663939</v>
      </c>
    </row>
    <row r="81" spans="1:27" x14ac:dyDescent="0.25">
      <c r="B81" s="12" t="s">
        <v>41</v>
      </c>
    </row>
    <row r="82" spans="1:27" x14ac:dyDescent="0.25">
      <c r="B82" s="10" t="s">
        <v>31</v>
      </c>
    </row>
    <row r="83" spans="1:27" ht="18.75" x14ac:dyDescent="0.3">
      <c r="B83" s="10" t="s">
        <v>40</v>
      </c>
      <c r="C83" s="115">
        <f>+C70/C78</f>
        <v>8.105353654068867E-2</v>
      </c>
    </row>
    <row r="86" spans="1:27" ht="18.75" x14ac:dyDescent="0.3">
      <c r="A86" s="113" t="s">
        <v>94</v>
      </c>
    </row>
    <row r="87" spans="1:27" ht="18.75" x14ac:dyDescent="0.3">
      <c r="A87" s="113"/>
      <c r="C87" s="10">
        <v>0</v>
      </c>
      <c r="D87" s="10">
        <v>1</v>
      </c>
      <c r="E87" s="10">
        <v>2</v>
      </c>
      <c r="F87" s="10">
        <v>3</v>
      </c>
      <c r="G87" s="10">
        <v>4</v>
      </c>
      <c r="H87" s="10">
        <v>5</v>
      </c>
      <c r="I87" s="10">
        <v>6</v>
      </c>
      <c r="J87" s="10">
        <v>7</v>
      </c>
      <c r="K87" s="10">
        <v>8</v>
      </c>
      <c r="L87" s="10">
        <v>9</v>
      </c>
      <c r="M87" s="10">
        <v>10</v>
      </c>
      <c r="N87" s="10">
        <v>11</v>
      </c>
      <c r="O87" s="10">
        <v>12</v>
      </c>
      <c r="P87" s="10">
        <v>13</v>
      </c>
      <c r="Q87" s="10">
        <v>14</v>
      </c>
      <c r="R87" s="10">
        <v>15</v>
      </c>
      <c r="S87" s="10">
        <v>16</v>
      </c>
      <c r="T87" s="10">
        <v>17</v>
      </c>
      <c r="U87" s="10">
        <v>18</v>
      </c>
      <c r="V87" s="10">
        <v>19</v>
      </c>
      <c r="W87" s="10">
        <v>20</v>
      </c>
      <c r="X87" s="10">
        <v>21</v>
      </c>
      <c r="Y87" s="10">
        <v>22</v>
      </c>
      <c r="Z87" s="10">
        <v>23</v>
      </c>
      <c r="AA87" s="10">
        <v>24</v>
      </c>
    </row>
    <row r="88" spans="1:27" x14ac:dyDescent="0.25">
      <c r="B88" s="12" t="s">
        <v>124</v>
      </c>
      <c r="C88" s="10">
        <v>2019</v>
      </c>
      <c r="D88" s="10">
        <v>2020</v>
      </c>
      <c r="E88" s="10">
        <v>2021</v>
      </c>
      <c r="F88" s="10">
        <v>2022</v>
      </c>
      <c r="G88" s="10">
        <v>2023</v>
      </c>
      <c r="H88" s="10">
        <v>2024</v>
      </c>
      <c r="I88" s="10">
        <v>2025</v>
      </c>
      <c r="J88" s="10">
        <v>2026</v>
      </c>
      <c r="K88" s="10">
        <v>2027</v>
      </c>
      <c r="L88" s="10">
        <v>2028</v>
      </c>
      <c r="M88" s="10">
        <v>2029</v>
      </c>
      <c r="N88" s="10">
        <v>2030</v>
      </c>
      <c r="O88" s="10">
        <v>2031</v>
      </c>
      <c r="P88" s="10">
        <v>2032</v>
      </c>
      <c r="Q88" s="10">
        <v>2033</v>
      </c>
      <c r="R88" s="10">
        <v>2034</v>
      </c>
      <c r="S88" s="10">
        <v>2035</v>
      </c>
      <c r="T88" s="10">
        <v>2036</v>
      </c>
      <c r="U88" s="10">
        <v>2037</v>
      </c>
      <c r="V88" s="10">
        <v>2038</v>
      </c>
      <c r="W88" s="10">
        <v>2039</v>
      </c>
      <c r="X88" s="10">
        <v>2040</v>
      </c>
      <c r="Y88" s="10">
        <v>2041</v>
      </c>
      <c r="Z88" s="10">
        <v>2042</v>
      </c>
      <c r="AA88" s="10">
        <v>2043</v>
      </c>
    </row>
    <row r="89" spans="1:27" x14ac:dyDescent="0.25">
      <c r="B89" t="s">
        <v>24</v>
      </c>
      <c r="H89" s="22">
        <f>+H37*'%  Planta'!F2</f>
        <v>14.238680086344907</v>
      </c>
    </row>
    <row r="90" spans="1:27" x14ac:dyDescent="0.25">
      <c r="B90" t="s">
        <v>25</v>
      </c>
      <c r="C90" s="5"/>
      <c r="D90" s="5"/>
      <c r="E90" s="5"/>
      <c r="F90" s="5"/>
      <c r="G90" s="5"/>
      <c r="H90" s="24">
        <f t="shared" ref="H90:AA90" si="13">$H$89*$D$2</f>
        <v>0.42716040259034721</v>
      </c>
      <c r="I90" s="24">
        <f t="shared" si="13"/>
        <v>0.42716040259034721</v>
      </c>
      <c r="J90" s="24">
        <f t="shared" si="13"/>
        <v>0.42716040259034721</v>
      </c>
      <c r="K90" s="24">
        <f t="shared" si="13"/>
        <v>0.42716040259034721</v>
      </c>
      <c r="L90" s="24">
        <f t="shared" si="13"/>
        <v>0.42716040259034721</v>
      </c>
      <c r="M90" s="24">
        <f t="shared" si="13"/>
        <v>0.42716040259034721</v>
      </c>
      <c r="N90" s="24">
        <f t="shared" si="13"/>
        <v>0.42716040259034721</v>
      </c>
      <c r="O90" s="24">
        <f t="shared" si="13"/>
        <v>0.42716040259034721</v>
      </c>
      <c r="P90" s="24">
        <f t="shared" si="13"/>
        <v>0.42716040259034721</v>
      </c>
      <c r="Q90" s="24">
        <f t="shared" si="13"/>
        <v>0.42716040259034721</v>
      </c>
      <c r="R90" s="24">
        <f t="shared" si="13"/>
        <v>0.42716040259034721</v>
      </c>
      <c r="S90" s="24">
        <f t="shared" si="13"/>
        <v>0.42716040259034721</v>
      </c>
      <c r="T90" s="24">
        <f t="shared" si="13"/>
        <v>0.42716040259034721</v>
      </c>
      <c r="U90" s="24">
        <f t="shared" si="13"/>
        <v>0.42716040259034721</v>
      </c>
      <c r="V90" s="24">
        <f t="shared" si="13"/>
        <v>0.42716040259034721</v>
      </c>
      <c r="W90" s="24">
        <f t="shared" si="13"/>
        <v>0.42716040259034721</v>
      </c>
      <c r="X90" s="24">
        <f t="shared" si="13"/>
        <v>0.42716040259034721</v>
      </c>
      <c r="Y90" s="24">
        <f t="shared" si="13"/>
        <v>0.42716040259034721</v>
      </c>
      <c r="Z90" s="24">
        <f t="shared" si="13"/>
        <v>0.42716040259034721</v>
      </c>
      <c r="AA90" s="24">
        <f t="shared" si="13"/>
        <v>0.42716040259034721</v>
      </c>
    </row>
    <row r="91" spans="1:27" x14ac:dyDescent="0.25">
      <c r="B91" s="20"/>
      <c r="C91" s="5">
        <f>+C90+C89</f>
        <v>0</v>
      </c>
      <c r="D91" s="5">
        <f t="shared" ref="D91:G91" si="14">+D90+D89</f>
        <v>0</v>
      </c>
      <c r="E91" s="5">
        <f t="shared" si="14"/>
        <v>0</v>
      </c>
      <c r="F91" s="5">
        <f t="shared" si="14"/>
        <v>0</v>
      </c>
      <c r="G91" s="5">
        <f t="shared" si="14"/>
        <v>0</v>
      </c>
      <c r="H91" s="5">
        <f>+H90+H89</f>
        <v>14.665840488935254</v>
      </c>
      <c r="I91" s="5">
        <f t="shared" ref="I91:AA91" si="15">+I90+I89</f>
        <v>0.42716040259034721</v>
      </c>
      <c r="J91" s="5">
        <f t="shared" si="15"/>
        <v>0.42716040259034721</v>
      </c>
      <c r="K91" s="5">
        <f t="shared" si="15"/>
        <v>0.42716040259034721</v>
      </c>
      <c r="L91" s="5">
        <f t="shared" si="15"/>
        <v>0.42716040259034721</v>
      </c>
      <c r="M91" s="5">
        <f t="shared" si="15"/>
        <v>0.42716040259034721</v>
      </c>
      <c r="N91" s="5">
        <f t="shared" si="15"/>
        <v>0.42716040259034721</v>
      </c>
      <c r="O91" s="5">
        <f t="shared" si="15"/>
        <v>0.42716040259034721</v>
      </c>
      <c r="P91" s="5">
        <f t="shared" si="15"/>
        <v>0.42716040259034721</v>
      </c>
      <c r="Q91" s="5">
        <f t="shared" si="15"/>
        <v>0.42716040259034721</v>
      </c>
      <c r="R91" s="5">
        <f t="shared" si="15"/>
        <v>0.42716040259034721</v>
      </c>
      <c r="S91" s="5">
        <f t="shared" si="15"/>
        <v>0.42716040259034721</v>
      </c>
      <c r="T91" s="5">
        <f t="shared" si="15"/>
        <v>0.42716040259034721</v>
      </c>
      <c r="U91" s="5">
        <f t="shared" si="15"/>
        <v>0.42716040259034721</v>
      </c>
      <c r="V91" s="5">
        <f t="shared" si="15"/>
        <v>0.42716040259034721</v>
      </c>
      <c r="W91" s="5">
        <f t="shared" si="15"/>
        <v>0.42716040259034721</v>
      </c>
      <c r="X91" s="5">
        <f t="shared" si="15"/>
        <v>0.42716040259034721</v>
      </c>
      <c r="Y91" s="5">
        <f t="shared" si="15"/>
        <v>0.42716040259034721</v>
      </c>
      <c r="Z91" s="5">
        <f t="shared" si="15"/>
        <v>0.42716040259034721</v>
      </c>
      <c r="AA91" s="5">
        <f t="shared" si="15"/>
        <v>0.42716040259034721</v>
      </c>
    </row>
    <row r="92" spans="1:27" x14ac:dyDescent="0.25">
      <c r="B92" t="s">
        <v>26</v>
      </c>
      <c r="C92" s="5">
        <f t="shared" ref="C92:AA92" si="16">(C90/(1+$G$2)^C87)+(C89/(1+$G$2)^C87)</f>
        <v>0</v>
      </c>
      <c r="D92" s="5">
        <f t="shared" si="16"/>
        <v>0</v>
      </c>
      <c r="E92" s="5">
        <f t="shared" si="16"/>
        <v>0</v>
      </c>
      <c r="F92" s="5">
        <f t="shared" si="16"/>
        <v>0</v>
      </c>
      <c r="G92" s="5">
        <f t="shared" si="16"/>
        <v>0</v>
      </c>
      <c r="H92" s="5">
        <f t="shared" si="16"/>
        <v>8.0486715373035125</v>
      </c>
      <c r="I92" s="5">
        <f t="shared" si="16"/>
        <v>0.20791780605696542</v>
      </c>
      <c r="J92" s="5">
        <f t="shared" si="16"/>
        <v>0.18440603641416006</v>
      </c>
      <c r="K92" s="5">
        <f t="shared" si="16"/>
        <v>0.16355302564448784</v>
      </c>
      <c r="L92" s="5">
        <f t="shared" si="16"/>
        <v>0.14505811587094267</v>
      </c>
      <c r="M92" s="5">
        <f t="shared" si="16"/>
        <v>0.12865464822256556</v>
      </c>
      <c r="N92" s="5">
        <f t="shared" si="16"/>
        <v>0.11410611815748609</v>
      </c>
      <c r="O92" s="5">
        <f t="shared" si="16"/>
        <v>0.10120276554987678</v>
      </c>
      <c r="P92" s="5">
        <f t="shared" si="16"/>
        <v>8.9758550376830865E-2</v>
      </c>
      <c r="Q92" s="5">
        <f t="shared" si="16"/>
        <v>7.9608470400736903E-2</v>
      </c>
      <c r="R92" s="5">
        <f t="shared" si="16"/>
        <v>7.060618217360258E-2</v>
      </c>
      <c r="S92" s="5">
        <f t="shared" si="16"/>
        <v>6.2621891063062152E-2</v>
      </c>
      <c r="T92" s="5">
        <f t="shared" si="16"/>
        <v>5.5540479878547371E-2</v>
      </c>
      <c r="U92" s="5">
        <f t="shared" si="16"/>
        <v>4.9259849116228265E-2</v>
      </c>
      <c r="V92" s="5">
        <f t="shared" si="16"/>
        <v>4.3689444892441927E-2</v>
      </c>
      <c r="W92" s="5">
        <f t="shared" si="16"/>
        <v>3.8748953341411901E-2</v>
      </c>
      <c r="X92" s="5">
        <f t="shared" si="16"/>
        <v>3.4367142653136951E-2</v>
      </c>
      <c r="Y92" s="5">
        <f t="shared" si="16"/>
        <v>3.0480836055997291E-2</v>
      </c>
      <c r="Z92" s="5">
        <f t="shared" si="16"/>
        <v>2.7034000936582966E-2</v>
      </c>
      <c r="AA92" s="5">
        <f t="shared" si="16"/>
        <v>2.3976940963709947E-2</v>
      </c>
    </row>
    <row r="93" spans="1:27" ht="18.75" x14ac:dyDescent="0.3">
      <c r="B93" t="s">
        <v>27</v>
      </c>
      <c r="C93" s="11">
        <f>SUM(C92:AA92)*1000000</f>
        <v>9699262.7950722836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7" x14ac:dyDescent="0.25">
      <c r="C94" s="20">
        <f>+NPV(G2,D91:AA91)*1000000</f>
        <v>9699262.7950722855</v>
      </c>
    </row>
    <row r="95" spans="1:27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7" spans="2:27" x14ac:dyDescent="0.25">
      <c r="C97" s="10">
        <v>0</v>
      </c>
      <c r="D97" s="10">
        <v>1</v>
      </c>
      <c r="E97" s="10">
        <v>2</v>
      </c>
      <c r="F97" s="10">
        <v>3</v>
      </c>
      <c r="G97" s="10">
        <v>4</v>
      </c>
      <c r="H97" s="13">
        <v>5</v>
      </c>
      <c r="I97" s="10">
        <v>6</v>
      </c>
      <c r="J97" s="10">
        <v>7</v>
      </c>
      <c r="K97" s="10">
        <v>8</v>
      </c>
      <c r="L97" s="10">
        <v>9</v>
      </c>
      <c r="M97" s="10">
        <v>10</v>
      </c>
      <c r="N97" s="10">
        <v>11</v>
      </c>
      <c r="O97" s="10">
        <v>12</v>
      </c>
      <c r="P97" s="10">
        <v>13</v>
      </c>
      <c r="Q97" s="10">
        <v>14</v>
      </c>
      <c r="R97" s="10">
        <v>15</v>
      </c>
      <c r="S97" s="10">
        <v>16</v>
      </c>
      <c r="T97" s="10">
        <v>17</v>
      </c>
      <c r="U97" s="10">
        <v>18</v>
      </c>
      <c r="V97" s="10">
        <v>19</v>
      </c>
      <c r="W97" s="10">
        <v>20</v>
      </c>
      <c r="X97" s="10">
        <v>21</v>
      </c>
      <c r="Y97" s="10">
        <v>22</v>
      </c>
      <c r="Z97" s="10">
        <v>23</v>
      </c>
      <c r="AA97" s="10">
        <v>24</v>
      </c>
    </row>
    <row r="98" spans="2:27" x14ac:dyDescent="0.25">
      <c r="B98" s="12" t="s">
        <v>28</v>
      </c>
      <c r="C98" s="10">
        <v>2019</v>
      </c>
      <c r="D98" s="10">
        <v>2020</v>
      </c>
      <c r="E98" s="10">
        <v>2021</v>
      </c>
      <c r="F98" s="10">
        <v>2022</v>
      </c>
      <c r="G98" s="10">
        <v>2023</v>
      </c>
      <c r="H98" s="13">
        <v>2024</v>
      </c>
      <c r="I98" s="10">
        <v>2025</v>
      </c>
      <c r="J98" s="10">
        <v>2026</v>
      </c>
      <c r="K98" s="10">
        <v>2027</v>
      </c>
      <c r="L98" s="10">
        <v>2028</v>
      </c>
      <c r="M98" s="10">
        <v>2029</v>
      </c>
      <c r="N98" s="10">
        <v>2030</v>
      </c>
      <c r="O98" s="10">
        <v>2031</v>
      </c>
      <c r="P98" s="10">
        <v>2032</v>
      </c>
      <c r="Q98" s="10">
        <v>2033</v>
      </c>
      <c r="R98" s="10">
        <v>2034</v>
      </c>
      <c r="S98" s="10">
        <v>2035</v>
      </c>
      <c r="T98" s="10">
        <v>2036</v>
      </c>
      <c r="U98" s="10">
        <v>2037</v>
      </c>
      <c r="V98" s="10">
        <v>2038</v>
      </c>
      <c r="W98" s="10">
        <v>2039</v>
      </c>
      <c r="X98" s="10">
        <v>2040</v>
      </c>
      <c r="Y98" s="10">
        <v>2041</v>
      </c>
      <c r="Z98" s="10">
        <v>2042</v>
      </c>
      <c r="AA98" s="10">
        <v>2043</v>
      </c>
    </row>
    <row r="99" spans="2:27" x14ac:dyDescent="0.25">
      <c r="B99" s="14" t="s">
        <v>98</v>
      </c>
      <c r="C99" s="5"/>
      <c r="D99" s="5">
        <v>0</v>
      </c>
      <c r="E99" s="5">
        <v>0</v>
      </c>
      <c r="F99" s="5">
        <v>0</v>
      </c>
      <c r="G99" s="5">
        <v>0</v>
      </c>
      <c r="H99" s="23">
        <f>+'Demanda Regional'!V22</f>
        <v>141464328.15402311</v>
      </c>
      <c r="I99" s="23">
        <f>+'Demanda Regional'!W22</f>
        <v>146540779.51167634</v>
      </c>
      <c r="J99" s="23">
        <f>+'Demanda Regional'!X22</f>
        <v>151271760.91059208</v>
      </c>
      <c r="K99" s="23">
        <f>+'Demanda Regional'!Y22</f>
        <v>160471178.53703284</v>
      </c>
      <c r="L99" s="23">
        <f>+'Demanda Regional'!Z22</f>
        <v>163042061.35426506</v>
      </c>
      <c r="M99" s="23">
        <f>+'Demanda Regional'!AA22</f>
        <v>162537199.88629726</v>
      </c>
      <c r="N99" s="23">
        <f>+'Demanda Regional'!AB22</f>
        <v>175109299.042229</v>
      </c>
      <c r="O99" s="23">
        <f>+'Demanda Regional'!AC22</f>
        <v>175118329.9539856</v>
      </c>
      <c r="P99" s="23">
        <f>+'Demanda Regional'!AD22</f>
        <v>172360425.66469723</v>
      </c>
      <c r="Q99" s="23">
        <f>+'Demanda Regional'!AE22</f>
        <v>179314459.09923404</v>
      </c>
      <c r="R99" s="23">
        <f>+'Demanda Regional'!AF22</f>
        <v>179314459.09923404</v>
      </c>
      <c r="S99" s="23">
        <f>+'Demanda Regional'!AG22</f>
        <v>179314459.09923404</v>
      </c>
      <c r="T99" s="23">
        <f>+'Demanda Regional'!AH22</f>
        <v>179314459.09923404</v>
      </c>
      <c r="U99" s="23">
        <f>+'Demanda Regional'!AI22</f>
        <v>179314459.09923404</v>
      </c>
      <c r="V99" s="23">
        <f>+'Demanda Regional'!AJ22</f>
        <v>179314459.09923404</v>
      </c>
      <c r="W99" s="23">
        <f>+'Demanda Regional'!AK22</f>
        <v>179314459.09923404</v>
      </c>
      <c r="X99" s="23">
        <f>+'Demanda Regional'!AL22</f>
        <v>179314459.09923404</v>
      </c>
      <c r="Y99" s="23">
        <f>+'Demanda Regional'!AM22</f>
        <v>179314459.09923404</v>
      </c>
      <c r="Z99" s="23">
        <f>+'Demanda Regional'!AN22</f>
        <v>179314459.09923404</v>
      </c>
      <c r="AA99" s="23">
        <f>+'Demanda Regional'!AO22</f>
        <v>179314459.09923404</v>
      </c>
    </row>
    <row r="100" spans="2:27" x14ac:dyDescent="0.25">
      <c r="B100" t="s">
        <v>29</v>
      </c>
      <c r="C100" s="5">
        <f>(C99)/(1+$G$2)^C97</f>
        <v>0</v>
      </c>
      <c r="D100" s="5">
        <v>0</v>
      </c>
      <c r="E100" s="5">
        <v>0</v>
      </c>
      <c r="F100" s="5">
        <v>0</v>
      </c>
      <c r="G100" s="5">
        <v>0</v>
      </c>
      <c r="H100" s="5">
        <f t="shared" ref="H100:AA100" si="17">(H99)/(1+$G$2)^H97</f>
        <v>77636185.421222493</v>
      </c>
      <c r="I100" s="5">
        <f t="shared" si="17"/>
        <v>71327859.954202995</v>
      </c>
      <c r="J100" s="5">
        <f t="shared" si="17"/>
        <v>65304334.581931882</v>
      </c>
      <c r="K100" s="5">
        <f t="shared" si="17"/>
        <v>61441900.090253368</v>
      </c>
      <c r="L100" s="5">
        <f t="shared" si="17"/>
        <v>55366963.052625351</v>
      </c>
      <c r="M100" s="5">
        <f t="shared" si="17"/>
        <v>48953896.821064882</v>
      </c>
      <c r="N100" s="5">
        <f t="shared" si="17"/>
        <v>46776438.653536074</v>
      </c>
      <c r="O100" s="5">
        <f t="shared" si="17"/>
        <v>41489003.152792826</v>
      </c>
      <c r="P100" s="5">
        <f t="shared" si="17"/>
        <v>36217827.907689922</v>
      </c>
      <c r="Q100" s="5">
        <f t="shared" si="17"/>
        <v>33418242.241229922</v>
      </c>
      <c r="R100" s="5">
        <f t="shared" si="17"/>
        <v>29639239.238341402</v>
      </c>
      <c r="S100" s="5">
        <f t="shared" si="17"/>
        <v>26287573.603850465</v>
      </c>
      <c r="T100" s="5">
        <f t="shared" si="17"/>
        <v>23314921.156408396</v>
      </c>
      <c r="U100" s="5">
        <f t="shared" si="17"/>
        <v>20678422.311670415</v>
      </c>
      <c r="V100" s="5">
        <f t="shared" si="17"/>
        <v>18340064.134519219</v>
      </c>
      <c r="W100" s="5">
        <f t="shared" si="17"/>
        <v>16266132.270083563</v>
      </c>
      <c r="X100" s="5">
        <f t="shared" si="17"/>
        <v>14426724.851515356</v>
      </c>
      <c r="Y100" s="5">
        <f t="shared" si="17"/>
        <v>12795321.376066836</v>
      </c>
      <c r="Z100" s="5">
        <f t="shared" si="17"/>
        <v>11348400.333540432</v>
      </c>
      <c r="AA100" s="5">
        <f t="shared" si="17"/>
        <v>10065100.074093508</v>
      </c>
    </row>
    <row r="101" spans="2:27" ht="18.75" x14ac:dyDescent="0.3">
      <c r="B101" t="s">
        <v>30</v>
      </c>
      <c r="C101" s="11">
        <f>SUM(C100:AA100)</f>
        <v>721094551.22663939</v>
      </c>
    </row>
    <row r="104" spans="2:27" x14ac:dyDescent="0.25">
      <c r="B104" s="12" t="s">
        <v>41</v>
      </c>
    </row>
    <row r="105" spans="2:27" x14ac:dyDescent="0.25">
      <c r="B105" s="10" t="s">
        <v>31</v>
      </c>
    </row>
    <row r="106" spans="2:27" ht="18.75" x14ac:dyDescent="0.3">
      <c r="B106" s="10" t="s">
        <v>40</v>
      </c>
      <c r="C106" s="116">
        <f>+C93/C101</f>
        <v>1.3450750360785647E-2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showGridLines="0" workbookViewId="0">
      <pane ySplit="2" topLeftCell="A36" activePane="bottomLeft" state="frozen"/>
      <selection pane="bottomLeft" activeCell="B81" sqref="B81"/>
    </sheetView>
  </sheetViews>
  <sheetFormatPr baseColWidth="10" defaultRowHeight="15" x14ac:dyDescent="0.25"/>
  <cols>
    <col min="1" max="1" width="19.42578125" bestFit="1" customWidth="1"/>
    <col min="2" max="2" width="26.140625" bestFit="1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8" t="s">
        <v>123</v>
      </c>
      <c r="C2" s="140" t="str">
        <f>+'%  Planta'!C9</f>
        <v>Costa Atlántica</v>
      </c>
      <c r="D2" s="141">
        <v>0.03</v>
      </c>
      <c r="E2" s="142">
        <v>700</v>
      </c>
      <c r="F2" s="142">
        <v>2024</v>
      </c>
      <c r="G2" s="141">
        <v>0.1275</v>
      </c>
    </row>
    <row r="5" spans="1:27" ht="18.75" x14ac:dyDescent="0.3">
      <c r="A5" s="113" t="s">
        <v>88</v>
      </c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22">
        <f>+E2*'%  Planta'!E9*'%  Planta'!F4</f>
        <v>15.042103129200703</v>
      </c>
    </row>
    <row r="8" spans="1:27" x14ac:dyDescent="0.25">
      <c r="B8" t="s">
        <v>25</v>
      </c>
      <c r="C8" s="5"/>
      <c r="D8" s="5"/>
      <c r="E8" s="5"/>
      <c r="F8" s="5"/>
      <c r="G8" s="5"/>
      <c r="H8" s="5">
        <f t="shared" ref="H8:AA8" si="0">$H$7*$D$2</f>
        <v>0.45126309387602104</v>
      </c>
      <c r="I8" s="5">
        <f>$H$7*$D$2</f>
        <v>0.45126309387602104</v>
      </c>
      <c r="J8" s="5">
        <f t="shared" si="0"/>
        <v>0.45126309387602104</v>
      </c>
      <c r="K8" s="5">
        <f t="shared" si="0"/>
        <v>0.45126309387602104</v>
      </c>
      <c r="L8" s="5">
        <f t="shared" si="0"/>
        <v>0.45126309387602104</v>
      </c>
      <c r="M8" s="5">
        <f t="shared" si="0"/>
        <v>0.45126309387602104</v>
      </c>
      <c r="N8" s="5">
        <f t="shared" si="0"/>
        <v>0.45126309387602104</v>
      </c>
      <c r="O8" s="5">
        <f t="shared" si="0"/>
        <v>0.45126309387602104</v>
      </c>
      <c r="P8" s="5">
        <f t="shared" si="0"/>
        <v>0.45126309387602104</v>
      </c>
      <c r="Q8" s="5">
        <f t="shared" si="0"/>
        <v>0.45126309387602104</v>
      </c>
      <c r="R8" s="5">
        <f t="shared" si="0"/>
        <v>0.45126309387602104</v>
      </c>
      <c r="S8" s="5">
        <f t="shared" si="0"/>
        <v>0.45126309387602104</v>
      </c>
      <c r="T8" s="5">
        <f t="shared" si="0"/>
        <v>0.45126309387602104</v>
      </c>
      <c r="U8" s="5">
        <f t="shared" si="0"/>
        <v>0.45126309387602104</v>
      </c>
      <c r="V8" s="5">
        <f t="shared" si="0"/>
        <v>0.45126309387602104</v>
      </c>
      <c r="W8" s="5">
        <f t="shared" si="0"/>
        <v>0.45126309387602104</v>
      </c>
      <c r="X8" s="5">
        <f t="shared" si="0"/>
        <v>0.45126309387602104</v>
      </c>
      <c r="Y8" s="5">
        <f t="shared" si="0"/>
        <v>0.45126309387602104</v>
      </c>
      <c r="Z8" s="5">
        <f t="shared" si="0"/>
        <v>0.45126309387602104</v>
      </c>
      <c r="AA8" s="5">
        <f t="shared" si="0"/>
        <v>0.45126309387602104</v>
      </c>
    </row>
    <row r="9" spans="1:27" x14ac:dyDescent="0.25">
      <c r="B9" t="s">
        <v>26</v>
      </c>
      <c r="C9" s="5">
        <f>(C8/(1+$G$2)^C5)+(C7/(1+$G$2)^C5)</f>
        <v>0</v>
      </c>
      <c r="D9" s="5">
        <f t="shared" ref="D9:AA9" si="1">(D8/(1+$G$2)^D5)+(D7/(1+$G$2)^D5)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8.5028209485013004</v>
      </c>
      <c r="I9" s="5">
        <f t="shared" si="1"/>
        <v>0.21964964885371366</v>
      </c>
      <c r="J9" s="5">
        <f t="shared" si="1"/>
        <v>0.19481121849553321</v>
      </c>
      <c r="K9" s="5">
        <f t="shared" si="1"/>
        <v>0.17278156851045073</v>
      </c>
      <c r="L9" s="5">
        <f t="shared" si="1"/>
        <v>0.15324307628421352</v>
      </c>
      <c r="M9" s="5">
        <f t="shared" si="1"/>
        <v>0.13591403661571044</v>
      </c>
      <c r="N9" s="5">
        <f t="shared" si="1"/>
        <v>0.12054460010262567</v>
      </c>
      <c r="O9" s="5">
        <f t="shared" si="1"/>
        <v>0.10691317082272786</v>
      </c>
      <c r="P9" s="5">
        <f t="shared" si="1"/>
        <v>9.4823211372707647E-2</v>
      </c>
      <c r="Q9" s="5">
        <f t="shared" si="1"/>
        <v>8.4100409199740697E-2</v>
      </c>
      <c r="R9" s="5">
        <f t="shared" si="1"/>
        <v>7.4590163370058291E-2</v>
      </c>
      <c r="S9" s="5">
        <f t="shared" si="1"/>
        <v>6.6155355538854349E-2</v>
      </c>
      <c r="T9" s="5">
        <f t="shared" si="1"/>
        <v>5.8674372983462841E-2</v>
      </c>
      <c r="U9" s="5">
        <f t="shared" si="1"/>
        <v>5.2039355195975912E-2</v>
      </c>
      <c r="V9" s="5">
        <f t="shared" si="1"/>
        <v>4.6154638754745826E-2</v>
      </c>
      <c r="W9" s="5">
        <f t="shared" si="1"/>
        <v>4.0935378052989642E-2</v>
      </c>
      <c r="X9" s="5">
        <f t="shared" si="1"/>
        <v>3.6306321998216984E-2</v>
      </c>
      <c r="Y9" s="5">
        <f t="shared" si="1"/>
        <v>3.22007290449818E-2</v>
      </c>
      <c r="Z9" s="5">
        <f t="shared" si="1"/>
        <v>2.8559404917943954E-2</v>
      </c>
      <c r="AA9" s="5">
        <f t="shared" si="1"/>
        <v>2.53298491511698E-2</v>
      </c>
    </row>
    <row r="10" spans="1:27" ht="18.75" x14ac:dyDescent="0.3">
      <c r="B10" t="s">
        <v>27</v>
      </c>
      <c r="C10" s="11">
        <f>SUM(C9:AA9)*1000000</f>
        <v>10246547.457767121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7" ht="16.5" customHeight="1" x14ac:dyDescent="0.25">
      <c r="C11" s="20"/>
    </row>
    <row r="12" spans="1:27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7" x14ac:dyDescent="0.25"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  <c r="Z14" s="10">
        <v>23</v>
      </c>
      <c r="AA14" s="10">
        <v>24</v>
      </c>
    </row>
    <row r="15" spans="1:27" x14ac:dyDescent="0.25">
      <c r="A15" s="10"/>
      <c r="B15" s="12" t="s">
        <v>28</v>
      </c>
      <c r="C15" s="10">
        <v>2019</v>
      </c>
      <c r="D15" s="10">
        <v>2020</v>
      </c>
      <c r="E15" s="10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  <c r="Z15" s="10">
        <v>2042</v>
      </c>
      <c r="AA15" s="10">
        <v>2043</v>
      </c>
    </row>
    <row r="16" spans="1:27" x14ac:dyDescent="0.25">
      <c r="A16">
        <v>2024</v>
      </c>
      <c r="B16" s="14" t="s">
        <v>99</v>
      </c>
      <c r="C16" s="5"/>
      <c r="D16" s="5"/>
      <c r="E16" s="5"/>
      <c r="F16" s="5"/>
      <c r="G16" s="5"/>
      <c r="H16" s="22">
        <f>+'Demanda Regional'!V5</f>
        <v>133142897.0861394</v>
      </c>
      <c r="I16" s="22">
        <f>+'Demanda Regional'!W5</f>
        <v>137920733.65804839</v>
      </c>
      <c r="J16" s="22">
        <f>+'Demanda Regional'!X5</f>
        <v>142373422.03349841</v>
      </c>
      <c r="K16" s="22">
        <f>+'Demanda Regional'!Y5</f>
        <v>151031697.44661915</v>
      </c>
      <c r="L16" s="22">
        <f>+'Demanda Regional'!Z5</f>
        <v>153451351.8628377</v>
      </c>
      <c r="M16" s="22">
        <f>+'Demanda Regional'!AA5</f>
        <v>152976188.12827978</v>
      </c>
      <c r="N16" s="22">
        <f>+'Demanda Regional'!AB5</f>
        <v>164808752.03974497</v>
      </c>
      <c r="O16" s="22">
        <f>+'Demanda Regional'!AC5</f>
        <v>164817251.7213982</v>
      </c>
      <c r="P16" s="22">
        <f>+'Demanda Regional'!AD5</f>
        <v>162221577.09618559</v>
      </c>
      <c r="Q16" s="22">
        <f>+'Demanda Regional'!AE5</f>
        <v>168766549.74045557</v>
      </c>
      <c r="R16" s="22">
        <f>+'Demanda Regional'!AF5</f>
        <v>168766549.74045557</v>
      </c>
      <c r="S16" s="22">
        <f>+'Demanda Regional'!AG5</f>
        <v>168766549.74045557</v>
      </c>
      <c r="T16" s="22">
        <f>+'Demanda Regional'!AH5</f>
        <v>168766549.74045557</v>
      </c>
      <c r="U16" s="22">
        <f>+'Demanda Regional'!AI5</f>
        <v>168766549.74045557</v>
      </c>
      <c r="V16" s="22">
        <f>+'Demanda Regional'!AJ5</f>
        <v>168766549.74045557</v>
      </c>
      <c r="W16" s="22">
        <f>+'Demanda Regional'!AK5</f>
        <v>168766549.74045557</v>
      </c>
      <c r="X16" s="22">
        <f>+'Demanda Regional'!AL5</f>
        <v>168766549.74045557</v>
      </c>
      <c r="Y16" s="22">
        <f>+'Demanda Regional'!AM5</f>
        <v>168766549.74045557</v>
      </c>
      <c r="Z16" s="22">
        <f>+'Demanda Regional'!AN5</f>
        <v>168766549.74045557</v>
      </c>
      <c r="AA16" s="22">
        <f>+'Demanda Regional'!AO5</f>
        <v>168766549.74045557</v>
      </c>
    </row>
    <row r="17" spans="1:27" x14ac:dyDescent="0.25">
      <c r="A17">
        <v>2043</v>
      </c>
      <c r="B17" t="s">
        <v>29</v>
      </c>
      <c r="C17" s="5">
        <f>(C16)/(1+$G$2)^C14</f>
        <v>0</v>
      </c>
      <c r="D17" s="5">
        <f t="shared" ref="D17:AA17" si="2">(D16)/(1+$G$2)^D14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73069350.984679997</v>
      </c>
      <c r="I17" s="5">
        <f t="shared" si="2"/>
        <v>67132103.486308739</v>
      </c>
      <c r="J17" s="5">
        <f t="shared" si="2"/>
        <v>61462903.13593588</v>
      </c>
      <c r="K17" s="5">
        <f t="shared" si="2"/>
        <v>57827670.673179641</v>
      </c>
      <c r="L17" s="5">
        <f t="shared" si="2"/>
        <v>52110082.873059154</v>
      </c>
      <c r="M17" s="5">
        <f t="shared" si="2"/>
        <v>46074255.831590481</v>
      </c>
      <c r="N17" s="5">
        <f t="shared" si="2"/>
        <v>44024883.438622199</v>
      </c>
      <c r="O17" s="5">
        <f t="shared" si="2"/>
        <v>39048473.555569723</v>
      </c>
      <c r="P17" s="5">
        <f t="shared" si="2"/>
        <v>34087367.442531683</v>
      </c>
      <c r="Q17" s="5">
        <f t="shared" si="2"/>
        <v>31452463.285863455</v>
      </c>
      <c r="R17" s="5">
        <f t="shared" si="2"/>
        <v>27895754.577262495</v>
      </c>
      <c r="S17" s="5">
        <f t="shared" si="2"/>
        <v>24741245.744800437</v>
      </c>
      <c r="T17" s="5">
        <f t="shared" si="2"/>
        <v>21943455.206031431</v>
      </c>
      <c r="U17" s="5">
        <f t="shared" si="2"/>
        <v>19462044.528630979</v>
      </c>
      <c r="V17" s="5">
        <f t="shared" si="2"/>
        <v>17261236.832488675</v>
      </c>
      <c r="W17" s="5">
        <f t="shared" si="2"/>
        <v>15309300.960078647</v>
      </c>
      <c r="X17" s="5">
        <f t="shared" si="2"/>
        <v>13578093.977896806</v>
      </c>
      <c r="Y17" s="5">
        <f t="shared" si="2"/>
        <v>12042655.412768785</v>
      </c>
      <c r="Z17" s="5">
        <f t="shared" si="2"/>
        <v>10680847.372743936</v>
      </c>
      <c r="AA17" s="5">
        <f t="shared" si="2"/>
        <v>9473035.3638527133</v>
      </c>
    </row>
    <row r="18" spans="1:27" ht="18.75" x14ac:dyDescent="0.3">
      <c r="B18" t="s">
        <v>30</v>
      </c>
      <c r="C18" s="11">
        <f>SUM(H17:AA17)</f>
        <v>678677224.68389595</v>
      </c>
    </row>
    <row r="19" spans="1:27" x14ac:dyDescent="0.25">
      <c r="E19" s="10"/>
    </row>
    <row r="20" spans="1:2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B23" s="12" t="s">
        <v>41</v>
      </c>
      <c r="E23" s="10"/>
    </row>
    <row r="24" spans="1:27" x14ac:dyDescent="0.25">
      <c r="B24" s="10" t="s">
        <v>31</v>
      </c>
      <c r="E24" s="10"/>
    </row>
    <row r="25" spans="1:27" ht="18.75" x14ac:dyDescent="0.3">
      <c r="B25" s="10" t="s">
        <v>40</v>
      </c>
      <c r="C25" s="21">
        <f>+C10/C18</f>
        <v>1.50978212986882E-2</v>
      </c>
      <c r="D25" s="10"/>
      <c r="E25" s="10"/>
    </row>
    <row r="30" spans="1:27" ht="18.75" x14ac:dyDescent="0.3">
      <c r="A30" s="113" t="s">
        <v>87</v>
      </c>
    </row>
    <row r="31" spans="1:27" ht="18.75" x14ac:dyDescent="0.3">
      <c r="A31" s="113"/>
      <c r="C31" s="10">
        <v>0</v>
      </c>
      <c r="D31" s="10">
        <v>1</v>
      </c>
      <c r="E31" s="10">
        <v>2</v>
      </c>
      <c r="F31" s="10">
        <v>3</v>
      </c>
      <c r="G31" s="10">
        <v>4</v>
      </c>
      <c r="H31" s="10">
        <v>5</v>
      </c>
      <c r="I31" s="10">
        <v>6</v>
      </c>
      <c r="J31" s="10">
        <v>7</v>
      </c>
      <c r="K31" s="10">
        <v>8</v>
      </c>
      <c r="L31" s="10">
        <v>9</v>
      </c>
      <c r="M31" s="10">
        <v>10</v>
      </c>
      <c r="N31" s="10">
        <v>11</v>
      </c>
      <c r="O31" s="10">
        <v>12</v>
      </c>
      <c r="P31" s="10">
        <v>13</v>
      </c>
      <c r="Q31" s="10">
        <v>14</v>
      </c>
      <c r="R31" s="10">
        <v>15</v>
      </c>
      <c r="S31" s="10">
        <v>16</v>
      </c>
      <c r="T31" s="10">
        <v>17</v>
      </c>
      <c r="U31" s="10">
        <v>18</v>
      </c>
      <c r="V31" s="10">
        <v>19</v>
      </c>
      <c r="W31" s="10">
        <v>20</v>
      </c>
      <c r="X31" s="10">
        <v>21</v>
      </c>
      <c r="Y31" s="10">
        <v>22</v>
      </c>
      <c r="Z31" s="10">
        <v>23</v>
      </c>
      <c r="AA31" s="10">
        <v>24</v>
      </c>
    </row>
    <row r="32" spans="1:27" x14ac:dyDescent="0.25">
      <c r="B32" s="12" t="s">
        <v>124</v>
      </c>
      <c r="C32" s="10">
        <v>2019</v>
      </c>
      <c r="D32" s="10">
        <v>2020</v>
      </c>
      <c r="E32" s="10">
        <v>2021</v>
      </c>
      <c r="F32" s="10">
        <v>2022</v>
      </c>
      <c r="G32" s="10">
        <v>2023</v>
      </c>
      <c r="H32" s="10">
        <v>2024</v>
      </c>
      <c r="I32" s="10">
        <v>2025</v>
      </c>
      <c r="J32" s="10">
        <v>2026</v>
      </c>
      <c r="K32" s="10">
        <v>2027</v>
      </c>
      <c r="L32" s="10">
        <v>2028</v>
      </c>
      <c r="M32" s="10">
        <v>2029</v>
      </c>
      <c r="N32" s="10">
        <v>2030</v>
      </c>
      <c r="O32" s="10">
        <v>2031</v>
      </c>
      <c r="P32" s="10">
        <v>2032</v>
      </c>
      <c r="Q32" s="10">
        <v>2033</v>
      </c>
      <c r="R32" s="10">
        <v>2034</v>
      </c>
      <c r="S32" s="10">
        <v>2035</v>
      </c>
      <c r="T32" s="10">
        <v>2036</v>
      </c>
      <c r="U32" s="10">
        <v>2037</v>
      </c>
      <c r="V32" s="10">
        <v>2038</v>
      </c>
      <c r="W32" s="10">
        <v>2039</v>
      </c>
      <c r="X32" s="10">
        <v>2040</v>
      </c>
      <c r="Y32" s="10">
        <v>2041</v>
      </c>
      <c r="Z32" s="10">
        <v>2042</v>
      </c>
      <c r="AA32" s="10">
        <v>2043</v>
      </c>
    </row>
    <row r="33" spans="1:27" x14ac:dyDescent="0.25">
      <c r="B33" t="s">
        <v>24</v>
      </c>
      <c r="H33" s="22">
        <f>+E2*'%  Planta'!F3*'%  Planta'!F9</f>
        <v>2.5704400178691835</v>
      </c>
    </row>
    <row r="34" spans="1:27" x14ac:dyDescent="0.25">
      <c r="B34" t="s">
        <v>25</v>
      </c>
      <c r="C34" s="5"/>
      <c r="D34" s="5"/>
      <c r="E34" s="5"/>
      <c r="F34" s="5"/>
      <c r="G34" s="5"/>
      <c r="H34" s="5">
        <f>$H$33*$D$2</f>
        <v>7.7113200536075496E-2</v>
      </c>
      <c r="I34" s="5">
        <f t="shared" ref="I34:Z34" si="3">$H$33*$D$2</f>
        <v>7.7113200536075496E-2</v>
      </c>
      <c r="J34" s="5">
        <f t="shared" si="3"/>
        <v>7.7113200536075496E-2</v>
      </c>
      <c r="K34" s="5">
        <f t="shared" si="3"/>
        <v>7.7113200536075496E-2</v>
      </c>
      <c r="L34" s="5">
        <f t="shared" si="3"/>
        <v>7.7113200536075496E-2</v>
      </c>
      <c r="M34" s="5">
        <f t="shared" si="3"/>
        <v>7.7113200536075496E-2</v>
      </c>
      <c r="N34" s="5">
        <f t="shared" si="3"/>
        <v>7.7113200536075496E-2</v>
      </c>
      <c r="O34" s="5">
        <f t="shared" si="3"/>
        <v>7.7113200536075496E-2</v>
      </c>
      <c r="P34" s="5">
        <f t="shared" si="3"/>
        <v>7.7113200536075496E-2</v>
      </c>
      <c r="Q34" s="5">
        <f t="shared" si="3"/>
        <v>7.7113200536075496E-2</v>
      </c>
      <c r="R34" s="5">
        <f t="shared" si="3"/>
        <v>7.7113200536075496E-2</v>
      </c>
      <c r="S34" s="5">
        <f t="shared" si="3"/>
        <v>7.7113200536075496E-2</v>
      </c>
      <c r="T34" s="5">
        <f t="shared" si="3"/>
        <v>7.7113200536075496E-2</v>
      </c>
      <c r="U34" s="5">
        <f t="shared" si="3"/>
        <v>7.7113200536075496E-2</v>
      </c>
      <c r="V34" s="5">
        <f t="shared" si="3"/>
        <v>7.7113200536075496E-2</v>
      </c>
      <c r="W34" s="5">
        <f t="shared" si="3"/>
        <v>7.7113200536075496E-2</v>
      </c>
      <c r="X34" s="5">
        <f t="shared" si="3"/>
        <v>7.7113200536075496E-2</v>
      </c>
      <c r="Y34" s="5">
        <f t="shared" si="3"/>
        <v>7.7113200536075496E-2</v>
      </c>
      <c r="Z34" s="5">
        <f t="shared" si="3"/>
        <v>7.7113200536075496E-2</v>
      </c>
      <c r="AA34" s="5">
        <f>$H$33*$D$2</f>
        <v>7.7113200536075496E-2</v>
      </c>
    </row>
    <row r="35" spans="1:27" x14ac:dyDescent="0.25">
      <c r="B35" t="s">
        <v>26</v>
      </c>
      <c r="C35" s="5">
        <f>(C34/(1+$G$2)^C31)+(C33/(1+$G$2)^C31)</f>
        <v>0</v>
      </c>
      <c r="D35" s="5">
        <f t="shared" ref="D35:AA35" si="4">(D34/(1+$G$2)^D31)+(D33/(1+$G$2)^D31)</f>
        <v>0</v>
      </c>
      <c r="E35" s="5">
        <f t="shared" si="4"/>
        <v>0</v>
      </c>
      <c r="F35" s="5">
        <f t="shared" si="4"/>
        <v>0</v>
      </c>
      <c r="G35" s="5">
        <f t="shared" si="4"/>
        <v>0</v>
      </c>
      <c r="H35" s="5">
        <f t="shared" si="4"/>
        <v>1.4529877267212647</v>
      </c>
      <c r="I35" s="5">
        <f t="shared" si="4"/>
        <v>3.7534395454879507E-2</v>
      </c>
      <c r="J35" s="5">
        <f t="shared" si="4"/>
        <v>3.3289929450004002E-2</v>
      </c>
      <c r="K35" s="5">
        <f t="shared" si="4"/>
        <v>2.952543631929401E-2</v>
      </c>
      <c r="L35" s="5">
        <f t="shared" si="4"/>
        <v>2.6186639751036817E-2</v>
      </c>
      <c r="M35" s="5">
        <f t="shared" si="4"/>
        <v>2.3225401109567022E-2</v>
      </c>
      <c r="N35" s="5">
        <f t="shared" si="4"/>
        <v>2.0599025374338827E-2</v>
      </c>
      <c r="O35" s="5">
        <f t="shared" si="4"/>
        <v>1.8269645564823789E-2</v>
      </c>
      <c r="P35" s="5">
        <f t="shared" si="4"/>
        <v>1.6203676775896934E-2</v>
      </c>
      <c r="Q35" s="5">
        <f t="shared" si="4"/>
        <v>1.4371331952015017E-2</v>
      </c>
      <c r="R35" s="5">
        <f t="shared" si="4"/>
        <v>1.2746192418638598E-2</v>
      </c>
      <c r="S35" s="5">
        <f t="shared" si="4"/>
        <v>1.1304826978836894E-2</v>
      </c>
      <c r="T35" s="5">
        <f t="shared" si="4"/>
        <v>1.0026454083225627E-2</v>
      </c>
      <c r="U35" s="5">
        <f t="shared" si="4"/>
        <v>8.8926422024174067E-3</v>
      </c>
      <c r="V35" s="5">
        <f t="shared" si="4"/>
        <v>7.8870440819666585E-3</v>
      </c>
      <c r="W35" s="5">
        <f t="shared" si="4"/>
        <v>6.9951610483074576E-3</v>
      </c>
      <c r="X35" s="5">
        <f t="shared" si="4"/>
        <v>6.2041339674567255E-3</v>
      </c>
      <c r="Y35" s="5">
        <f t="shared" si="4"/>
        <v>5.5025578425336816E-3</v>
      </c>
      <c r="Z35" s="5">
        <f t="shared" si="4"/>
        <v>4.8803173769700068E-3</v>
      </c>
      <c r="AA35" s="5">
        <f t="shared" si="4"/>
        <v>4.3284411325676328E-3</v>
      </c>
    </row>
    <row r="36" spans="1:27" ht="18.75" x14ac:dyDescent="0.3">
      <c r="B36" t="s">
        <v>27</v>
      </c>
      <c r="C36" s="11">
        <f>SUM(C35:AA35)*1000000</f>
        <v>1750960.9796060412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7" ht="16.5" customHeight="1" x14ac:dyDescent="0.25">
      <c r="C37" s="20"/>
    </row>
    <row r="38" spans="1:27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40" spans="1:27" x14ac:dyDescent="0.25">
      <c r="C40" s="10">
        <v>0</v>
      </c>
      <c r="D40" s="10">
        <v>1</v>
      </c>
      <c r="E40" s="10">
        <v>2</v>
      </c>
      <c r="F40" s="10">
        <v>3</v>
      </c>
      <c r="G40" s="10">
        <v>4</v>
      </c>
      <c r="H40" s="13">
        <v>5</v>
      </c>
      <c r="I40" s="10">
        <v>6</v>
      </c>
      <c r="J40" s="10">
        <v>7</v>
      </c>
      <c r="K40" s="10">
        <v>8</v>
      </c>
      <c r="L40" s="10">
        <v>9</v>
      </c>
      <c r="M40" s="10">
        <v>10</v>
      </c>
      <c r="N40" s="10">
        <v>11</v>
      </c>
      <c r="O40" s="10">
        <v>12</v>
      </c>
      <c r="P40" s="10">
        <v>13</v>
      </c>
      <c r="Q40" s="10">
        <v>14</v>
      </c>
      <c r="R40" s="10">
        <v>15</v>
      </c>
      <c r="S40" s="10">
        <v>16</v>
      </c>
      <c r="T40" s="10">
        <v>17</v>
      </c>
      <c r="U40" s="10">
        <v>18</v>
      </c>
      <c r="V40" s="10">
        <v>19</v>
      </c>
      <c r="W40" s="10">
        <v>20</v>
      </c>
      <c r="X40" s="10">
        <v>21</v>
      </c>
      <c r="Y40" s="10">
        <v>22</v>
      </c>
      <c r="Z40" s="10">
        <v>23</v>
      </c>
      <c r="AA40" s="10">
        <v>24</v>
      </c>
    </row>
    <row r="41" spans="1:27" x14ac:dyDescent="0.25">
      <c r="A41" s="10"/>
      <c r="B41" s="12" t="s">
        <v>28</v>
      </c>
      <c r="C41" s="10">
        <v>2019</v>
      </c>
      <c r="D41" s="10">
        <v>2020</v>
      </c>
      <c r="E41" s="10">
        <v>2021</v>
      </c>
      <c r="F41" s="10">
        <v>2022</v>
      </c>
      <c r="G41" s="10">
        <v>2023</v>
      </c>
      <c r="H41" s="13">
        <v>2024</v>
      </c>
      <c r="I41" s="10">
        <v>2025</v>
      </c>
      <c r="J41" s="10">
        <v>2026</v>
      </c>
      <c r="K41" s="10">
        <v>2027</v>
      </c>
      <c r="L41" s="10">
        <v>2028</v>
      </c>
      <c r="M41" s="10">
        <v>2029</v>
      </c>
      <c r="N41" s="10">
        <v>2030</v>
      </c>
      <c r="O41" s="10">
        <v>2031</v>
      </c>
      <c r="P41" s="10">
        <v>2032</v>
      </c>
      <c r="Q41" s="10">
        <v>2033</v>
      </c>
      <c r="R41" s="10">
        <v>2034</v>
      </c>
      <c r="S41" s="10">
        <v>2035</v>
      </c>
      <c r="T41" s="10">
        <v>2036</v>
      </c>
      <c r="U41" s="10">
        <v>2037</v>
      </c>
      <c r="V41" s="10">
        <v>2038</v>
      </c>
      <c r="W41" s="10">
        <v>2039</v>
      </c>
      <c r="X41" s="10">
        <v>2040</v>
      </c>
      <c r="Y41" s="10">
        <v>2041</v>
      </c>
      <c r="Z41" s="10">
        <v>2042</v>
      </c>
      <c r="AA41" s="10">
        <v>2043</v>
      </c>
    </row>
    <row r="42" spans="1:27" x14ac:dyDescent="0.25">
      <c r="A42">
        <v>2024</v>
      </c>
      <c r="B42" s="14" t="s">
        <v>99</v>
      </c>
      <c r="C42" s="5"/>
      <c r="D42" s="5"/>
      <c r="E42" s="5"/>
      <c r="F42" s="5"/>
      <c r="G42" s="5"/>
      <c r="H42" s="22">
        <f>+'Demanda Regional'!V5</f>
        <v>133142897.0861394</v>
      </c>
      <c r="I42" s="22">
        <f>+'Demanda Regional'!W5</f>
        <v>137920733.65804839</v>
      </c>
      <c r="J42" s="22">
        <f>+'Demanda Regional'!X5</f>
        <v>142373422.03349841</v>
      </c>
      <c r="K42" s="22">
        <f>+'Demanda Regional'!Y5</f>
        <v>151031697.44661915</v>
      </c>
      <c r="L42" s="22">
        <f>+'Demanda Regional'!Z5</f>
        <v>153451351.8628377</v>
      </c>
      <c r="M42" s="22">
        <f>+'Demanda Regional'!AA5</f>
        <v>152976188.12827978</v>
      </c>
      <c r="N42" s="22">
        <f>+'Demanda Regional'!AB5</f>
        <v>164808752.03974497</v>
      </c>
      <c r="O42" s="22">
        <f>+'Demanda Regional'!AC5</f>
        <v>164817251.7213982</v>
      </c>
      <c r="P42" s="22">
        <f>+'Demanda Regional'!AD5</f>
        <v>162221577.09618559</v>
      </c>
      <c r="Q42" s="22">
        <f>+'Demanda Regional'!AE5</f>
        <v>168766549.74045557</v>
      </c>
      <c r="R42" s="22">
        <f>+'Demanda Regional'!AF5</f>
        <v>168766549.74045557</v>
      </c>
      <c r="S42" s="22">
        <f>+'Demanda Regional'!AG5</f>
        <v>168766549.74045557</v>
      </c>
      <c r="T42" s="22">
        <f>+'Demanda Regional'!AH5</f>
        <v>168766549.74045557</v>
      </c>
      <c r="U42" s="22">
        <f>+'Demanda Regional'!AI5</f>
        <v>168766549.74045557</v>
      </c>
      <c r="V42" s="22">
        <f>+'Demanda Regional'!AJ5</f>
        <v>168766549.74045557</v>
      </c>
      <c r="W42" s="22">
        <f>+'Demanda Regional'!AK5</f>
        <v>168766549.74045557</v>
      </c>
      <c r="X42" s="22">
        <f>+'Demanda Regional'!AL5</f>
        <v>168766549.74045557</v>
      </c>
      <c r="Y42" s="22">
        <f>+'Demanda Regional'!AM5</f>
        <v>168766549.74045557</v>
      </c>
      <c r="Z42" s="22">
        <f>+'Demanda Regional'!AN5</f>
        <v>168766549.74045557</v>
      </c>
      <c r="AA42" s="22">
        <f>+'Demanda Regional'!AO5</f>
        <v>168766549.74045557</v>
      </c>
    </row>
    <row r="43" spans="1:27" x14ac:dyDescent="0.25">
      <c r="A43">
        <v>2043</v>
      </c>
      <c r="B43" t="s">
        <v>29</v>
      </c>
      <c r="C43" s="5">
        <f>(C42)/(1+$G$2)^C40</f>
        <v>0</v>
      </c>
      <c r="D43" s="5">
        <f t="shared" ref="D43:AA43" si="5">(D42)/(1+$G$2)^D40</f>
        <v>0</v>
      </c>
      <c r="E43" s="5">
        <f t="shared" si="5"/>
        <v>0</v>
      </c>
      <c r="F43" s="5">
        <f t="shared" si="5"/>
        <v>0</v>
      </c>
      <c r="G43" s="5">
        <f t="shared" si="5"/>
        <v>0</v>
      </c>
      <c r="H43" s="5">
        <f>(H42)/(1+$G$2)^H40</f>
        <v>73069350.984679997</v>
      </c>
      <c r="I43" s="5">
        <f t="shared" si="5"/>
        <v>67132103.486308739</v>
      </c>
      <c r="J43" s="5">
        <f t="shared" si="5"/>
        <v>61462903.13593588</v>
      </c>
      <c r="K43" s="5">
        <f t="shared" si="5"/>
        <v>57827670.673179641</v>
      </c>
      <c r="L43" s="5">
        <f t="shared" si="5"/>
        <v>52110082.873059154</v>
      </c>
      <c r="M43" s="5">
        <f t="shared" si="5"/>
        <v>46074255.831590481</v>
      </c>
      <c r="N43" s="5">
        <f t="shared" si="5"/>
        <v>44024883.438622199</v>
      </c>
      <c r="O43" s="5">
        <f t="shared" si="5"/>
        <v>39048473.555569723</v>
      </c>
      <c r="P43" s="5">
        <f t="shared" si="5"/>
        <v>34087367.442531683</v>
      </c>
      <c r="Q43" s="5">
        <f t="shared" si="5"/>
        <v>31452463.285863455</v>
      </c>
      <c r="R43" s="5">
        <f t="shared" si="5"/>
        <v>27895754.577262495</v>
      </c>
      <c r="S43" s="5">
        <f t="shared" si="5"/>
        <v>24741245.744800437</v>
      </c>
      <c r="T43" s="5">
        <f t="shared" si="5"/>
        <v>21943455.206031431</v>
      </c>
      <c r="U43" s="5">
        <f t="shared" si="5"/>
        <v>19462044.528630979</v>
      </c>
      <c r="V43" s="5">
        <f t="shared" si="5"/>
        <v>17261236.832488675</v>
      </c>
      <c r="W43" s="5">
        <f t="shared" si="5"/>
        <v>15309300.960078647</v>
      </c>
      <c r="X43" s="5">
        <f t="shared" si="5"/>
        <v>13578093.977896806</v>
      </c>
      <c r="Y43" s="5">
        <f t="shared" si="5"/>
        <v>12042655.412768785</v>
      </c>
      <c r="Z43" s="5">
        <f t="shared" si="5"/>
        <v>10680847.372743936</v>
      </c>
      <c r="AA43" s="5">
        <f t="shared" si="5"/>
        <v>9473035.3638527133</v>
      </c>
    </row>
    <row r="44" spans="1:27" ht="18.75" x14ac:dyDescent="0.3">
      <c r="B44" t="s">
        <v>30</v>
      </c>
      <c r="C44" s="11">
        <f>SUM(H43:AA43)</f>
        <v>678677224.68389595</v>
      </c>
    </row>
    <row r="45" spans="1:27" x14ac:dyDescent="0.25">
      <c r="E45" s="10"/>
    </row>
    <row r="46" spans="1:27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B49" s="12" t="s">
        <v>41</v>
      </c>
      <c r="E49" s="10"/>
    </row>
    <row r="50" spans="1:27" x14ac:dyDescent="0.25">
      <c r="B50" s="10" t="s">
        <v>31</v>
      </c>
      <c r="E50" s="10"/>
    </row>
    <row r="51" spans="1:27" ht="18.75" x14ac:dyDescent="0.3">
      <c r="B51" s="10" t="s">
        <v>40</v>
      </c>
      <c r="C51" s="21">
        <f>+C36/C44</f>
        <v>2.5799613069697122E-3</v>
      </c>
      <c r="D51" s="10"/>
      <c r="E51" s="10"/>
    </row>
    <row r="57" spans="1:27" ht="18.75" x14ac:dyDescent="0.3">
      <c r="A57" s="113" t="s">
        <v>93</v>
      </c>
      <c r="C57" s="10">
        <v>0</v>
      </c>
      <c r="D57" s="10">
        <v>1</v>
      </c>
      <c r="E57" s="10">
        <v>2</v>
      </c>
      <c r="F57" s="10">
        <v>3</v>
      </c>
      <c r="G57" s="10">
        <v>4</v>
      </c>
      <c r="H57" s="10">
        <v>5</v>
      </c>
      <c r="I57" s="10">
        <v>6</v>
      </c>
      <c r="J57" s="10">
        <v>7</v>
      </c>
      <c r="K57" s="10">
        <v>8</v>
      </c>
      <c r="L57" s="10">
        <v>9</v>
      </c>
      <c r="M57" s="10">
        <v>10</v>
      </c>
      <c r="N57" s="10">
        <v>11</v>
      </c>
      <c r="O57" s="10">
        <v>12</v>
      </c>
      <c r="P57" s="10">
        <v>13</v>
      </c>
      <c r="Q57" s="10">
        <v>14</v>
      </c>
      <c r="R57" s="10">
        <v>15</v>
      </c>
      <c r="S57" s="10">
        <v>16</v>
      </c>
      <c r="T57" s="10">
        <v>17</v>
      </c>
      <c r="U57" s="10">
        <v>18</v>
      </c>
      <c r="V57" s="10">
        <v>19</v>
      </c>
      <c r="W57" s="10">
        <v>20</v>
      </c>
      <c r="X57" s="10">
        <v>21</v>
      </c>
      <c r="Y57" s="10">
        <v>22</v>
      </c>
      <c r="Z57" s="10">
        <v>23</v>
      </c>
      <c r="AA57" s="10">
        <v>24</v>
      </c>
    </row>
    <row r="58" spans="1:27" x14ac:dyDescent="0.25">
      <c r="B58" s="12" t="s">
        <v>124</v>
      </c>
      <c r="C58" s="10">
        <v>2019</v>
      </c>
      <c r="D58" s="10">
        <v>2020</v>
      </c>
      <c r="E58" s="10">
        <v>2021</v>
      </c>
      <c r="F58" s="10">
        <v>2022</v>
      </c>
      <c r="G58" s="10">
        <v>2023</v>
      </c>
      <c r="H58" s="10">
        <v>2024</v>
      </c>
      <c r="I58" s="10">
        <v>2025</v>
      </c>
      <c r="J58" s="10">
        <v>2026</v>
      </c>
      <c r="K58" s="10">
        <v>2027</v>
      </c>
      <c r="L58" s="10">
        <v>2028</v>
      </c>
      <c r="M58" s="10">
        <v>2029</v>
      </c>
      <c r="N58" s="10">
        <v>2030</v>
      </c>
      <c r="O58" s="10">
        <v>2031</v>
      </c>
      <c r="P58" s="10">
        <v>2032</v>
      </c>
      <c r="Q58" s="10">
        <v>2033</v>
      </c>
      <c r="R58" s="10">
        <v>2034</v>
      </c>
      <c r="S58" s="10">
        <v>2035</v>
      </c>
      <c r="T58" s="10">
        <v>2036</v>
      </c>
      <c r="U58" s="10">
        <v>2037</v>
      </c>
      <c r="V58" s="10">
        <v>2038</v>
      </c>
      <c r="W58" s="10">
        <v>2039</v>
      </c>
      <c r="X58" s="10">
        <v>2040</v>
      </c>
      <c r="Y58" s="10">
        <v>2041</v>
      </c>
      <c r="Z58" s="10">
        <v>2042</v>
      </c>
      <c r="AA58" s="10">
        <v>2043</v>
      </c>
    </row>
    <row r="59" spans="1:27" x14ac:dyDescent="0.25">
      <c r="B59" t="s">
        <v>24</v>
      </c>
      <c r="H59" s="22">
        <f>+H7*'%  Planta'!F2</f>
        <v>9.7773670339804575</v>
      </c>
    </row>
    <row r="60" spans="1:27" x14ac:dyDescent="0.25">
      <c r="B60" t="s">
        <v>25</v>
      </c>
      <c r="C60" s="5"/>
      <c r="D60" s="5"/>
      <c r="E60" s="5"/>
      <c r="F60" s="5"/>
      <c r="G60" s="5"/>
      <c r="H60" s="24">
        <f>+$H$59*$D$2</f>
        <v>0.29332101101941371</v>
      </c>
      <c r="I60" s="24">
        <f t="shared" ref="I60:AA60" si="6">+$H$59*$D$2</f>
        <v>0.29332101101941371</v>
      </c>
      <c r="J60" s="24">
        <f t="shared" si="6"/>
        <v>0.29332101101941371</v>
      </c>
      <c r="K60" s="24">
        <f t="shared" si="6"/>
        <v>0.29332101101941371</v>
      </c>
      <c r="L60" s="24">
        <f t="shared" si="6"/>
        <v>0.29332101101941371</v>
      </c>
      <c r="M60" s="24">
        <f t="shared" si="6"/>
        <v>0.29332101101941371</v>
      </c>
      <c r="N60" s="24">
        <f t="shared" si="6"/>
        <v>0.29332101101941371</v>
      </c>
      <c r="O60" s="24">
        <f t="shared" si="6"/>
        <v>0.29332101101941371</v>
      </c>
      <c r="P60" s="24">
        <f t="shared" si="6"/>
        <v>0.29332101101941371</v>
      </c>
      <c r="Q60" s="24">
        <f t="shared" si="6"/>
        <v>0.29332101101941371</v>
      </c>
      <c r="R60" s="24">
        <f t="shared" si="6"/>
        <v>0.29332101101941371</v>
      </c>
      <c r="S60" s="24">
        <f t="shared" si="6"/>
        <v>0.29332101101941371</v>
      </c>
      <c r="T60" s="24">
        <f t="shared" si="6"/>
        <v>0.29332101101941371</v>
      </c>
      <c r="U60" s="24">
        <f t="shared" si="6"/>
        <v>0.29332101101941371</v>
      </c>
      <c r="V60" s="24">
        <f t="shared" si="6"/>
        <v>0.29332101101941371</v>
      </c>
      <c r="W60" s="24">
        <f t="shared" si="6"/>
        <v>0.29332101101941371</v>
      </c>
      <c r="X60" s="24">
        <f t="shared" si="6"/>
        <v>0.29332101101941371</v>
      </c>
      <c r="Y60" s="24">
        <f t="shared" si="6"/>
        <v>0.29332101101941371</v>
      </c>
      <c r="Z60" s="24">
        <f t="shared" si="6"/>
        <v>0.29332101101941371</v>
      </c>
      <c r="AA60" s="24">
        <f t="shared" si="6"/>
        <v>0.29332101101941371</v>
      </c>
    </row>
    <row r="61" spans="1:27" x14ac:dyDescent="0.25">
      <c r="B61" s="20"/>
      <c r="C61" s="5">
        <f>+C60+C59</f>
        <v>0</v>
      </c>
      <c r="D61" s="5">
        <f t="shared" ref="D61:AA61" si="7">+D60+D59</f>
        <v>0</v>
      </c>
      <c r="E61" s="5">
        <f t="shared" si="7"/>
        <v>0</v>
      </c>
      <c r="F61" s="5">
        <f t="shared" si="7"/>
        <v>0</v>
      </c>
      <c r="G61" s="5">
        <f t="shared" si="7"/>
        <v>0</v>
      </c>
      <c r="H61" s="5">
        <f>+H60+H59</f>
        <v>10.070688044999871</v>
      </c>
      <c r="I61" s="5">
        <f t="shared" si="7"/>
        <v>0.29332101101941371</v>
      </c>
      <c r="J61" s="5">
        <f t="shared" si="7"/>
        <v>0.29332101101941371</v>
      </c>
      <c r="K61" s="5">
        <f t="shared" si="7"/>
        <v>0.29332101101941371</v>
      </c>
      <c r="L61" s="5">
        <f t="shared" si="7"/>
        <v>0.29332101101941371</v>
      </c>
      <c r="M61" s="5">
        <f t="shared" si="7"/>
        <v>0.29332101101941371</v>
      </c>
      <c r="N61" s="5">
        <f t="shared" si="7"/>
        <v>0.29332101101941371</v>
      </c>
      <c r="O61" s="5">
        <f t="shared" si="7"/>
        <v>0.29332101101941371</v>
      </c>
      <c r="P61" s="5">
        <f t="shared" si="7"/>
        <v>0.29332101101941371</v>
      </c>
      <c r="Q61" s="5">
        <f t="shared" si="7"/>
        <v>0.29332101101941371</v>
      </c>
      <c r="R61" s="5">
        <f t="shared" si="7"/>
        <v>0.29332101101941371</v>
      </c>
      <c r="S61" s="5">
        <f t="shared" si="7"/>
        <v>0.29332101101941371</v>
      </c>
      <c r="T61" s="5">
        <f t="shared" si="7"/>
        <v>0.29332101101941371</v>
      </c>
      <c r="U61" s="5">
        <f t="shared" si="7"/>
        <v>0.29332101101941371</v>
      </c>
      <c r="V61" s="5">
        <f t="shared" si="7"/>
        <v>0.29332101101941371</v>
      </c>
      <c r="W61" s="5">
        <f t="shared" si="7"/>
        <v>0.29332101101941371</v>
      </c>
      <c r="X61" s="5">
        <f t="shared" si="7"/>
        <v>0.29332101101941371</v>
      </c>
      <c r="Y61" s="5">
        <f t="shared" si="7"/>
        <v>0.29332101101941371</v>
      </c>
      <c r="Z61" s="5">
        <f t="shared" si="7"/>
        <v>0.29332101101941371</v>
      </c>
      <c r="AA61" s="5">
        <f t="shared" si="7"/>
        <v>0.29332101101941371</v>
      </c>
    </row>
    <row r="62" spans="1:27" x14ac:dyDescent="0.25">
      <c r="B62" t="s">
        <v>26</v>
      </c>
      <c r="C62" s="5">
        <f t="shared" ref="C62:AA62" si="8">(C60/(1+$G$2)^C57)+(C59/(1+$G$2)^C57)</f>
        <v>0</v>
      </c>
      <c r="D62" s="5">
        <f t="shared" si="8"/>
        <v>0</v>
      </c>
      <c r="E62" s="5">
        <f t="shared" si="8"/>
        <v>0</v>
      </c>
      <c r="F62" s="5">
        <f t="shared" si="8"/>
        <v>0</v>
      </c>
      <c r="G62" s="5">
        <f t="shared" si="8"/>
        <v>0</v>
      </c>
      <c r="H62" s="5">
        <f t="shared" si="8"/>
        <v>5.5268336165258471</v>
      </c>
      <c r="I62" s="5">
        <f t="shared" si="8"/>
        <v>0.14277227175491389</v>
      </c>
      <c r="J62" s="5">
        <f t="shared" si="8"/>
        <v>0.1266272920220966</v>
      </c>
      <c r="K62" s="5">
        <f t="shared" si="8"/>
        <v>0.11230801953179299</v>
      </c>
      <c r="L62" s="5">
        <f t="shared" si="8"/>
        <v>9.9607999584738802E-2</v>
      </c>
      <c r="M62" s="5">
        <f t="shared" si="8"/>
        <v>8.8344123800211796E-2</v>
      </c>
      <c r="N62" s="5">
        <f t="shared" si="8"/>
        <v>7.8353990066706708E-2</v>
      </c>
      <c r="O62" s="5">
        <f t="shared" si="8"/>
        <v>6.949356103477311E-2</v>
      </c>
      <c r="P62" s="5">
        <f t="shared" si="8"/>
        <v>6.163508739225998E-2</v>
      </c>
      <c r="Q62" s="5">
        <f t="shared" si="8"/>
        <v>5.4665265979831464E-2</v>
      </c>
      <c r="R62" s="5">
        <f t="shared" si="8"/>
        <v>4.848360619053789E-2</v>
      </c>
      <c r="S62" s="5">
        <f t="shared" si="8"/>
        <v>4.3000981100255332E-2</v>
      </c>
      <c r="T62" s="5">
        <f t="shared" si="8"/>
        <v>3.813834243925085E-2</v>
      </c>
      <c r="U62" s="5">
        <f t="shared" si="8"/>
        <v>3.3825580877384347E-2</v>
      </c>
      <c r="V62" s="5">
        <f t="shared" si="8"/>
        <v>3.0000515190584789E-2</v>
      </c>
      <c r="W62" s="5">
        <f t="shared" si="8"/>
        <v>2.6607995734443269E-2</v>
      </c>
      <c r="X62" s="5">
        <f t="shared" si="8"/>
        <v>2.3599109298841042E-2</v>
      </c>
      <c r="Y62" s="5">
        <f t="shared" si="8"/>
        <v>2.0930473879238173E-2</v>
      </c>
      <c r="Z62" s="5">
        <f t="shared" si="8"/>
        <v>1.856361319666357E-2</v>
      </c>
      <c r="AA62" s="5">
        <f t="shared" si="8"/>
        <v>1.6464401948260373E-2</v>
      </c>
    </row>
    <row r="63" spans="1:27" ht="18.75" x14ac:dyDescent="0.3">
      <c r="B63" t="s">
        <v>27</v>
      </c>
      <c r="C63" s="11">
        <f>SUM(C62:AA62)*1000000</f>
        <v>6660255.8475486329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7" x14ac:dyDescent="0.25">
      <c r="C64" s="20"/>
    </row>
    <row r="65" spans="1:28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7" spans="1:28" x14ac:dyDescent="0.25">
      <c r="C67" s="10">
        <v>0</v>
      </c>
      <c r="D67" s="10">
        <v>1</v>
      </c>
      <c r="E67" s="10">
        <v>2</v>
      </c>
      <c r="F67" s="10">
        <v>3</v>
      </c>
      <c r="G67" s="10">
        <v>4</v>
      </c>
      <c r="H67" s="13">
        <v>5</v>
      </c>
      <c r="I67" s="10">
        <v>6</v>
      </c>
      <c r="J67" s="10">
        <v>7</v>
      </c>
      <c r="K67" s="10">
        <v>8</v>
      </c>
      <c r="L67" s="10">
        <v>9</v>
      </c>
      <c r="M67" s="10">
        <v>10</v>
      </c>
      <c r="N67" s="10">
        <v>11</v>
      </c>
      <c r="O67" s="10">
        <v>12</v>
      </c>
      <c r="P67" s="10">
        <v>13</v>
      </c>
      <c r="Q67" s="10">
        <v>14</v>
      </c>
      <c r="R67" s="10">
        <v>15</v>
      </c>
      <c r="S67" s="10">
        <v>16</v>
      </c>
      <c r="T67" s="10">
        <v>17</v>
      </c>
      <c r="U67" s="10">
        <v>18</v>
      </c>
      <c r="V67" s="10">
        <v>19</v>
      </c>
      <c r="W67" s="10">
        <v>20</v>
      </c>
      <c r="X67" s="10">
        <v>21</v>
      </c>
      <c r="Y67" s="10">
        <v>22</v>
      </c>
      <c r="Z67" s="10">
        <v>23</v>
      </c>
      <c r="AA67" s="10">
        <v>24</v>
      </c>
    </row>
    <row r="68" spans="1:28" x14ac:dyDescent="0.25">
      <c r="B68" s="12" t="s">
        <v>28</v>
      </c>
      <c r="C68" s="10">
        <v>2019</v>
      </c>
      <c r="D68" s="10">
        <v>2020</v>
      </c>
      <c r="E68" s="10">
        <v>2021</v>
      </c>
      <c r="F68" s="10">
        <v>2022</v>
      </c>
      <c r="G68" s="10">
        <v>2023</v>
      </c>
      <c r="H68" s="13">
        <v>2024</v>
      </c>
      <c r="I68" s="10">
        <v>2025</v>
      </c>
      <c r="J68" s="10">
        <v>2026</v>
      </c>
      <c r="K68" s="10">
        <v>2027</v>
      </c>
      <c r="L68" s="10">
        <v>2028</v>
      </c>
      <c r="M68" s="10">
        <v>2029</v>
      </c>
      <c r="N68" s="10">
        <v>2030</v>
      </c>
      <c r="O68" s="10">
        <v>2031</v>
      </c>
      <c r="P68" s="10">
        <v>2032</v>
      </c>
      <c r="Q68" s="10">
        <v>2033</v>
      </c>
      <c r="R68" s="10">
        <v>2034</v>
      </c>
      <c r="S68" s="10">
        <v>2035</v>
      </c>
      <c r="T68" s="10">
        <v>2036</v>
      </c>
      <c r="U68" s="10">
        <v>2037</v>
      </c>
      <c r="V68" s="10">
        <v>2038</v>
      </c>
      <c r="W68" s="10">
        <v>2039</v>
      </c>
      <c r="X68" s="10">
        <v>2040</v>
      </c>
      <c r="Y68" s="10">
        <v>2041</v>
      </c>
      <c r="Z68" s="10">
        <v>2042</v>
      </c>
      <c r="AA68" s="10">
        <v>2043</v>
      </c>
    </row>
    <row r="69" spans="1:28" x14ac:dyDescent="0.25">
      <c r="B69" s="14" t="s">
        <v>99</v>
      </c>
      <c r="C69" s="5"/>
      <c r="D69" s="5">
        <v>0</v>
      </c>
      <c r="E69" s="5">
        <v>0</v>
      </c>
      <c r="F69" s="5">
        <v>0</v>
      </c>
      <c r="G69" s="5">
        <v>0</v>
      </c>
      <c r="H69" s="23">
        <f>+'Demanda Regional'!V23</f>
        <v>133142897.0861394</v>
      </c>
      <c r="I69" s="23">
        <f>+'Demanda Regional'!W23</f>
        <v>137920733.65804839</v>
      </c>
      <c r="J69" s="23">
        <f>+'Demanda Regional'!X23</f>
        <v>142373422.03349841</v>
      </c>
      <c r="K69" s="23">
        <f>+'Demanda Regional'!Y23</f>
        <v>151031697.44661915</v>
      </c>
      <c r="L69" s="23">
        <f>+'Demanda Regional'!Z23</f>
        <v>153451351.8628377</v>
      </c>
      <c r="M69" s="23">
        <f>+'Demanda Regional'!AA23</f>
        <v>152976188.12827978</v>
      </c>
      <c r="N69" s="23">
        <f>+'Demanda Regional'!AB23</f>
        <v>164808752.03974497</v>
      </c>
      <c r="O69" s="23">
        <f>+'Demanda Regional'!AC23</f>
        <v>164817251.7213982</v>
      </c>
      <c r="P69" s="23">
        <f>+'Demanda Regional'!AD23</f>
        <v>162221577.09618559</v>
      </c>
      <c r="Q69" s="23">
        <f>+'Demanda Regional'!AE23</f>
        <v>168766549.74045557</v>
      </c>
      <c r="R69" s="23">
        <f>+'Demanda Regional'!AF23</f>
        <v>168766549.74045557</v>
      </c>
      <c r="S69" s="23">
        <f>+'Demanda Regional'!AG23</f>
        <v>168766549.74045557</v>
      </c>
      <c r="T69" s="23">
        <f>+'Demanda Regional'!AH23</f>
        <v>168766549.74045557</v>
      </c>
      <c r="U69" s="23">
        <f>+'Demanda Regional'!AI23</f>
        <v>168766549.74045557</v>
      </c>
      <c r="V69" s="23">
        <f>+'Demanda Regional'!AJ23</f>
        <v>168766549.74045557</v>
      </c>
      <c r="W69" s="23">
        <f>+'Demanda Regional'!AK23</f>
        <v>168766549.74045557</v>
      </c>
      <c r="X69" s="23">
        <f>+'Demanda Regional'!AL23</f>
        <v>168766549.74045557</v>
      </c>
      <c r="Y69" s="23">
        <f>+'Demanda Regional'!AM23</f>
        <v>168766549.74045557</v>
      </c>
      <c r="Z69" s="23">
        <f>+'Demanda Regional'!AN23</f>
        <v>168766549.74045557</v>
      </c>
      <c r="AA69" s="23">
        <f>+'Demanda Regional'!AO23</f>
        <v>168766549.74045557</v>
      </c>
      <c r="AB69" s="125"/>
    </row>
    <row r="70" spans="1:28" x14ac:dyDescent="0.25">
      <c r="B70" t="s">
        <v>29</v>
      </c>
      <c r="C70" s="5">
        <f>(C69)/(1+$G$2)^C67</f>
        <v>0</v>
      </c>
      <c r="D70" s="5">
        <v>0</v>
      </c>
      <c r="E70" s="5">
        <v>0</v>
      </c>
      <c r="F70" s="5">
        <v>0</v>
      </c>
      <c r="G70" s="5">
        <v>0</v>
      </c>
      <c r="H70" s="5">
        <f t="shared" ref="H70:AA70" si="9">(H69)/(1+$G$2)^H67</f>
        <v>73069350.984679997</v>
      </c>
      <c r="I70" s="5">
        <f t="shared" si="9"/>
        <v>67132103.486308739</v>
      </c>
      <c r="J70" s="5">
        <f t="shared" si="9"/>
        <v>61462903.13593588</v>
      </c>
      <c r="K70" s="5">
        <f t="shared" si="9"/>
        <v>57827670.673179641</v>
      </c>
      <c r="L70" s="5">
        <f t="shared" si="9"/>
        <v>52110082.873059154</v>
      </c>
      <c r="M70" s="5">
        <f t="shared" si="9"/>
        <v>46074255.831590481</v>
      </c>
      <c r="N70" s="5">
        <f t="shared" si="9"/>
        <v>44024883.438622199</v>
      </c>
      <c r="O70" s="5">
        <f t="shared" si="9"/>
        <v>39048473.555569723</v>
      </c>
      <c r="P70" s="5">
        <f t="shared" si="9"/>
        <v>34087367.442531683</v>
      </c>
      <c r="Q70" s="5">
        <f t="shared" si="9"/>
        <v>31452463.285863455</v>
      </c>
      <c r="R70" s="5">
        <f t="shared" si="9"/>
        <v>27895754.577262495</v>
      </c>
      <c r="S70" s="5">
        <f t="shared" si="9"/>
        <v>24741245.744800437</v>
      </c>
      <c r="T70" s="5">
        <f t="shared" si="9"/>
        <v>21943455.206031431</v>
      </c>
      <c r="U70" s="5">
        <f t="shared" si="9"/>
        <v>19462044.528630979</v>
      </c>
      <c r="V70" s="5">
        <f t="shared" si="9"/>
        <v>17261236.832488675</v>
      </c>
      <c r="W70" s="5">
        <f t="shared" si="9"/>
        <v>15309300.960078647</v>
      </c>
      <c r="X70" s="5">
        <f t="shared" si="9"/>
        <v>13578093.977896806</v>
      </c>
      <c r="Y70" s="5">
        <f t="shared" si="9"/>
        <v>12042655.412768785</v>
      </c>
      <c r="Z70" s="5">
        <f t="shared" si="9"/>
        <v>10680847.372743936</v>
      </c>
      <c r="AA70" s="5">
        <f t="shared" si="9"/>
        <v>9473035.3638527133</v>
      </c>
    </row>
    <row r="71" spans="1:28" ht="18.75" x14ac:dyDescent="0.3">
      <c r="B71" t="s">
        <v>30</v>
      </c>
      <c r="C71" s="11">
        <f>SUM(C70:AA70)</f>
        <v>678677224.68389595</v>
      </c>
    </row>
    <row r="74" spans="1:28" x14ac:dyDescent="0.25">
      <c r="B74" s="12" t="s">
        <v>41</v>
      </c>
    </row>
    <row r="75" spans="1:28" x14ac:dyDescent="0.25">
      <c r="B75" s="10" t="s">
        <v>31</v>
      </c>
    </row>
    <row r="76" spans="1:28" ht="18.75" x14ac:dyDescent="0.3">
      <c r="B76" s="10" t="s">
        <v>40</v>
      </c>
      <c r="C76" s="115">
        <f>+C63/C71</f>
        <v>9.8135838441473361E-3</v>
      </c>
    </row>
    <row r="79" spans="1:28" ht="18.75" x14ac:dyDescent="0.3">
      <c r="A79" s="113" t="s">
        <v>94</v>
      </c>
    </row>
    <row r="80" spans="1:28" ht="18.75" x14ac:dyDescent="0.3">
      <c r="A80" s="113"/>
      <c r="C80" s="10">
        <v>0</v>
      </c>
      <c r="D80" s="10">
        <v>1</v>
      </c>
      <c r="E80" s="10">
        <v>2</v>
      </c>
      <c r="F80" s="10">
        <v>3</v>
      </c>
      <c r="G80" s="10">
        <v>4</v>
      </c>
      <c r="H80" s="10">
        <v>5</v>
      </c>
      <c r="I80" s="10">
        <v>6</v>
      </c>
      <c r="J80" s="10">
        <v>7</v>
      </c>
      <c r="K80" s="10">
        <v>8</v>
      </c>
      <c r="L80" s="10">
        <v>9</v>
      </c>
      <c r="M80" s="10">
        <v>10</v>
      </c>
      <c r="N80" s="10">
        <v>11</v>
      </c>
      <c r="O80" s="10">
        <v>12</v>
      </c>
      <c r="P80" s="10">
        <v>13</v>
      </c>
      <c r="Q80" s="10">
        <v>14</v>
      </c>
      <c r="R80" s="10">
        <v>15</v>
      </c>
      <c r="S80" s="10">
        <v>16</v>
      </c>
      <c r="T80" s="10">
        <v>17</v>
      </c>
      <c r="U80" s="10">
        <v>18</v>
      </c>
      <c r="V80" s="10">
        <v>19</v>
      </c>
      <c r="W80" s="10">
        <v>20</v>
      </c>
      <c r="X80" s="10">
        <v>21</v>
      </c>
      <c r="Y80" s="10">
        <v>22</v>
      </c>
      <c r="Z80" s="10">
        <v>23</v>
      </c>
      <c r="AA80" s="10">
        <v>24</v>
      </c>
    </row>
    <row r="81" spans="2:27" x14ac:dyDescent="0.25">
      <c r="B81" s="12" t="s">
        <v>124</v>
      </c>
      <c r="C81" s="10">
        <v>2019</v>
      </c>
      <c r="D81" s="10">
        <v>2020</v>
      </c>
      <c r="E81" s="10">
        <v>2021</v>
      </c>
      <c r="F81" s="10">
        <v>2022</v>
      </c>
      <c r="G81" s="10">
        <v>2023</v>
      </c>
      <c r="H81" s="10">
        <v>2024</v>
      </c>
      <c r="I81" s="10">
        <v>2025</v>
      </c>
      <c r="J81" s="10">
        <v>2026</v>
      </c>
      <c r="K81" s="10">
        <v>2027</v>
      </c>
      <c r="L81" s="10">
        <v>2028</v>
      </c>
      <c r="M81" s="10">
        <v>2029</v>
      </c>
      <c r="N81" s="10">
        <v>2030</v>
      </c>
      <c r="O81" s="10">
        <v>2031</v>
      </c>
      <c r="P81" s="10">
        <v>2032</v>
      </c>
      <c r="Q81" s="10">
        <v>2033</v>
      </c>
      <c r="R81" s="10">
        <v>2034</v>
      </c>
      <c r="S81" s="10">
        <v>2035</v>
      </c>
      <c r="T81" s="10">
        <v>2036</v>
      </c>
      <c r="U81" s="10">
        <v>2037</v>
      </c>
      <c r="V81" s="10">
        <v>2038</v>
      </c>
      <c r="W81" s="10">
        <v>2039</v>
      </c>
      <c r="X81" s="10">
        <v>2040</v>
      </c>
      <c r="Y81" s="10">
        <v>2041</v>
      </c>
      <c r="Z81" s="10">
        <v>2042</v>
      </c>
      <c r="AA81" s="10">
        <v>2043</v>
      </c>
    </row>
    <row r="82" spans="2:27" x14ac:dyDescent="0.25">
      <c r="B82" t="s">
        <v>24</v>
      </c>
      <c r="H82" s="22">
        <f>+H33*'%  Planta'!F2</f>
        <v>1.6707860116149693</v>
      </c>
    </row>
    <row r="83" spans="2:27" x14ac:dyDescent="0.25">
      <c r="B83" t="s">
        <v>25</v>
      </c>
      <c r="C83" s="5"/>
      <c r="D83" s="5"/>
      <c r="E83" s="5"/>
      <c r="F83" s="5"/>
      <c r="G83" s="5"/>
      <c r="H83" s="24">
        <f>+$H$82*$D$2</f>
        <v>5.0123580348449076E-2</v>
      </c>
      <c r="I83" s="24">
        <f t="shared" ref="I83:AA83" si="10">+$H$82*$D$2</f>
        <v>5.0123580348449076E-2</v>
      </c>
      <c r="J83" s="24">
        <f t="shared" si="10"/>
        <v>5.0123580348449076E-2</v>
      </c>
      <c r="K83" s="24">
        <f t="shared" si="10"/>
        <v>5.0123580348449076E-2</v>
      </c>
      <c r="L83" s="24">
        <f t="shared" si="10"/>
        <v>5.0123580348449076E-2</v>
      </c>
      <c r="M83" s="24">
        <f t="shared" si="10"/>
        <v>5.0123580348449076E-2</v>
      </c>
      <c r="N83" s="24">
        <f t="shared" si="10"/>
        <v>5.0123580348449076E-2</v>
      </c>
      <c r="O83" s="24">
        <f t="shared" si="10"/>
        <v>5.0123580348449076E-2</v>
      </c>
      <c r="P83" s="24">
        <f t="shared" si="10"/>
        <v>5.0123580348449076E-2</v>
      </c>
      <c r="Q83" s="24">
        <f t="shared" si="10"/>
        <v>5.0123580348449076E-2</v>
      </c>
      <c r="R83" s="24">
        <f t="shared" si="10"/>
        <v>5.0123580348449076E-2</v>
      </c>
      <c r="S83" s="24">
        <f t="shared" si="10"/>
        <v>5.0123580348449076E-2</v>
      </c>
      <c r="T83" s="24">
        <f t="shared" si="10"/>
        <v>5.0123580348449076E-2</v>
      </c>
      <c r="U83" s="24">
        <f t="shared" si="10"/>
        <v>5.0123580348449076E-2</v>
      </c>
      <c r="V83" s="24">
        <f t="shared" si="10"/>
        <v>5.0123580348449076E-2</v>
      </c>
      <c r="W83" s="24">
        <f t="shared" si="10"/>
        <v>5.0123580348449076E-2</v>
      </c>
      <c r="X83" s="24">
        <f t="shared" si="10"/>
        <v>5.0123580348449076E-2</v>
      </c>
      <c r="Y83" s="24">
        <f t="shared" si="10"/>
        <v>5.0123580348449076E-2</v>
      </c>
      <c r="Z83" s="24">
        <f t="shared" si="10"/>
        <v>5.0123580348449076E-2</v>
      </c>
      <c r="AA83" s="24">
        <f t="shared" si="10"/>
        <v>5.0123580348449076E-2</v>
      </c>
    </row>
    <row r="84" spans="2:27" x14ac:dyDescent="0.25">
      <c r="B84" s="20"/>
      <c r="C84" s="5">
        <f>+C83+C82</f>
        <v>0</v>
      </c>
      <c r="D84" s="5">
        <f t="shared" ref="D84:G84" si="11">+D83+D82</f>
        <v>0</v>
      </c>
      <c r="E84" s="5">
        <f t="shared" si="11"/>
        <v>0</v>
      </c>
      <c r="F84" s="5">
        <f t="shared" si="11"/>
        <v>0</v>
      </c>
      <c r="G84" s="5">
        <f t="shared" si="11"/>
        <v>0</v>
      </c>
      <c r="H84" s="5">
        <f>+H83+H82</f>
        <v>1.7209095919634183</v>
      </c>
      <c r="I84" s="5">
        <f t="shared" ref="I84:AA84" si="12">+I83+I82</f>
        <v>5.0123580348449076E-2</v>
      </c>
      <c r="J84" s="5">
        <f t="shared" si="12"/>
        <v>5.0123580348449076E-2</v>
      </c>
      <c r="K84" s="5">
        <f t="shared" si="12"/>
        <v>5.0123580348449076E-2</v>
      </c>
      <c r="L84" s="5">
        <f t="shared" si="12"/>
        <v>5.0123580348449076E-2</v>
      </c>
      <c r="M84" s="5">
        <f t="shared" si="12"/>
        <v>5.0123580348449076E-2</v>
      </c>
      <c r="N84" s="5">
        <f t="shared" si="12"/>
        <v>5.0123580348449076E-2</v>
      </c>
      <c r="O84" s="5">
        <f t="shared" si="12"/>
        <v>5.0123580348449076E-2</v>
      </c>
      <c r="P84" s="5">
        <f t="shared" si="12"/>
        <v>5.0123580348449076E-2</v>
      </c>
      <c r="Q84" s="5">
        <f t="shared" si="12"/>
        <v>5.0123580348449076E-2</v>
      </c>
      <c r="R84" s="5">
        <f t="shared" si="12"/>
        <v>5.0123580348449076E-2</v>
      </c>
      <c r="S84" s="5">
        <f t="shared" si="12"/>
        <v>5.0123580348449076E-2</v>
      </c>
      <c r="T84" s="5">
        <f t="shared" si="12"/>
        <v>5.0123580348449076E-2</v>
      </c>
      <c r="U84" s="5">
        <f t="shared" si="12"/>
        <v>5.0123580348449076E-2</v>
      </c>
      <c r="V84" s="5">
        <f t="shared" si="12"/>
        <v>5.0123580348449076E-2</v>
      </c>
      <c r="W84" s="5">
        <f t="shared" si="12"/>
        <v>5.0123580348449076E-2</v>
      </c>
      <c r="X84" s="5">
        <f t="shared" si="12"/>
        <v>5.0123580348449076E-2</v>
      </c>
      <c r="Y84" s="5">
        <f t="shared" si="12"/>
        <v>5.0123580348449076E-2</v>
      </c>
      <c r="Z84" s="5">
        <f t="shared" si="12"/>
        <v>5.0123580348449076E-2</v>
      </c>
      <c r="AA84" s="5">
        <f t="shared" si="12"/>
        <v>5.0123580348449076E-2</v>
      </c>
    </row>
    <row r="85" spans="2:27" x14ac:dyDescent="0.25">
      <c r="B85" t="s">
        <v>26</v>
      </c>
      <c r="C85" s="5">
        <f t="shared" ref="C85:AA85" si="13">(C83/(1+$G$2)^C80)+(C82/(1+$G$2)^C80)</f>
        <v>0</v>
      </c>
      <c r="D85" s="5">
        <f t="shared" si="13"/>
        <v>0</v>
      </c>
      <c r="E85" s="5">
        <f t="shared" si="13"/>
        <v>0</v>
      </c>
      <c r="F85" s="5">
        <f t="shared" si="13"/>
        <v>0</v>
      </c>
      <c r="G85" s="5">
        <f t="shared" si="13"/>
        <v>0</v>
      </c>
      <c r="H85" s="5">
        <f t="shared" si="13"/>
        <v>0.94444202236882213</v>
      </c>
      <c r="I85" s="5">
        <f t="shared" si="13"/>
        <v>2.439735704567168E-2</v>
      </c>
      <c r="J85" s="5">
        <f t="shared" si="13"/>
        <v>2.1638454142502601E-2</v>
      </c>
      <c r="K85" s="5">
        <f t="shared" si="13"/>
        <v>1.9191533607541108E-2</v>
      </c>
      <c r="L85" s="5">
        <f t="shared" si="13"/>
        <v>1.7021315838173932E-2</v>
      </c>
      <c r="M85" s="5">
        <f t="shared" si="13"/>
        <v>1.5096510721218566E-2</v>
      </c>
      <c r="N85" s="5">
        <f t="shared" si="13"/>
        <v>1.3389366493320237E-2</v>
      </c>
      <c r="O85" s="5">
        <f t="shared" si="13"/>
        <v>1.1875269617135463E-2</v>
      </c>
      <c r="P85" s="5">
        <f t="shared" si="13"/>
        <v>1.0532389904333007E-2</v>
      </c>
      <c r="Q85" s="5">
        <f t="shared" si="13"/>
        <v>9.3413657688097614E-3</v>
      </c>
      <c r="R85" s="5">
        <f t="shared" si="13"/>
        <v>8.2850250721150896E-3</v>
      </c>
      <c r="S85" s="5">
        <f t="shared" si="13"/>
        <v>7.3481375362439818E-3</v>
      </c>
      <c r="T85" s="5">
        <f t="shared" si="13"/>
        <v>6.5171951540966581E-3</v>
      </c>
      <c r="U85" s="5">
        <f t="shared" si="13"/>
        <v>5.780217431571315E-3</v>
      </c>
      <c r="V85" s="5">
        <f t="shared" si="13"/>
        <v>5.1265786532783287E-3</v>
      </c>
      <c r="W85" s="5">
        <f t="shared" si="13"/>
        <v>4.5468546813998475E-3</v>
      </c>
      <c r="X85" s="5">
        <f t="shared" si="13"/>
        <v>4.0326870788468718E-3</v>
      </c>
      <c r="Y85" s="5">
        <f t="shared" si="13"/>
        <v>3.5766625976468933E-3</v>
      </c>
      <c r="Z85" s="5">
        <f t="shared" si="13"/>
        <v>3.1722062950305043E-3</v>
      </c>
      <c r="AA85" s="5">
        <f t="shared" si="13"/>
        <v>2.8134867361689613E-3</v>
      </c>
    </row>
    <row r="86" spans="2:27" ht="18.75" x14ac:dyDescent="0.3">
      <c r="B86" t="s">
        <v>27</v>
      </c>
      <c r="C86" s="11">
        <f>SUM(C85:AA85)*1000000</f>
        <v>1138124.6367439276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2:27" x14ac:dyDescent="0.25">
      <c r="C87" s="20"/>
    </row>
    <row r="88" spans="2:27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90" spans="2:27" x14ac:dyDescent="0.25">
      <c r="C90" s="10">
        <v>0</v>
      </c>
      <c r="D90" s="10">
        <v>1</v>
      </c>
      <c r="E90" s="10">
        <v>2</v>
      </c>
      <c r="F90" s="10">
        <v>3</v>
      </c>
      <c r="G90" s="10">
        <v>4</v>
      </c>
      <c r="H90" s="13">
        <v>5</v>
      </c>
      <c r="I90" s="10">
        <v>6</v>
      </c>
      <c r="J90" s="10">
        <v>7</v>
      </c>
      <c r="K90" s="10">
        <v>8</v>
      </c>
      <c r="L90" s="10">
        <v>9</v>
      </c>
      <c r="M90" s="10">
        <v>10</v>
      </c>
      <c r="N90" s="10">
        <v>11</v>
      </c>
      <c r="O90" s="10">
        <v>12</v>
      </c>
      <c r="P90" s="10">
        <v>13</v>
      </c>
      <c r="Q90" s="10">
        <v>14</v>
      </c>
      <c r="R90" s="10">
        <v>15</v>
      </c>
      <c r="S90" s="10">
        <v>16</v>
      </c>
      <c r="T90" s="10">
        <v>17</v>
      </c>
      <c r="U90" s="10">
        <v>18</v>
      </c>
      <c r="V90" s="10">
        <v>19</v>
      </c>
      <c r="W90" s="10">
        <v>20</v>
      </c>
      <c r="X90" s="10">
        <v>21</v>
      </c>
      <c r="Y90" s="10">
        <v>22</v>
      </c>
      <c r="Z90" s="10">
        <v>23</v>
      </c>
      <c r="AA90" s="10">
        <v>24</v>
      </c>
    </row>
    <row r="91" spans="2:27" x14ac:dyDescent="0.25">
      <c r="B91" s="12" t="s">
        <v>28</v>
      </c>
      <c r="C91" s="10">
        <v>2019</v>
      </c>
      <c r="D91" s="10">
        <v>2020</v>
      </c>
      <c r="E91" s="10">
        <v>2021</v>
      </c>
      <c r="F91" s="10">
        <v>2022</v>
      </c>
      <c r="G91" s="10">
        <v>2023</v>
      </c>
      <c r="H91" s="13">
        <v>2024</v>
      </c>
      <c r="I91" s="10">
        <v>2025</v>
      </c>
      <c r="J91" s="10">
        <v>2026</v>
      </c>
      <c r="K91" s="10">
        <v>2027</v>
      </c>
      <c r="L91" s="10">
        <v>2028</v>
      </c>
      <c r="M91" s="10">
        <v>2029</v>
      </c>
      <c r="N91" s="10">
        <v>2030</v>
      </c>
      <c r="O91" s="10">
        <v>2031</v>
      </c>
      <c r="P91" s="10">
        <v>2032</v>
      </c>
      <c r="Q91" s="10">
        <v>2033</v>
      </c>
      <c r="R91" s="10">
        <v>2034</v>
      </c>
      <c r="S91" s="10">
        <v>2035</v>
      </c>
      <c r="T91" s="10">
        <v>2036</v>
      </c>
      <c r="U91" s="10">
        <v>2037</v>
      </c>
      <c r="V91" s="10">
        <v>2038</v>
      </c>
      <c r="W91" s="10">
        <v>2039</v>
      </c>
      <c r="X91" s="10">
        <v>2040</v>
      </c>
      <c r="Y91" s="10">
        <v>2041</v>
      </c>
      <c r="Z91" s="10">
        <v>2042</v>
      </c>
      <c r="AA91" s="10">
        <v>2043</v>
      </c>
    </row>
    <row r="92" spans="2:27" x14ac:dyDescent="0.25">
      <c r="B92" s="14" t="s">
        <v>99</v>
      </c>
      <c r="C92" s="5"/>
      <c r="D92" s="5">
        <v>0</v>
      </c>
      <c r="E92" s="5">
        <v>0</v>
      </c>
      <c r="F92" s="5">
        <v>0</v>
      </c>
      <c r="G92" s="5">
        <v>0</v>
      </c>
      <c r="H92" s="23">
        <f>+'Demanda Regional'!V23</f>
        <v>133142897.0861394</v>
      </c>
      <c r="I92" s="23">
        <f>+'Demanda Regional'!W23</f>
        <v>137920733.65804839</v>
      </c>
      <c r="J92" s="23">
        <f>+'Demanda Regional'!X23</f>
        <v>142373422.03349841</v>
      </c>
      <c r="K92" s="23">
        <f>+'Demanda Regional'!Y23</f>
        <v>151031697.44661915</v>
      </c>
      <c r="L92" s="23">
        <f>+'Demanda Regional'!Z23</f>
        <v>153451351.8628377</v>
      </c>
      <c r="M92" s="23">
        <f>+'Demanda Regional'!AA23</f>
        <v>152976188.12827978</v>
      </c>
      <c r="N92" s="23">
        <f>+'Demanda Regional'!AB23</f>
        <v>164808752.03974497</v>
      </c>
      <c r="O92" s="23">
        <f>+'Demanda Regional'!AC23</f>
        <v>164817251.7213982</v>
      </c>
      <c r="P92" s="23">
        <f>+'Demanda Regional'!AD23</f>
        <v>162221577.09618559</v>
      </c>
      <c r="Q92" s="23">
        <f>+'Demanda Regional'!AE23</f>
        <v>168766549.74045557</v>
      </c>
      <c r="R92" s="23">
        <f>+'Demanda Regional'!AF23</f>
        <v>168766549.74045557</v>
      </c>
      <c r="S92" s="23">
        <f>+'Demanda Regional'!AG23</f>
        <v>168766549.74045557</v>
      </c>
      <c r="T92" s="23">
        <f>+'Demanda Regional'!AH23</f>
        <v>168766549.74045557</v>
      </c>
      <c r="U92" s="23">
        <f>+'Demanda Regional'!AI23</f>
        <v>168766549.74045557</v>
      </c>
      <c r="V92" s="23">
        <f>+'Demanda Regional'!AJ23</f>
        <v>168766549.74045557</v>
      </c>
      <c r="W92" s="23">
        <f>+'Demanda Regional'!AK23</f>
        <v>168766549.74045557</v>
      </c>
      <c r="X92" s="23">
        <f>+'Demanda Regional'!AL23</f>
        <v>168766549.74045557</v>
      </c>
      <c r="Y92" s="23">
        <f>+'Demanda Regional'!AM23</f>
        <v>168766549.74045557</v>
      </c>
      <c r="Z92" s="23">
        <f>+'Demanda Regional'!AN23</f>
        <v>168766549.74045557</v>
      </c>
      <c r="AA92" s="23">
        <f>+'Demanda Regional'!AO23</f>
        <v>168766549.74045557</v>
      </c>
    </row>
    <row r="93" spans="2:27" x14ac:dyDescent="0.25">
      <c r="B93" t="s">
        <v>29</v>
      </c>
      <c r="C93" s="5">
        <f>(C92)/(1+$G$2)^C90</f>
        <v>0</v>
      </c>
      <c r="D93" s="5">
        <v>0</v>
      </c>
      <c r="E93" s="5">
        <v>0</v>
      </c>
      <c r="F93" s="5">
        <v>0</v>
      </c>
      <c r="G93" s="5">
        <v>0</v>
      </c>
      <c r="H93" s="5">
        <f t="shared" ref="H93:AA93" si="14">(H92)/(1+$G$2)^H90</f>
        <v>73069350.984679997</v>
      </c>
      <c r="I93" s="5">
        <f t="shared" si="14"/>
        <v>67132103.486308739</v>
      </c>
      <c r="J93" s="5">
        <f t="shared" si="14"/>
        <v>61462903.13593588</v>
      </c>
      <c r="K93" s="5">
        <f t="shared" si="14"/>
        <v>57827670.673179641</v>
      </c>
      <c r="L93" s="5">
        <f t="shared" si="14"/>
        <v>52110082.873059154</v>
      </c>
      <c r="M93" s="5">
        <f t="shared" si="14"/>
        <v>46074255.831590481</v>
      </c>
      <c r="N93" s="5">
        <f t="shared" si="14"/>
        <v>44024883.438622199</v>
      </c>
      <c r="O93" s="5">
        <f t="shared" si="14"/>
        <v>39048473.555569723</v>
      </c>
      <c r="P93" s="5">
        <f t="shared" si="14"/>
        <v>34087367.442531683</v>
      </c>
      <c r="Q93" s="5">
        <f t="shared" si="14"/>
        <v>31452463.285863455</v>
      </c>
      <c r="R93" s="5">
        <f t="shared" si="14"/>
        <v>27895754.577262495</v>
      </c>
      <c r="S93" s="5">
        <f t="shared" si="14"/>
        <v>24741245.744800437</v>
      </c>
      <c r="T93" s="5">
        <f t="shared" si="14"/>
        <v>21943455.206031431</v>
      </c>
      <c r="U93" s="5">
        <f t="shared" si="14"/>
        <v>19462044.528630979</v>
      </c>
      <c r="V93" s="5">
        <f t="shared" si="14"/>
        <v>17261236.832488675</v>
      </c>
      <c r="W93" s="5">
        <f t="shared" si="14"/>
        <v>15309300.960078647</v>
      </c>
      <c r="X93" s="5">
        <f t="shared" si="14"/>
        <v>13578093.977896806</v>
      </c>
      <c r="Y93" s="5">
        <f t="shared" si="14"/>
        <v>12042655.412768785</v>
      </c>
      <c r="Z93" s="5">
        <f t="shared" si="14"/>
        <v>10680847.372743936</v>
      </c>
      <c r="AA93" s="5">
        <f t="shared" si="14"/>
        <v>9473035.3638527133</v>
      </c>
    </row>
    <row r="94" spans="2:27" ht="18.75" x14ac:dyDescent="0.3">
      <c r="B94" t="s">
        <v>30</v>
      </c>
      <c r="C94" s="11">
        <f>SUM(C93:AA93)</f>
        <v>678677224.68389595</v>
      </c>
    </row>
    <row r="97" spans="2:3" x14ac:dyDescent="0.25">
      <c r="B97" s="12" t="s">
        <v>41</v>
      </c>
    </row>
    <row r="98" spans="2:3" x14ac:dyDescent="0.25">
      <c r="B98" s="10" t="s">
        <v>31</v>
      </c>
    </row>
    <row r="99" spans="2:3" ht="18.75" x14ac:dyDescent="0.3">
      <c r="B99" s="10" t="s">
        <v>40</v>
      </c>
      <c r="C99" s="116">
        <f>+C86/C94</f>
        <v>1.6769748495303141E-3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showGridLines="0" workbookViewId="0">
      <pane ySplit="2" topLeftCell="A9" activePane="bottomLeft" state="frozen"/>
      <selection pane="bottomLeft" activeCell="B82" sqref="B82"/>
    </sheetView>
  </sheetViews>
  <sheetFormatPr baseColWidth="10" defaultRowHeight="15" x14ac:dyDescent="0.25"/>
  <cols>
    <col min="1" max="1" width="19.42578125" bestFit="1" customWidth="1"/>
    <col min="2" max="2" width="26.140625" bestFit="1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8" t="s">
        <v>123</v>
      </c>
      <c r="C2" s="145" t="str">
        <f>+'%  Planta'!C10</f>
        <v>Costa Interior</v>
      </c>
      <c r="D2" s="43">
        <v>0.03</v>
      </c>
      <c r="E2" s="27">
        <v>700</v>
      </c>
      <c r="F2" s="27">
        <v>2024</v>
      </c>
      <c r="G2" s="43">
        <v>0.1275</v>
      </c>
    </row>
    <row r="5" spans="1:27" ht="18.75" x14ac:dyDescent="0.3">
      <c r="A5" s="113" t="s">
        <v>88</v>
      </c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22">
        <f>+E2*'%  Planta'!E10*'%  Planta'!F4</f>
        <v>1.3763512338815964</v>
      </c>
    </row>
    <row r="8" spans="1:27" x14ac:dyDescent="0.25">
      <c r="B8" t="s">
        <v>25</v>
      </c>
      <c r="C8" s="5"/>
      <c r="D8" s="5"/>
      <c r="E8" s="5"/>
      <c r="F8" s="5"/>
      <c r="G8" s="5"/>
      <c r="H8" s="5">
        <f t="shared" ref="H8:AA8" si="0">$H$7*$D$2</f>
        <v>4.1290537016447894E-2</v>
      </c>
      <c r="I8" s="5">
        <f t="shared" si="0"/>
        <v>4.1290537016447894E-2</v>
      </c>
      <c r="J8" s="5">
        <f t="shared" si="0"/>
        <v>4.1290537016447894E-2</v>
      </c>
      <c r="K8" s="5">
        <f t="shared" si="0"/>
        <v>4.1290537016447894E-2</v>
      </c>
      <c r="L8" s="5">
        <f t="shared" si="0"/>
        <v>4.1290537016447894E-2</v>
      </c>
      <c r="M8" s="5">
        <f t="shared" si="0"/>
        <v>4.1290537016447894E-2</v>
      </c>
      <c r="N8" s="5">
        <f t="shared" si="0"/>
        <v>4.1290537016447894E-2</v>
      </c>
      <c r="O8" s="5">
        <f t="shared" si="0"/>
        <v>4.1290537016447894E-2</v>
      </c>
      <c r="P8" s="5">
        <f t="shared" si="0"/>
        <v>4.1290537016447894E-2</v>
      </c>
      <c r="Q8" s="5">
        <f t="shared" si="0"/>
        <v>4.1290537016447894E-2</v>
      </c>
      <c r="R8" s="5">
        <f t="shared" si="0"/>
        <v>4.1290537016447894E-2</v>
      </c>
      <c r="S8" s="5">
        <f t="shared" si="0"/>
        <v>4.1290537016447894E-2</v>
      </c>
      <c r="T8" s="5">
        <f t="shared" si="0"/>
        <v>4.1290537016447894E-2</v>
      </c>
      <c r="U8" s="5">
        <f t="shared" si="0"/>
        <v>4.1290537016447894E-2</v>
      </c>
      <c r="V8" s="5">
        <f t="shared" si="0"/>
        <v>4.1290537016447894E-2</v>
      </c>
      <c r="W8" s="5">
        <f t="shared" si="0"/>
        <v>4.1290537016447894E-2</v>
      </c>
      <c r="X8" s="5">
        <f t="shared" si="0"/>
        <v>4.1290537016447894E-2</v>
      </c>
      <c r="Y8" s="5">
        <f t="shared" si="0"/>
        <v>4.1290537016447894E-2</v>
      </c>
      <c r="Z8" s="5">
        <f t="shared" si="0"/>
        <v>4.1290537016447894E-2</v>
      </c>
      <c r="AA8" s="5">
        <f t="shared" si="0"/>
        <v>4.1290537016447894E-2</v>
      </c>
    </row>
    <row r="9" spans="1:27" x14ac:dyDescent="0.25">
      <c r="B9" t="s">
        <v>26</v>
      </c>
      <c r="C9" s="5">
        <f>(C8/(1+$G$2)^C5)+(C7/(1+$G$2)^C5)</f>
        <v>0</v>
      </c>
      <c r="D9" s="5">
        <f t="shared" ref="D9:AA9" si="1">(D8/(1+$G$2)^D5)+(D7/(1+$G$2)^D5)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0.77800743708675213</v>
      </c>
      <c r="I9" s="5">
        <f t="shared" si="1"/>
        <v>2.0097925311693594E-2</v>
      </c>
      <c r="J9" s="5">
        <f t="shared" si="1"/>
        <v>1.7825210919462171E-2</v>
      </c>
      <c r="K9" s="5">
        <f t="shared" si="1"/>
        <v>1.580949970684006E-2</v>
      </c>
      <c r="L9" s="5">
        <f t="shared" si="1"/>
        <v>1.4021729230013359E-2</v>
      </c>
      <c r="M9" s="5">
        <f t="shared" si="1"/>
        <v>1.2436123485599431E-2</v>
      </c>
      <c r="N9" s="5">
        <f t="shared" si="1"/>
        <v>1.1029821273258921E-2</v>
      </c>
      <c r="O9" s="5">
        <f t="shared" si="1"/>
        <v>9.7825465838216573E-3</v>
      </c>
      <c r="P9" s="5">
        <f t="shared" si="1"/>
        <v>8.6763162605957064E-3</v>
      </c>
      <c r="Q9" s="5">
        <f t="shared" si="1"/>
        <v>7.69518071893189E-3</v>
      </c>
      <c r="R9" s="5">
        <f t="shared" si="1"/>
        <v>6.8249939857489058E-3</v>
      </c>
      <c r="S9" s="5">
        <f t="shared" si="1"/>
        <v>6.0532097434580091E-3</v>
      </c>
      <c r="T9" s="5">
        <f t="shared" si="1"/>
        <v>5.3687004376567708E-3</v>
      </c>
      <c r="U9" s="5">
        <f t="shared" si="1"/>
        <v>4.7615968404938099E-3</v>
      </c>
      <c r="V9" s="5">
        <f t="shared" si="1"/>
        <v>4.2231457565355306E-3</v>
      </c>
      <c r="W9" s="5">
        <f t="shared" si="1"/>
        <v>3.7455838195437074E-3</v>
      </c>
      <c r="X9" s="5">
        <f t="shared" si="1"/>
        <v>3.3220255605709162E-3</v>
      </c>
      <c r="Y9" s="5">
        <f t="shared" si="1"/>
        <v>2.9463641335440499E-3</v>
      </c>
      <c r="Z9" s="5">
        <f t="shared" si="1"/>
        <v>2.6131832670013748E-3</v>
      </c>
      <c r="AA9" s="5">
        <f t="shared" si="1"/>
        <v>2.3176791725067624E-3</v>
      </c>
    </row>
    <row r="10" spans="1:27" ht="18.75" x14ac:dyDescent="0.3">
      <c r="B10" t="s">
        <v>27</v>
      </c>
      <c r="C10" s="11">
        <f>SUM(C9:AA9)*1000000</f>
        <v>937558.27329402883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7" ht="16.5" customHeight="1" x14ac:dyDescent="0.25">
      <c r="C11" s="20"/>
    </row>
    <row r="12" spans="1:27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7" x14ac:dyDescent="0.25"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  <c r="Z14" s="10">
        <v>23</v>
      </c>
      <c r="AA14" s="10">
        <v>24</v>
      </c>
    </row>
    <row r="15" spans="1:27" x14ac:dyDescent="0.25">
      <c r="A15" s="10"/>
      <c r="B15" s="12" t="s">
        <v>28</v>
      </c>
      <c r="C15" s="10">
        <v>2019</v>
      </c>
      <c r="D15" s="10">
        <v>2020</v>
      </c>
      <c r="E15" s="10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  <c r="Z15" s="10">
        <v>2042</v>
      </c>
      <c r="AA15" s="10">
        <v>2043</v>
      </c>
    </row>
    <row r="16" spans="1:27" x14ac:dyDescent="0.25">
      <c r="A16">
        <v>2024</v>
      </c>
      <c r="B16" s="14" t="s">
        <v>100</v>
      </c>
      <c r="C16" s="5"/>
      <c r="D16" s="5"/>
      <c r="E16" s="5"/>
      <c r="F16" s="5"/>
      <c r="G16" s="5"/>
      <c r="H16" s="22">
        <f>+'Demanda Regional'!V6</f>
        <v>16642862.135767424</v>
      </c>
      <c r="I16" s="22">
        <f>+'Demanda Regional'!W6</f>
        <v>17240091.707256049</v>
      </c>
      <c r="J16" s="22">
        <f>+'Demanda Regional'!X6</f>
        <v>17796677.754187301</v>
      </c>
      <c r="K16" s="22">
        <f>+'Demanda Regional'!Y6</f>
        <v>18878962.180827394</v>
      </c>
      <c r="L16" s="22">
        <f>+'Demanda Regional'!Z6</f>
        <v>19181418.982854713</v>
      </c>
      <c r="M16" s="22">
        <f>+'Demanda Regional'!AA6</f>
        <v>19122023.516034972</v>
      </c>
      <c r="N16" s="22">
        <f>+'Demanda Regional'!AB6</f>
        <v>20601094.004968122</v>
      </c>
      <c r="O16" s="22">
        <f>+'Demanda Regional'!AC6</f>
        <v>20602156.465174776</v>
      </c>
      <c r="P16" s="22">
        <f>+'Demanda Regional'!AD6</f>
        <v>20277697.137023199</v>
      </c>
      <c r="Q16" s="22">
        <f>+'Demanda Regional'!AE6</f>
        <v>21095818.717556946</v>
      </c>
      <c r="R16" s="22">
        <f>+'Demanda Regional'!AF6</f>
        <v>21095818.717556946</v>
      </c>
      <c r="S16" s="22">
        <f>+'Demanda Regional'!AG6</f>
        <v>21095818.717556946</v>
      </c>
      <c r="T16" s="22">
        <f>+'Demanda Regional'!AH6</f>
        <v>21095818.717556946</v>
      </c>
      <c r="U16" s="22">
        <f>+'Demanda Regional'!AI6</f>
        <v>21095818.717556946</v>
      </c>
      <c r="V16" s="22">
        <f>+'Demanda Regional'!AJ6</f>
        <v>21095818.717556946</v>
      </c>
      <c r="W16" s="22">
        <f>+'Demanda Regional'!AK6</f>
        <v>21095818.717556946</v>
      </c>
      <c r="X16" s="22">
        <f>+'Demanda Regional'!AL6</f>
        <v>21095818.717556946</v>
      </c>
      <c r="Y16" s="22">
        <f>+'Demanda Regional'!AM6</f>
        <v>21095818.717556946</v>
      </c>
      <c r="Z16" s="22">
        <f>+'Demanda Regional'!AN6</f>
        <v>21095818.717556946</v>
      </c>
      <c r="AA16" s="22">
        <f>+'Demanda Regional'!AO6</f>
        <v>21095818.717556946</v>
      </c>
    </row>
    <row r="17" spans="1:27" x14ac:dyDescent="0.25">
      <c r="A17">
        <v>2043</v>
      </c>
      <c r="B17" t="s">
        <v>29</v>
      </c>
      <c r="C17" s="5">
        <f>(C16)/(1+$G$2)^C14</f>
        <v>0</v>
      </c>
      <c r="D17" s="5">
        <f t="shared" ref="D17:AA17" si="2">(D16)/(1+$G$2)^D14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9133668.8730849996</v>
      </c>
      <c r="I17" s="5">
        <f t="shared" si="2"/>
        <v>8391512.9357885923</v>
      </c>
      <c r="J17" s="5">
        <f t="shared" si="2"/>
        <v>7682862.891991985</v>
      </c>
      <c r="K17" s="5">
        <f t="shared" si="2"/>
        <v>7228458.8341474552</v>
      </c>
      <c r="L17" s="5">
        <f t="shared" si="2"/>
        <v>6513760.3591323942</v>
      </c>
      <c r="M17" s="5">
        <f t="shared" si="2"/>
        <v>5759281.9789488101</v>
      </c>
      <c r="N17" s="5">
        <f t="shared" si="2"/>
        <v>5503110.4298277749</v>
      </c>
      <c r="O17" s="5">
        <f t="shared" si="2"/>
        <v>4881059.1944462154</v>
      </c>
      <c r="P17" s="5">
        <f t="shared" si="2"/>
        <v>4260920.9303164603</v>
      </c>
      <c r="Q17" s="5">
        <f t="shared" si="2"/>
        <v>3931557.9107329319</v>
      </c>
      <c r="R17" s="5">
        <f t="shared" si="2"/>
        <v>3486969.3221578118</v>
      </c>
      <c r="S17" s="5">
        <f t="shared" si="2"/>
        <v>3092655.7181000547</v>
      </c>
      <c r="T17" s="5">
        <f t="shared" si="2"/>
        <v>2742931.9007539288</v>
      </c>
      <c r="U17" s="5">
        <f t="shared" si="2"/>
        <v>2432755.5660788724</v>
      </c>
      <c r="V17" s="5">
        <f t="shared" si="2"/>
        <v>2157654.6040610843</v>
      </c>
      <c r="W17" s="5">
        <f t="shared" si="2"/>
        <v>1913662.6200098309</v>
      </c>
      <c r="X17" s="5">
        <f t="shared" si="2"/>
        <v>1697261.7472371007</v>
      </c>
      <c r="Y17" s="5">
        <f t="shared" si="2"/>
        <v>1505331.9265960981</v>
      </c>
      <c r="Z17" s="5">
        <f t="shared" si="2"/>
        <v>1335105.921592992</v>
      </c>
      <c r="AA17" s="5">
        <f t="shared" si="2"/>
        <v>1184129.4204815892</v>
      </c>
    </row>
    <row r="18" spans="1:27" ht="18.75" x14ac:dyDescent="0.3">
      <c r="B18" t="s">
        <v>30</v>
      </c>
      <c r="C18" s="11">
        <f>SUM(H17:AA17)</f>
        <v>84834653.085486993</v>
      </c>
    </row>
    <row r="19" spans="1:27" x14ac:dyDescent="0.25">
      <c r="E19" s="10"/>
    </row>
    <row r="20" spans="1:2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B23" s="12" t="s">
        <v>41</v>
      </c>
      <c r="E23" s="10"/>
    </row>
    <row r="24" spans="1:27" x14ac:dyDescent="0.25">
      <c r="B24" s="10" t="s">
        <v>31</v>
      </c>
      <c r="E24" s="10"/>
    </row>
    <row r="25" spans="1:27" ht="18.75" x14ac:dyDescent="0.3">
      <c r="B25" s="10" t="s">
        <v>40</v>
      </c>
      <c r="C25" s="21">
        <f>+C10/C18</f>
        <v>1.1051595535485495E-2</v>
      </c>
      <c r="D25" s="10"/>
      <c r="E25" s="10"/>
    </row>
    <row r="30" spans="1:27" ht="18.75" x14ac:dyDescent="0.3">
      <c r="A30" s="113" t="s">
        <v>87</v>
      </c>
    </row>
    <row r="32" spans="1:27" x14ac:dyDescent="0.25">
      <c r="C32" s="10">
        <v>0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0">
        <v>14</v>
      </c>
      <c r="R32" s="10">
        <v>15</v>
      </c>
      <c r="S32" s="10">
        <v>16</v>
      </c>
      <c r="T32" s="10">
        <v>17</v>
      </c>
      <c r="U32" s="10">
        <v>18</v>
      </c>
      <c r="V32" s="10">
        <v>19</v>
      </c>
      <c r="W32" s="10">
        <v>20</v>
      </c>
      <c r="X32" s="10">
        <v>21</v>
      </c>
      <c r="Y32" s="10">
        <v>22</v>
      </c>
      <c r="Z32" s="10">
        <v>23</v>
      </c>
      <c r="AA32" s="10">
        <v>24</v>
      </c>
    </row>
    <row r="33" spans="1:27" x14ac:dyDescent="0.25">
      <c r="B33" s="12" t="s">
        <v>124</v>
      </c>
      <c r="C33" s="10">
        <v>2019</v>
      </c>
      <c r="D33" s="10">
        <v>2020</v>
      </c>
      <c r="E33" s="10">
        <v>2021</v>
      </c>
      <c r="F33" s="10">
        <v>2022</v>
      </c>
      <c r="G33" s="10">
        <v>2023</v>
      </c>
      <c r="H33" s="10">
        <v>2024</v>
      </c>
      <c r="I33" s="10">
        <v>2025</v>
      </c>
      <c r="J33" s="10">
        <v>2026</v>
      </c>
      <c r="K33" s="10">
        <v>2027</v>
      </c>
      <c r="L33" s="10">
        <v>2028</v>
      </c>
      <c r="M33" s="10">
        <v>2029</v>
      </c>
      <c r="N33" s="10">
        <v>2030</v>
      </c>
      <c r="O33" s="10">
        <v>2031</v>
      </c>
      <c r="P33" s="10">
        <v>2032</v>
      </c>
      <c r="Q33" s="10">
        <v>2033</v>
      </c>
      <c r="R33" s="10">
        <v>2034</v>
      </c>
      <c r="S33" s="10">
        <v>2035</v>
      </c>
      <c r="T33" s="10">
        <v>2036</v>
      </c>
      <c r="U33" s="10">
        <v>2037</v>
      </c>
      <c r="V33" s="10">
        <v>2038</v>
      </c>
      <c r="W33" s="10">
        <v>2039</v>
      </c>
      <c r="X33" s="10">
        <v>2040</v>
      </c>
      <c r="Y33" s="10">
        <v>2041</v>
      </c>
      <c r="Z33" s="10">
        <v>2042</v>
      </c>
      <c r="AA33" s="10">
        <v>2043</v>
      </c>
    </row>
    <row r="34" spans="1:27" x14ac:dyDescent="0.25">
      <c r="B34" t="s">
        <v>24</v>
      </c>
      <c r="H34" s="22">
        <f>+(E2*'%  Planta'!F3)*'%  Planta'!F10</f>
        <v>0.20419959442604538</v>
      </c>
    </row>
    <row r="35" spans="1:27" x14ac:dyDescent="0.25">
      <c r="B35" t="s">
        <v>25</v>
      </c>
      <c r="C35" s="5"/>
      <c r="D35" s="5"/>
      <c r="E35" s="5"/>
      <c r="F35" s="5"/>
      <c r="G35" s="5"/>
      <c r="H35" s="5">
        <f>$H$34*$D$2</f>
        <v>6.1259878327813615E-3</v>
      </c>
      <c r="I35" s="5">
        <f t="shared" ref="I35:AA35" si="3">$H$34*$D$2</f>
        <v>6.1259878327813615E-3</v>
      </c>
      <c r="J35" s="5">
        <f t="shared" si="3"/>
        <v>6.1259878327813615E-3</v>
      </c>
      <c r="K35" s="5">
        <f t="shared" si="3"/>
        <v>6.1259878327813615E-3</v>
      </c>
      <c r="L35" s="5">
        <f t="shared" si="3"/>
        <v>6.1259878327813615E-3</v>
      </c>
      <c r="M35" s="5">
        <f t="shared" si="3"/>
        <v>6.1259878327813615E-3</v>
      </c>
      <c r="N35" s="5">
        <f t="shared" si="3"/>
        <v>6.1259878327813615E-3</v>
      </c>
      <c r="O35" s="5">
        <f t="shared" si="3"/>
        <v>6.1259878327813615E-3</v>
      </c>
      <c r="P35" s="5">
        <f t="shared" si="3"/>
        <v>6.1259878327813615E-3</v>
      </c>
      <c r="Q35" s="5">
        <f t="shared" si="3"/>
        <v>6.1259878327813615E-3</v>
      </c>
      <c r="R35" s="5">
        <f t="shared" si="3"/>
        <v>6.1259878327813615E-3</v>
      </c>
      <c r="S35" s="5">
        <f t="shared" si="3"/>
        <v>6.1259878327813615E-3</v>
      </c>
      <c r="T35" s="5">
        <f t="shared" si="3"/>
        <v>6.1259878327813615E-3</v>
      </c>
      <c r="U35" s="5">
        <f t="shared" si="3"/>
        <v>6.1259878327813615E-3</v>
      </c>
      <c r="V35" s="5">
        <f t="shared" si="3"/>
        <v>6.1259878327813615E-3</v>
      </c>
      <c r="W35" s="5">
        <f t="shared" si="3"/>
        <v>6.1259878327813615E-3</v>
      </c>
      <c r="X35" s="5">
        <f t="shared" si="3"/>
        <v>6.1259878327813615E-3</v>
      </c>
      <c r="Y35" s="5">
        <f t="shared" si="3"/>
        <v>6.1259878327813615E-3</v>
      </c>
      <c r="Z35" s="5">
        <f t="shared" si="3"/>
        <v>6.1259878327813615E-3</v>
      </c>
      <c r="AA35" s="5">
        <f t="shared" si="3"/>
        <v>6.1259878327813615E-3</v>
      </c>
    </row>
    <row r="36" spans="1:27" x14ac:dyDescent="0.25">
      <c r="B36" t="s">
        <v>26</v>
      </c>
      <c r="C36" s="5">
        <f>(C35/(1+$G$2)^C32)+(C34/(1+$G$2)^C32)</f>
        <v>0</v>
      </c>
      <c r="D36" s="5">
        <f t="shared" ref="D36:AA36" si="4">(D35/(1+$G$2)^D32)+(D34/(1+$G$2)^D32)</f>
        <v>0</v>
      </c>
      <c r="E36" s="5">
        <f t="shared" si="4"/>
        <v>0</v>
      </c>
      <c r="F36" s="5">
        <f t="shared" si="4"/>
        <v>0</v>
      </c>
      <c r="G36" s="5">
        <f t="shared" si="4"/>
        <v>0</v>
      </c>
      <c r="H36" s="5">
        <f>(H35/(1+$G$2)^H32)+(H34/(1+$G$2)^H32)</f>
        <v>0.11542751530473713</v>
      </c>
      <c r="I36" s="5">
        <f>(I35/(1+$G$2)^I32)+(I34/(1+$G$2)^I32)</f>
        <v>2.9817884391898164E-3</v>
      </c>
      <c r="J36" s="5">
        <f t="shared" si="4"/>
        <v>2.6446017199022766E-3</v>
      </c>
      <c r="K36" s="5">
        <f t="shared" si="4"/>
        <v>2.345544762662773E-3</v>
      </c>
      <c r="L36" s="5">
        <f t="shared" si="4"/>
        <v>2.0803057761975816E-3</v>
      </c>
      <c r="M36" s="5">
        <f t="shared" si="4"/>
        <v>1.8450605553858815E-3</v>
      </c>
      <c r="N36" s="5">
        <f t="shared" si="4"/>
        <v>1.6364173440229551E-3</v>
      </c>
      <c r="O36" s="5">
        <f t="shared" si="4"/>
        <v>1.4513679326145941E-3</v>
      </c>
      <c r="P36" s="5">
        <f t="shared" si="4"/>
        <v>1.2872442861326778E-3</v>
      </c>
      <c r="Q36" s="5">
        <f t="shared" si="4"/>
        <v>1.1416800763926187E-3</v>
      </c>
      <c r="R36" s="5">
        <f t="shared" si="4"/>
        <v>1.0125765644280434E-3</v>
      </c>
      <c r="S36" s="5">
        <f t="shared" si="4"/>
        <v>8.9807234095613613E-4</v>
      </c>
      <c r="T36" s="5">
        <f t="shared" si="4"/>
        <v>7.9651648865289228E-4</v>
      </c>
      <c r="U36" s="5">
        <f t="shared" si="4"/>
        <v>7.064447792930309E-4</v>
      </c>
      <c r="V36" s="5">
        <f t="shared" si="4"/>
        <v>6.2655856256588107E-4</v>
      </c>
      <c r="W36" s="5">
        <f t="shared" si="4"/>
        <v>5.5570604218703424E-4</v>
      </c>
      <c r="X36" s="5">
        <f t="shared" si="4"/>
        <v>4.9286566934548495E-4</v>
      </c>
      <c r="Y36" s="5">
        <f t="shared" si="4"/>
        <v>4.3713141405364516E-4</v>
      </c>
      <c r="Z36" s="5">
        <f t="shared" si="4"/>
        <v>3.8769970204314435E-4</v>
      </c>
      <c r="AA36" s="114">
        <f t="shared" si="4"/>
        <v>3.4385782886309913E-4</v>
      </c>
    </row>
    <row r="37" spans="1:27" ht="18.75" x14ac:dyDescent="0.3">
      <c r="B37" t="s">
        <v>27</v>
      </c>
      <c r="C37" s="11">
        <f>SUM(C36:AA36)*1000000</f>
        <v>139098.95558962662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7" ht="16.5" customHeight="1" x14ac:dyDescent="0.25">
      <c r="C38" s="20"/>
    </row>
    <row r="39" spans="1:27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1" spans="1:27" x14ac:dyDescent="0.25">
      <c r="C41" s="10">
        <v>0</v>
      </c>
      <c r="D41" s="10">
        <v>1</v>
      </c>
      <c r="E41" s="10">
        <v>2</v>
      </c>
      <c r="F41" s="10">
        <v>3</v>
      </c>
      <c r="G41" s="10">
        <v>4</v>
      </c>
      <c r="H41" s="13">
        <v>5</v>
      </c>
      <c r="I41" s="10">
        <v>6</v>
      </c>
      <c r="J41" s="10">
        <v>7</v>
      </c>
      <c r="K41" s="10">
        <v>8</v>
      </c>
      <c r="L41" s="10">
        <v>9</v>
      </c>
      <c r="M41" s="10">
        <v>10</v>
      </c>
      <c r="N41" s="10">
        <v>11</v>
      </c>
      <c r="O41" s="10">
        <v>12</v>
      </c>
      <c r="P41" s="10">
        <v>13</v>
      </c>
      <c r="Q41" s="10">
        <v>14</v>
      </c>
      <c r="R41" s="10">
        <v>15</v>
      </c>
      <c r="S41" s="10">
        <v>16</v>
      </c>
      <c r="T41" s="10">
        <v>17</v>
      </c>
      <c r="U41" s="10">
        <v>18</v>
      </c>
      <c r="V41" s="10">
        <v>19</v>
      </c>
      <c r="W41" s="10">
        <v>20</v>
      </c>
      <c r="X41" s="10">
        <v>21</v>
      </c>
      <c r="Y41" s="10">
        <v>22</v>
      </c>
      <c r="Z41" s="10">
        <v>23</v>
      </c>
      <c r="AA41" s="10">
        <v>24</v>
      </c>
    </row>
    <row r="42" spans="1:27" x14ac:dyDescent="0.25">
      <c r="A42" s="10"/>
      <c r="B42" s="12" t="s">
        <v>28</v>
      </c>
      <c r="C42" s="10">
        <v>2019</v>
      </c>
      <c r="D42" s="10">
        <v>2020</v>
      </c>
      <c r="E42" s="10">
        <v>2021</v>
      </c>
      <c r="F42" s="10">
        <v>2022</v>
      </c>
      <c r="G42" s="10">
        <v>2023</v>
      </c>
      <c r="H42" s="13">
        <v>2024</v>
      </c>
      <c r="I42" s="10">
        <v>2025</v>
      </c>
      <c r="J42" s="10">
        <v>2026</v>
      </c>
      <c r="K42" s="10">
        <v>2027</v>
      </c>
      <c r="L42" s="10">
        <v>2028</v>
      </c>
      <c r="M42" s="10">
        <v>2029</v>
      </c>
      <c r="N42" s="10">
        <v>2030</v>
      </c>
      <c r="O42" s="10">
        <v>2031</v>
      </c>
      <c r="P42" s="10">
        <v>2032</v>
      </c>
      <c r="Q42" s="10">
        <v>2033</v>
      </c>
      <c r="R42" s="10">
        <v>2034</v>
      </c>
      <c r="S42" s="10">
        <v>2035</v>
      </c>
      <c r="T42" s="10">
        <v>2036</v>
      </c>
      <c r="U42" s="10">
        <v>2037</v>
      </c>
      <c r="V42" s="10">
        <v>2038</v>
      </c>
      <c r="W42" s="10">
        <v>2039</v>
      </c>
      <c r="X42" s="10">
        <v>2040</v>
      </c>
      <c r="Y42" s="10">
        <v>2041</v>
      </c>
      <c r="Z42" s="10">
        <v>2042</v>
      </c>
      <c r="AA42" s="10">
        <v>2043</v>
      </c>
    </row>
    <row r="43" spans="1:27" x14ac:dyDescent="0.25">
      <c r="A43">
        <v>2024</v>
      </c>
      <c r="B43" s="14" t="s">
        <v>100</v>
      </c>
      <c r="C43" s="5"/>
      <c r="D43" s="5"/>
      <c r="E43" s="5"/>
      <c r="F43" s="5"/>
      <c r="G43" s="5"/>
      <c r="H43" s="22">
        <f>+'Demanda Regional'!V6</f>
        <v>16642862.135767424</v>
      </c>
      <c r="I43" s="22">
        <f>+'Demanda Regional'!W6</f>
        <v>17240091.707256049</v>
      </c>
      <c r="J43" s="22">
        <f>+'Demanda Regional'!X6</f>
        <v>17796677.754187301</v>
      </c>
      <c r="K43" s="22">
        <f>+'Demanda Regional'!Y6</f>
        <v>18878962.180827394</v>
      </c>
      <c r="L43" s="22">
        <f>+'Demanda Regional'!Z6</f>
        <v>19181418.982854713</v>
      </c>
      <c r="M43" s="22">
        <f>+'Demanda Regional'!AA6</f>
        <v>19122023.516034972</v>
      </c>
      <c r="N43" s="22">
        <f>+'Demanda Regional'!AB6</f>
        <v>20601094.004968122</v>
      </c>
      <c r="O43" s="22">
        <f>+'Demanda Regional'!AC6</f>
        <v>20602156.465174776</v>
      </c>
      <c r="P43" s="22">
        <f>+'Demanda Regional'!AD6</f>
        <v>20277697.137023199</v>
      </c>
      <c r="Q43" s="22">
        <f>+'Demanda Regional'!AE6</f>
        <v>21095818.717556946</v>
      </c>
      <c r="R43" s="22">
        <f>+'Demanda Regional'!AF6</f>
        <v>21095818.717556946</v>
      </c>
      <c r="S43" s="22">
        <f>+'Demanda Regional'!AG6</f>
        <v>21095818.717556946</v>
      </c>
      <c r="T43" s="22">
        <f>+'Demanda Regional'!AH6</f>
        <v>21095818.717556946</v>
      </c>
      <c r="U43" s="22">
        <f>+'Demanda Regional'!AI6</f>
        <v>21095818.717556946</v>
      </c>
      <c r="V43" s="22">
        <f>+'Demanda Regional'!AJ6</f>
        <v>21095818.717556946</v>
      </c>
      <c r="W43" s="22">
        <f>+'Demanda Regional'!AK6</f>
        <v>21095818.717556946</v>
      </c>
      <c r="X43" s="22">
        <f>+'Demanda Regional'!AL6</f>
        <v>21095818.717556946</v>
      </c>
      <c r="Y43" s="22">
        <f>+'Demanda Regional'!AM6</f>
        <v>21095818.717556946</v>
      </c>
      <c r="Z43" s="22">
        <f>+'Demanda Regional'!AN6</f>
        <v>21095818.717556946</v>
      </c>
      <c r="AA43" s="22">
        <f>+'Demanda Regional'!AO6</f>
        <v>21095818.717556946</v>
      </c>
    </row>
    <row r="44" spans="1:27" x14ac:dyDescent="0.25">
      <c r="A44">
        <v>2043</v>
      </c>
      <c r="B44" t="s">
        <v>29</v>
      </c>
      <c r="C44" s="5">
        <f>(C43)/(1+$G$2)^C41</f>
        <v>0</v>
      </c>
      <c r="D44" s="5">
        <f t="shared" ref="D44:AA44" si="5">(D43)/(1+$G$2)^D41</f>
        <v>0</v>
      </c>
      <c r="E44" s="5">
        <f t="shared" si="5"/>
        <v>0</v>
      </c>
      <c r="F44" s="5">
        <f t="shared" si="5"/>
        <v>0</v>
      </c>
      <c r="G44" s="5">
        <f t="shared" si="5"/>
        <v>0</v>
      </c>
      <c r="H44" s="5">
        <f>(H43)/(1+$G$2)^H41</f>
        <v>9133668.8730849996</v>
      </c>
      <c r="I44" s="5">
        <f t="shared" si="5"/>
        <v>8391512.9357885923</v>
      </c>
      <c r="J44" s="5">
        <f t="shared" si="5"/>
        <v>7682862.891991985</v>
      </c>
      <c r="K44" s="5">
        <f t="shared" si="5"/>
        <v>7228458.8341474552</v>
      </c>
      <c r="L44" s="5">
        <f t="shared" si="5"/>
        <v>6513760.3591323942</v>
      </c>
      <c r="M44" s="5">
        <f t="shared" si="5"/>
        <v>5759281.9789488101</v>
      </c>
      <c r="N44" s="5">
        <f t="shared" si="5"/>
        <v>5503110.4298277749</v>
      </c>
      <c r="O44" s="5">
        <f t="shared" si="5"/>
        <v>4881059.1944462154</v>
      </c>
      <c r="P44" s="5">
        <f t="shared" si="5"/>
        <v>4260920.9303164603</v>
      </c>
      <c r="Q44" s="5">
        <f t="shared" si="5"/>
        <v>3931557.9107329319</v>
      </c>
      <c r="R44" s="5">
        <f t="shared" si="5"/>
        <v>3486969.3221578118</v>
      </c>
      <c r="S44" s="5">
        <f t="shared" si="5"/>
        <v>3092655.7181000547</v>
      </c>
      <c r="T44" s="5">
        <f t="shared" si="5"/>
        <v>2742931.9007539288</v>
      </c>
      <c r="U44" s="5">
        <f t="shared" si="5"/>
        <v>2432755.5660788724</v>
      </c>
      <c r="V44" s="5">
        <f t="shared" si="5"/>
        <v>2157654.6040610843</v>
      </c>
      <c r="W44" s="5">
        <f t="shared" si="5"/>
        <v>1913662.6200098309</v>
      </c>
      <c r="X44" s="5">
        <f t="shared" si="5"/>
        <v>1697261.7472371007</v>
      </c>
      <c r="Y44" s="5">
        <f t="shared" si="5"/>
        <v>1505331.9265960981</v>
      </c>
      <c r="Z44" s="5">
        <f t="shared" si="5"/>
        <v>1335105.921592992</v>
      </c>
      <c r="AA44" s="5">
        <f t="shared" si="5"/>
        <v>1184129.4204815892</v>
      </c>
    </row>
    <row r="45" spans="1:27" ht="18.75" x14ac:dyDescent="0.3">
      <c r="B45" t="s">
        <v>30</v>
      </c>
      <c r="C45" s="11">
        <f>SUM(H44:AA44)</f>
        <v>84834653.085486993</v>
      </c>
    </row>
    <row r="46" spans="1:27" x14ac:dyDescent="0.25">
      <c r="E46" s="10"/>
    </row>
    <row r="47" spans="1:27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5">
      <c r="B50" s="12" t="s">
        <v>41</v>
      </c>
      <c r="E50" s="10"/>
    </row>
    <row r="51" spans="1:27" x14ac:dyDescent="0.25">
      <c r="B51" s="10" t="s">
        <v>31</v>
      </c>
      <c r="E51" s="10"/>
    </row>
    <row r="52" spans="1:27" ht="18.75" x14ac:dyDescent="0.3">
      <c r="B52" s="10" t="s">
        <v>40</v>
      </c>
      <c r="C52" s="21">
        <f>+C37/C45</f>
        <v>1.6396478388313565E-3</v>
      </c>
      <c r="D52" s="10"/>
      <c r="E52" s="10"/>
    </row>
    <row r="58" spans="1:27" ht="18.75" x14ac:dyDescent="0.3">
      <c r="A58" s="113" t="s">
        <v>93</v>
      </c>
      <c r="C58" s="10">
        <v>0</v>
      </c>
      <c r="D58" s="10">
        <v>1</v>
      </c>
      <c r="E58" s="10">
        <v>2</v>
      </c>
      <c r="F58" s="10">
        <v>3</v>
      </c>
      <c r="G58" s="10">
        <v>4</v>
      </c>
      <c r="H58" s="10">
        <v>5</v>
      </c>
      <c r="I58" s="10">
        <v>6</v>
      </c>
      <c r="J58" s="10">
        <v>7</v>
      </c>
      <c r="K58" s="10">
        <v>8</v>
      </c>
      <c r="L58" s="10">
        <v>9</v>
      </c>
      <c r="M58" s="10">
        <v>10</v>
      </c>
      <c r="N58" s="10">
        <v>11</v>
      </c>
      <c r="O58" s="10">
        <v>12</v>
      </c>
      <c r="P58" s="10">
        <v>13</v>
      </c>
      <c r="Q58" s="10">
        <v>14</v>
      </c>
      <c r="R58" s="10">
        <v>15</v>
      </c>
      <c r="S58" s="10">
        <v>16</v>
      </c>
      <c r="T58" s="10">
        <v>17</v>
      </c>
      <c r="U58" s="10">
        <v>18</v>
      </c>
      <c r="V58" s="10">
        <v>19</v>
      </c>
      <c r="W58" s="10">
        <v>20</v>
      </c>
      <c r="X58" s="10">
        <v>21</v>
      </c>
      <c r="Y58" s="10">
        <v>22</v>
      </c>
      <c r="Z58" s="10">
        <v>23</v>
      </c>
      <c r="AA58" s="10">
        <v>24</v>
      </c>
    </row>
    <row r="59" spans="1:27" x14ac:dyDescent="0.25">
      <c r="B59" s="12" t="s">
        <v>124</v>
      </c>
      <c r="C59" s="10">
        <v>2019</v>
      </c>
      <c r="D59" s="10">
        <v>2020</v>
      </c>
      <c r="E59" s="10">
        <v>2021</v>
      </c>
      <c r="F59" s="10">
        <v>2022</v>
      </c>
      <c r="G59" s="10">
        <v>2023</v>
      </c>
      <c r="H59" s="10">
        <v>2024</v>
      </c>
      <c r="I59" s="10">
        <v>2025</v>
      </c>
      <c r="J59" s="10">
        <v>2026</v>
      </c>
      <c r="K59" s="10">
        <v>2027</v>
      </c>
      <c r="L59" s="10">
        <v>2028</v>
      </c>
      <c r="M59" s="10">
        <v>2029</v>
      </c>
      <c r="N59" s="10">
        <v>2030</v>
      </c>
      <c r="O59" s="10">
        <v>2031</v>
      </c>
      <c r="P59" s="10">
        <v>2032</v>
      </c>
      <c r="Q59" s="10">
        <v>2033</v>
      </c>
      <c r="R59" s="10">
        <v>2034</v>
      </c>
      <c r="S59" s="10">
        <v>2035</v>
      </c>
      <c r="T59" s="10">
        <v>2036</v>
      </c>
      <c r="U59" s="10">
        <v>2037</v>
      </c>
      <c r="V59" s="10">
        <v>2038</v>
      </c>
      <c r="W59" s="10">
        <v>2039</v>
      </c>
      <c r="X59" s="10">
        <v>2040</v>
      </c>
      <c r="Y59" s="10">
        <v>2041</v>
      </c>
      <c r="Z59" s="10">
        <v>2042</v>
      </c>
      <c r="AA59" s="10">
        <v>2043</v>
      </c>
    </row>
    <row r="60" spans="1:27" x14ac:dyDescent="0.25">
      <c r="B60" t="s">
        <v>24</v>
      </c>
      <c r="H60" s="22">
        <f>+H7*'%  Planta'!F2</f>
        <v>0.89462830202303767</v>
      </c>
    </row>
    <row r="61" spans="1:27" x14ac:dyDescent="0.25">
      <c r="B61" t="s">
        <v>25</v>
      </c>
      <c r="C61" s="5"/>
      <c r="D61" s="5"/>
      <c r="E61" s="5"/>
      <c r="F61" s="5"/>
      <c r="G61" s="5"/>
      <c r="H61" s="24">
        <f>+$H$60*$D$2</f>
        <v>2.6838849060691131E-2</v>
      </c>
      <c r="I61" s="24">
        <f t="shared" ref="I61:AA61" si="6">+$H$60*$D$2</f>
        <v>2.6838849060691131E-2</v>
      </c>
      <c r="J61" s="24">
        <f t="shared" si="6"/>
        <v>2.6838849060691131E-2</v>
      </c>
      <c r="K61" s="24">
        <f t="shared" si="6"/>
        <v>2.6838849060691131E-2</v>
      </c>
      <c r="L61" s="24">
        <f t="shared" si="6"/>
        <v>2.6838849060691131E-2</v>
      </c>
      <c r="M61" s="24">
        <f t="shared" si="6"/>
        <v>2.6838849060691131E-2</v>
      </c>
      <c r="N61" s="24">
        <f t="shared" si="6"/>
        <v>2.6838849060691131E-2</v>
      </c>
      <c r="O61" s="24">
        <f t="shared" si="6"/>
        <v>2.6838849060691131E-2</v>
      </c>
      <c r="P61" s="24">
        <f t="shared" si="6"/>
        <v>2.6838849060691131E-2</v>
      </c>
      <c r="Q61" s="24">
        <f t="shared" si="6"/>
        <v>2.6838849060691131E-2</v>
      </c>
      <c r="R61" s="24">
        <f t="shared" si="6"/>
        <v>2.6838849060691131E-2</v>
      </c>
      <c r="S61" s="24">
        <f t="shared" si="6"/>
        <v>2.6838849060691131E-2</v>
      </c>
      <c r="T61" s="24">
        <f t="shared" si="6"/>
        <v>2.6838849060691131E-2</v>
      </c>
      <c r="U61" s="24">
        <f t="shared" si="6"/>
        <v>2.6838849060691131E-2</v>
      </c>
      <c r="V61" s="24">
        <f t="shared" si="6"/>
        <v>2.6838849060691131E-2</v>
      </c>
      <c r="W61" s="24">
        <f t="shared" si="6"/>
        <v>2.6838849060691131E-2</v>
      </c>
      <c r="X61" s="24">
        <f t="shared" si="6"/>
        <v>2.6838849060691131E-2</v>
      </c>
      <c r="Y61" s="24">
        <f t="shared" si="6"/>
        <v>2.6838849060691131E-2</v>
      </c>
      <c r="Z61" s="24">
        <f t="shared" si="6"/>
        <v>2.6838849060691131E-2</v>
      </c>
      <c r="AA61" s="24">
        <f t="shared" si="6"/>
        <v>2.6838849060691131E-2</v>
      </c>
    </row>
    <row r="62" spans="1:27" x14ac:dyDescent="0.25">
      <c r="B62" s="20"/>
      <c r="C62" s="5">
        <f>+C61+C60</f>
        <v>0</v>
      </c>
      <c r="D62" s="5">
        <f t="shared" ref="D62:AA62" si="7">+D61+D60</f>
        <v>0</v>
      </c>
      <c r="E62" s="5">
        <f t="shared" si="7"/>
        <v>0</v>
      </c>
      <c r="F62" s="5">
        <f t="shared" si="7"/>
        <v>0</v>
      </c>
      <c r="G62" s="5">
        <f t="shared" si="7"/>
        <v>0</v>
      </c>
      <c r="H62" s="5">
        <f>+H61+H60</f>
        <v>0.92146715108372879</v>
      </c>
      <c r="I62" s="5">
        <f t="shared" si="7"/>
        <v>2.6838849060691131E-2</v>
      </c>
      <c r="J62" s="5">
        <f t="shared" si="7"/>
        <v>2.6838849060691131E-2</v>
      </c>
      <c r="K62" s="5">
        <f t="shared" si="7"/>
        <v>2.6838849060691131E-2</v>
      </c>
      <c r="L62" s="5">
        <f t="shared" si="7"/>
        <v>2.6838849060691131E-2</v>
      </c>
      <c r="M62" s="5">
        <f t="shared" si="7"/>
        <v>2.6838849060691131E-2</v>
      </c>
      <c r="N62" s="5">
        <f t="shared" si="7"/>
        <v>2.6838849060691131E-2</v>
      </c>
      <c r="O62" s="5">
        <f t="shared" si="7"/>
        <v>2.6838849060691131E-2</v>
      </c>
      <c r="P62" s="5">
        <f t="shared" si="7"/>
        <v>2.6838849060691131E-2</v>
      </c>
      <c r="Q62" s="5">
        <f t="shared" si="7"/>
        <v>2.6838849060691131E-2</v>
      </c>
      <c r="R62" s="5">
        <f t="shared" si="7"/>
        <v>2.6838849060691131E-2</v>
      </c>
      <c r="S62" s="5">
        <f t="shared" si="7"/>
        <v>2.6838849060691131E-2</v>
      </c>
      <c r="T62" s="5">
        <f t="shared" si="7"/>
        <v>2.6838849060691131E-2</v>
      </c>
      <c r="U62" s="5">
        <f t="shared" si="7"/>
        <v>2.6838849060691131E-2</v>
      </c>
      <c r="V62" s="5">
        <f t="shared" si="7"/>
        <v>2.6838849060691131E-2</v>
      </c>
      <c r="W62" s="5">
        <f t="shared" si="7"/>
        <v>2.6838849060691131E-2</v>
      </c>
      <c r="X62" s="5">
        <f t="shared" si="7"/>
        <v>2.6838849060691131E-2</v>
      </c>
      <c r="Y62" s="5">
        <f t="shared" si="7"/>
        <v>2.6838849060691131E-2</v>
      </c>
      <c r="Z62" s="5">
        <f t="shared" si="7"/>
        <v>2.6838849060691131E-2</v>
      </c>
      <c r="AA62" s="5">
        <f t="shared" si="7"/>
        <v>2.6838849060691131E-2</v>
      </c>
    </row>
    <row r="63" spans="1:27" x14ac:dyDescent="0.25">
      <c r="B63" t="s">
        <v>26</v>
      </c>
      <c r="C63" s="5">
        <f t="shared" ref="C63:AA63" si="8">(C61/(1+$G$2)^C58)+(C60/(1+$G$2)^C58)</f>
        <v>0</v>
      </c>
      <c r="D63" s="5">
        <f t="shared" si="8"/>
        <v>0</v>
      </c>
      <c r="E63" s="5">
        <f t="shared" si="8"/>
        <v>0</v>
      </c>
      <c r="F63" s="5">
        <f t="shared" si="8"/>
        <v>0</v>
      </c>
      <c r="G63" s="5">
        <f t="shared" si="8"/>
        <v>0</v>
      </c>
      <c r="H63" s="5">
        <f t="shared" si="8"/>
        <v>0.50570483410638889</v>
      </c>
      <c r="I63" s="5">
        <f t="shared" si="8"/>
        <v>1.3063651452600836E-2</v>
      </c>
      <c r="J63" s="5">
        <f t="shared" si="8"/>
        <v>1.158638709765041E-2</v>
      </c>
      <c r="K63" s="5">
        <f t="shared" si="8"/>
        <v>1.027617480944604E-2</v>
      </c>
      <c r="L63" s="5">
        <f t="shared" si="8"/>
        <v>9.1141239995086842E-3</v>
      </c>
      <c r="M63" s="5">
        <f t="shared" si="8"/>
        <v>8.0834802656396306E-3</v>
      </c>
      <c r="N63" s="5">
        <f t="shared" si="8"/>
        <v>7.1693838276182982E-3</v>
      </c>
      <c r="O63" s="5">
        <f t="shared" si="8"/>
        <v>6.3586552794840778E-3</v>
      </c>
      <c r="P63" s="5">
        <f t="shared" si="8"/>
        <v>5.639605569387209E-3</v>
      </c>
      <c r="Q63" s="5">
        <f t="shared" si="8"/>
        <v>5.0018674673057281E-3</v>
      </c>
      <c r="R63" s="5">
        <f t="shared" si="8"/>
        <v>4.4362460907367883E-3</v>
      </c>
      <c r="S63" s="5">
        <f t="shared" si="8"/>
        <v>3.9345863332477058E-3</v>
      </c>
      <c r="T63" s="5">
        <f t="shared" si="8"/>
        <v>3.4896552844769012E-3</v>
      </c>
      <c r="U63" s="5">
        <f t="shared" si="8"/>
        <v>3.0950379463209766E-3</v>
      </c>
      <c r="V63" s="5">
        <f t="shared" si="8"/>
        <v>2.7450447417480947E-3</v>
      </c>
      <c r="W63" s="5">
        <f t="shared" si="8"/>
        <v>2.43462948270341E-3</v>
      </c>
      <c r="X63" s="5">
        <f t="shared" si="8"/>
        <v>2.1593166143710953E-3</v>
      </c>
      <c r="Y63" s="5">
        <f t="shared" si="8"/>
        <v>1.9151366868036322E-3</v>
      </c>
      <c r="Z63" s="5">
        <f t="shared" si="8"/>
        <v>1.6985691235508937E-3</v>
      </c>
      <c r="AA63" s="5">
        <f t="shared" si="8"/>
        <v>1.5064914621293955E-3</v>
      </c>
    </row>
    <row r="64" spans="1:27" ht="18.75" x14ac:dyDescent="0.3">
      <c r="B64" t="s">
        <v>27</v>
      </c>
      <c r="C64" s="11">
        <f>SUM(C63:AA63)*1000000</f>
        <v>609412.87764111883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8" x14ac:dyDescent="0.25">
      <c r="C65" s="20"/>
    </row>
    <row r="66" spans="1:28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8" spans="1:28" x14ac:dyDescent="0.25">
      <c r="C68" s="10">
        <v>0</v>
      </c>
      <c r="D68" s="10">
        <v>1</v>
      </c>
      <c r="E68" s="10">
        <v>2</v>
      </c>
      <c r="F68" s="10">
        <v>3</v>
      </c>
      <c r="G68" s="10">
        <v>4</v>
      </c>
      <c r="H68" s="13">
        <v>5</v>
      </c>
      <c r="I68" s="10">
        <v>6</v>
      </c>
      <c r="J68" s="10">
        <v>7</v>
      </c>
      <c r="K68" s="10">
        <v>8</v>
      </c>
      <c r="L68" s="10">
        <v>9</v>
      </c>
      <c r="M68" s="10">
        <v>10</v>
      </c>
      <c r="N68" s="10">
        <v>11</v>
      </c>
      <c r="O68" s="10">
        <v>12</v>
      </c>
      <c r="P68" s="10">
        <v>13</v>
      </c>
      <c r="Q68" s="10">
        <v>14</v>
      </c>
      <c r="R68" s="10">
        <v>15</v>
      </c>
      <c r="S68" s="10">
        <v>16</v>
      </c>
      <c r="T68" s="10">
        <v>17</v>
      </c>
      <c r="U68" s="10">
        <v>18</v>
      </c>
      <c r="V68" s="10">
        <v>19</v>
      </c>
      <c r="W68" s="10">
        <v>20</v>
      </c>
      <c r="X68" s="10">
        <v>21</v>
      </c>
      <c r="Y68" s="10">
        <v>22</v>
      </c>
      <c r="Z68" s="10">
        <v>23</v>
      </c>
      <c r="AA68" s="10">
        <v>24</v>
      </c>
    </row>
    <row r="69" spans="1:28" x14ac:dyDescent="0.25">
      <c r="B69" s="12" t="s">
        <v>28</v>
      </c>
      <c r="C69" s="10">
        <v>2019</v>
      </c>
      <c r="D69" s="10">
        <v>2020</v>
      </c>
      <c r="E69" s="10">
        <v>2021</v>
      </c>
      <c r="F69" s="10">
        <v>2022</v>
      </c>
      <c r="G69" s="10">
        <v>2023</v>
      </c>
      <c r="H69" s="13">
        <v>2024</v>
      </c>
      <c r="I69" s="10">
        <v>2025</v>
      </c>
      <c r="J69" s="10">
        <v>2026</v>
      </c>
      <c r="K69" s="10">
        <v>2027</v>
      </c>
      <c r="L69" s="10">
        <v>2028</v>
      </c>
      <c r="M69" s="10">
        <v>2029</v>
      </c>
      <c r="N69" s="10">
        <v>2030</v>
      </c>
      <c r="O69" s="10">
        <v>2031</v>
      </c>
      <c r="P69" s="10">
        <v>2032</v>
      </c>
      <c r="Q69" s="10">
        <v>2033</v>
      </c>
      <c r="R69" s="10">
        <v>2034</v>
      </c>
      <c r="S69" s="10">
        <v>2035</v>
      </c>
      <c r="T69" s="10">
        <v>2036</v>
      </c>
      <c r="U69" s="10">
        <v>2037</v>
      </c>
      <c r="V69" s="10">
        <v>2038</v>
      </c>
      <c r="W69" s="10">
        <v>2039</v>
      </c>
      <c r="X69" s="10">
        <v>2040</v>
      </c>
      <c r="Y69" s="10">
        <v>2041</v>
      </c>
      <c r="Z69" s="10">
        <v>2042</v>
      </c>
      <c r="AA69" s="10">
        <v>2043</v>
      </c>
    </row>
    <row r="70" spans="1:28" x14ac:dyDescent="0.25">
      <c r="B70" s="14" t="s">
        <v>100</v>
      </c>
      <c r="C70" s="5"/>
      <c r="D70" s="5">
        <v>0</v>
      </c>
      <c r="E70" s="5">
        <v>0</v>
      </c>
      <c r="F70" s="5">
        <v>0</v>
      </c>
      <c r="G70" s="5">
        <v>0</v>
      </c>
      <c r="H70" s="23">
        <f>+'Demanda Regional'!V24</f>
        <v>16642862.135767424</v>
      </c>
      <c r="I70" s="23">
        <f>+'Demanda Regional'!W24</f>
        <v>17240091.707256049</v>
      </c>
      <c r="J70" s="23">
        <f>+'Demanda Regional'!X24</f>
        <v>17796677.754187301</v>
      </c>
      <c r="K70" s="23">
        <f>+'Demanda Regional'!Y24</f>
        <v>18878962.180827394</v>
      </c>
      <c r="L70" s="23">
        <f>+'Demanda Regional'!Z24</f>
        <v>19181418.982854713</v>
      </c>
      <c r="M70" s="23">
        <f>+'Demanda Regional'!AA24</f>
        <v>19122023.516034972</v>
      </c>
      <c r="N70" s="23">
        <f>+'Demanda Regional'!AB24</f>
        <v>20601094.004968122</v>
      </c>
      <c r="O70" s="23">
        <f>+'Demanda Regional'!AC24</f>
        <v>20602156.465174776</v>
      </c>
      <c r="P70" s="23">
        <f>+'Demanda Regional'!AD24</f>
        <v>20277697.137023199</v>
      </c>
      <c r="Q70" s="23">
        <f>+'Demanda Regional'!AE24</f>
        <v>21095818.717556946</v>
      </c>
      <c r="R70" s="23">
        <f>+'Demanda Regional'!AF24</f>
        <v>21095818.717556946</v>
      </c>
      <c r="S70" s="23">
        <f>+'Demanda Regional'!AG24</f>
        <v>21095818.717556946</v>
      </c>
      <c r="T70" s="23">
        <f>+'Demanda Regional'!AH24</f>
        <v>21095818.717556946</v>
      </c>
      <c r="U70" s="23">
        <f>+'Demanda Regional'!AI24</f>
        <v>21095818.717556946</v>
      </c>
      <c r="V70" s="23">
        <f>+'Demanda Regional'!AJ24</f>
        <v>21095818.717556946</v>
      </c>
      <c r="W70" s="23">
        <f>+'Demanda Regional'!AK24</f>
        <v>21095818.717556946</v>
      </c>
      <c r="X70" s="23">
        <f>+'Demanda Regional'!AL24</f>
        <v>21095818.717556946</v>
      </c>
      <c r="Y70" s="23">
        <f>+'Demanda Regional'!AM24</f>
        <v>21095818.717556946</v>
      </c>
      <c r="Z70" s="23">
        <f>+'Demanda Regional'!AN24</f>
        <v>21095818.717556946</v>
      </c>
      <c r="AA70" s="23">
        <f>+'Demanda Regional'!AO24</f>
        <v>21095818.717556946</v>
      </c>
      <c r="AB70" s="125"/>
    </row>
    <row r="71" spans="1:28" x14ac:dyDescent="0.25">
      <c r="B71" t="s">
        <v>29</v>
      </c>
      <c r="C71" s="5">
        <f>(C70)/(1+$G$2)^C68</f>
        <v>0</v>
      </c>
      <c r="D71" s="5">
        <v>0</v>
      </c>
      <c r="E71" s="5">
        <v>0</v>
      </c>
      <c r="F71" s="5">
        <v>0</v>
      </c>
      <c r="G71" s="5">
        <v>0</v>
      </c>
      <c r="H71" s="5">
        <f t="shared" ref="H71:AA71" si="9">(H70)/(1+$G$2)^H68</f>
        <v>9133668.8730849996</v>
      </c>
      <c r="I71" s="5">
        <f t="shared" si="9"/>
        <v>8391512.9357885923</v>
      </c>
      <c r="J71" s="5">
        <f t="shared" si="9"/>
        <v>7682862.891991985</v>
      </c>
      <c r="K71" s="5">
        <f t="shared" si="9"/>
        <v>7228458.8341474552</v>
      </c>
      <c r="L71" s="5">
        <f t="shared" si="9"/>
        <v>6513760.3591323942</v>
      </c>
      <c r="M71" s="5">
        <f t="shared" si="9"/>
        <v>5759281.9789488101</v>
      </c>
      <c r="N71" s="5">
        <f t="shared" si="9"/>
        <v>5503110.4298277749</v>
      </c>
      <c r="O71" s="5">
        <f t="shared" si="9"/>
        <v>4881059.1944462154</v>
      </c>
      <c r="P71" s="5">
        <f t="shared" si="9"/>
        <v>4260920.9303164603</v>
      </c>
      <c r="Q71" s="5">
        <f t="shared" si="9"/>
        <v>3931557.9107329319</v>
      </c>
      <c r="R71" s="5">
        <f t="shared" si="9"/>
        <v>3486969.3221578118</v>
      </c>
      <c r="S71" s="5">
        <f t="shared" si="9"/>
        <v>3092655.7181000547</v>
      </c>
      <c r="T71" s="5">
        <f t="shared" si="9"/>
        <v>2742931.9007539288</v>
      </c>
      <c r="U71" s="5">
        <f t="shared" si="9"/>
        <v>2432755.5660788724</v>
      </c>
      <c r="V71" s="5">
        <f t="shared" si="9"/>
        <v>2157654.6040610843</v>
      </c>
      <c r="W71" s="5">
        <f t="shared" si="9"/>
        <v>1913662.6200098309</v>
      </c>
      <c r="X71" s="5">
        <f t="shared" si="9"/>
        <v>1697261.7472371007</v>
      </c>
      <c r="Y71" s="5">
        <f t="shared" si="9"/>
        <v>1505331.9265960981</v>
      </c>
      <c r="Z71" s="5">
        <f t="shared" si="9"/>
        <v>1335105.921592992</v>
      </c>
      <c r="AA71" s="5">
        <f t="shared" si="9"/>
        <v>1184129.4204815892</v>
      </c>
    </row>
    <row r="72" spans="1:28" ht="18.75" x14ac:dyDescent="0.3">
      <c r="B72" t="s">
        <v>30</v>
      </c>
      <c r="C72" s="11">
        <f>SUM(C71:AA71)</f>
        <v>84834653.085486993</v>
      </c>
    </row>
    <row r="75" spans="1:28" x14ac:dyDescent="0.25">
      <c r="B75" s="12" t="s">
        <v>41</v>
      </c>
    </row>
    <row r="76" spans="1:28" x14ac:dyDescent="0.25">
      <c r="B76" s="10" t="s">
        <v>31</v>
      </c>
    </row>
    <row r="77" spans="1:28" ht="18.75" x14ac:dyDescent="0.3">
      <c r="B77" s="10" t="s">
        <v>40</v>
      </c>
      <c r="C77" s="115">
        <f>+C64/C72</f>
        <v>7.1835370980655724E-3</v>
      </c>
    </row>
    <row r="80" spans="1:28" ht="18.75" x14ac:dyDescent="0.3">
      <c r="A80" s="113" t="s">
        <v>94</v>
      </c>
    </row>
    <row r="81" spans="1:27" ht="18.75" x14ac:dyDescent="0.3">
      <c r="A81" s="113"/>
      <c r="C81" s="10">
        <v>0</v>
      </c>
      <c r="D81" s="10">
        <v>1</v>
      </c>
      <c r="E81" s="10">
        <v>2</v>
      </c>
      <c r="F81" s="10">
        <v>3</v>
      </c>
      <c r="G81" s="10">
        <v>4</v>
      </c>
      <c r="H81" s="10">
        <v>5</v>
      </c>
      <c r="I81" s="10">
        <v>6</v>
      </c>
      <c r="J81" s="10">
        <v>7</v>
      </c>
      <c r="K81" s="10">
        <v>8</v>
      </c>
      <c r="L81" s="10">
        <v>9</v>
      </c>
      <c r="M81" s="10">
        <v>10</v>
      </c>
      <c r="N81" s="10">
        <v>11</v>
      </c>
      <c r="O81" s="10">
        <v>12</v>
      </c>
      <c r="P81" s="10">
        <v>13</v>
      </c>
      <c r="Q81" s="10">
        <v>14</v>
      </c>
      <c r="R81" s="10">
        <v>15</v>
      </c>
      <c r="S81" s="10">
        <v>16</v>
      </c>
      <c r="T81" s="10">
        <v>17</v>
      </c>
      <c r="U81" s="10">
        <v>18</v>
      </c>
      <c r="V81" s="10">
        <v>19</v>
      </c>
      <c r="W81" s="10">
        <v>20</v>
      </c>
      <c r="X81" s="10">
        <v>21</v>
      </c>
      <c r="Y81" s="10">
        <v>22</v>
      </c>
      <c r="Z81" s="10">
        <v>23</v>
      </c>
      <c r="AA81" s="10">
        <v>24</v>
      </c>
    </row>
    <row r="82" spans="1:27" x14ac:dyDescent="0.25">
      <c r="B82" s="12" t="s">
        <v>124</v>
      </c>
      <c r="C82" s="10">
        <v>2019</v>
      </c>
      <c r="D82" s="10">
        <v>2020</v>
      </c>
      <c r="E82" s="10">
        <v>2021</v>
      </c>
      <c r="F82" s="10">
        <v>2022</v>
      </c>
      <c r="G82" s="10">
        <v>2023</v>
      </c>
      <c r="H82" s="10">
        <v>2024</v>
      </c>
      <c r="I82" s="10">
        <v>2025</v>
      </c>
      <c r="J82" s="10">
        <v>2026</v>
      </c>
      <c r="K82" s="10">
        <v>2027</v>
      </c>
      <c r="L82" s="10">
        <v>2028</v>
      </c>
      <c r="M82" s="10">
        <v>2029</v>
      </c>
      <c r="N82" s="10">
        <v>2030</v>
      </c>
      <c r="O82" s="10">
        <v>2031</v>
      </c>
      <c r="P82" s="10">
        <v>2032</v>
      </c>
      <c r="Q82" s="10">
        <v>2033</v>
      </c>
      <c r="R82" s="10">
        <v>2034</v>
      </c>
      <c r="S82" s="10">
        <v>2035</v>
      </c>
      <c r="T82" s="10">
        <v>2036</v>
      </c>
      <c r="U82" s="10">
        <v>2037</v>
      </c>
      <c r="V82" s="10">
        <v>2038</v>
      </c>
      <c r="W82" s="10">
        <v>2039</v>
      </c>
      <c r="X82" s="10">
        <v>2040</v>
      </c>
      <c r="Y82" s="10">
        <v>2041</v>
      </c>
      <c r="Z82" s="10">
        <v>2042</v>
      </c>
      <c r="AA82" s="10">
        <v>2043</v>
      </c>
    </row>
    <row r="83" spans="1:27" x14ac:dyDescent="0.25">
      <c r="B83" t="s">
        <v>24</v>
      </c>
      <c r="H83" s="22">
        <f>+H34*'%  Planta'!F2</f>
        <v>0.1327297363769295</v>
      </c>
    </row>
    <row r="84" spans="1:27" x14ac:dyDescent="0.25">
      <c r="B84" t="s">
        <v>25</v>
      </c>
      <c r="C84" s="5"/>
      <c r="D84" s="5"/>
      <c r="E84" s="5"/>
      <c r="F84" s="5"/>
      <c r="G84" s="5"/>
      <c r="H84" s="24">
        <f>+$H$83*$D$2</f>
        <v>3.9818920913078848E-3</v>
      </c>
      <c r="I84" s="126">
        <f t="shared" ref="I84:AA84" si="10">+$H$83*$D$2</f>
        <v>3.9818920913078848E-3</v>
      </c>
      <c r="J84" s="24">
        <f t="shared" si="10"/>
        <v>3.9818920913078848E-3</v>
      </c>
      <c r="K84" s="24">
        <f t="shared" si="10"/>
        <v>3.9818920913078848E-3</v>
      </c>
      <c r="L84" s="24">
        <f t="shared" si="10"/>
        <v>3.9818920913078848E-3</v>
      </c>
      <c r="M84" s="24">
        <f t="shared" si="10"/>
        <v>3.9818920913078848E-3</v>
      </c>
      <c r="N84" s="24">
        <f t="shared" si="10"/>
        <v>3.9818920913078848E-3</v>
      </c>
      <c r="O84" s="24">
        <f t="shared" si="10"/>
        <v>3.9818920913078848E-3</v>
      </c>
      <c r="P84" s="24">
        <f t="shared" si="10"/>
        <v>3.9818920913078848E-3</v>
      </c>
      <c r="Q84" s="24">
        <f t="shared" si="10"/>
        <v>3.9818920913078848E-3</v>
      </c>
      <c r="R84" s="24">
        <f t="shared" si="10"/>
        <v>3.9818920913078848E-3</v>
      </c>
      <c r="S84" s="24">
        <f t="shared" si="10"/>
        <v>3.9818920913078848E-3</v>
      </c>
      <c r="T84" s="24">
        <f t="shared" si="10"/>
        <v>3.9818920913078848E-3</v>
      </c>
      <c r="U84" s="24">
        <f t="shared" si="10"/>
        <v>3.9818920913078848E-3</v>
      </c>
      <c r="V84" s="24">
        <f t="shared" si="10"/>
        <v>3.9818920913078848E-3</v>
      </c>
      <c r="W84" s="24">
        <f t="shared" si="10"/>
        <v>3.9818920913078848E-3</v>
      </c>
      <c r="X84" s="24">
        <f t="shared" si="10"/>
        <v>3.9818920913078848E-3</v>
      </c>
      <c r="Y84" s="24">
        <f t="shared" si="10"/>
        <v>3.9818920913078848E-3</v>
      </c>
      <c r="Z84" s="24">
        <f t="shared" si="10"/>
        <v>3.9818920913078848E-3</v>
      </c>
      <c r="AA84" s="24">
        <f t="shared" si="10"/>
        <v>3.9818920913078848E-3</v>
      </c>
    </row>
    <row r="85" spans="1:27" x14ac:dyDescent="0.25">
      <c r="B85" s="20"/>
      <c r="C85" s="5">
        <f>+C84+C83</f>
        <v>0</v>
      </c>
      <c r="D85" s="5">
        <f t="shared" ref="D85:G85" si="11">+D84+D83</f>
        <v>0</v>
      </c>
      <c r="E85" s="5">
        <f t="shared" si="11"/>
        <v>0</v>
      </c>
      <c r="F85" s="5">
        <f t="shared" si="11"/>
        <v>0</v>
      </c>
      <c r="G85" s="5">
        <f t="shared" si="11"/>
        <v>0</v>
      </c>
      <c r="H85" s="5">
        <f>+H84+H83</f>
        <v>0.1367116284682374</v>
      </c>
      <c r="I85" s="5">
        <f t="shared" ref="I85:AA85" si="12">+I84+I83</f>
        <v>3.9818920913078848E-3</v>
      </c>
      <c r="J85" s="5">
        <f t="shared" si="12"/>
        <v>3.9818920913078848E-3</v>
      </c>
      <c r="K85" s="5">
        <f t="shared" si="12"/>
        <v>3.9818920913078848E-3</v>
      </c>
      <c r="L85" s="5">
        <f t="shared" si="12"/>
        <v>3.9818920913078848E-3</v>
      </c>
      <c r="M85" s="5">
        <f t="shared" si="12"/>
        <v>3.9818920913078848E-3</v>
      </c>
      <c r="N85" s="5">
        <f t="shared" si="12"/>
        <v>3.9818920913078848E-3</v>
      </c>
      <c r="O85" s="5">
        <f t="shared" si="12"/>
        <v>3.9818920913078848E-3</v>
      </c>
      <c r="P85" s="5">
        <f t="shared" si="12"/>
        <v>3.9818920913078848E-3</v>
      </c>
      <c r="Q85" s="5">
        <f t="shared" si="12"/>
        <v>3.9818920913078848E-3</v>
      </c>
      <c r="R85" s="5">
        <f t="shared" si="12"/>
        <v>3.9818920913078848E-3</v>
      </c>
      <c r="S85" s="5">
        <f t="shared" si="12"/>
        <v>3.9818920913078848E-3</v>
      </c>
      <c r="T85" s="5">
        <f t="shared" si="12"/>
        <v>3.9818920913078848E-3</v>
      </c>
      <c r="U85" s="5">
        <f t="shared" si="12"/>
        <v>3.9818920913078848E-3</v>
      </c>
      <c r="V85" s="5">
        <f t="shared" si="12"/>
        <v>3.9818920913078848E-3</v>
      </c>
      <c r="W85" s="5">
        <f t="shared" si="12"/>
        <v>3.9818920913078848E-3</v>
      </c>
      <c r="X85" s="5">
        <f t="shared" si="12"/>
        <v>3.9818920913078848E-3</v>
      </c>
      <c r="Y85" s="5">
        <f t="shared" si="12"/>
        <v>3.9818920913078848E-3</v>
      </c>
      <c r="Z85" s="5">
        <f t="shared" si="12"/>
        <v>3.9818920913078848E-3</v>
      </c>
      <c r="AA85" s="5">
        <f t="shared" si="12"/>
        <v>3.9818920913078848E-3</v>
      </c>
    </row>
    <row r="86" spans="1:27" x14ac:dyDescent="0.25">
      <c r="B86" t="s">
        <v>26</v>
      </c>
      <c r="C86" s="5">
        <f t="shared" ref="C86:AA86" si="13">(C84/(1+$G$2)^C81)+(C83/(1+$G$2)^C81)</f>
        <v>0</v>
      </c>
      <c r="D86" s="5">
        <f t="shared" si="13"/>
        <v>0</v>
      </c>
      <c r="E86" s="5">
        <f t="shared" si="13"/>
        <v>0</v>
      </c>
      <c r="F86" s="5">
        <f t="shared" si="13"/>
        <v>0</v>
      </c>
      <c r="G86" s="5">
        <f t="shared" si="13"/>
        <v>0</v>
      </c>
      <c r="H86" s="5">
        <f t="shared" si="13"/>
        <v>7.5027884948079132E-2</v>
      </c>
      <c r="I86" s="5">
        <f t="shared" si="13"/>
        <v>1.9381624854733807E-3</v>
      </c>
      <c r="J86" s="5">
        <f t="shared" si="13"/>
        <v>1.7189911179364798E-3</v>
      </c>
      <c r="K86" s="5">
        <f t="shared" si="13"/>
        <v>1.5246040957308023E-3</v>
      </c>
      <c r="L86" s="5">
        <f t="shared" si="13"/>
        <v>1.352198754528428E-3</v>
      </c>
      <c r="M86" s="5">
        <f t="shared" si="13"/>
        <v>1.1992893610008229E-3</v>
      </c>
      <c r="N86" s="5">
        <f t="shared" si="13"/>
        <v>1.0636712736149206E-3</v>
      </c>
      <c r="O86" s="5">
        <f t="shared" si="13"/>
        <v>9.4338915619948606E-4</v>
      </c>
      <c r="P86" s="5">
        <f t="shared" si="13"/>
        <v>8.3670878598624053E-4</v>
      </c>
      <c r="Q86" s="5">
        <f t="shared" si="13"/>
        <v>7.4209204965520223E-4</v>
      </c>
      <c r="R86" s="5">
        <f t="shared" si="13"/>
        <v>6.5817476687822821E-4</v>
      </c>
      <c r="S86" s="5">
        <f t="shared" si="13"/>
        <v>5.8374702162148847E-4</v>
      </c>
      <c r="T86" s="5">
        <f t="shared" si="13"/>
        <v>5.1773571762438002E-4</v>
      </c>
      <c r="U86" s="5">
        <f t="shared" si="13"/>
        <v>4.5918910654047006E-4</v>
      </c>
      <c r="V86" s="5">
        <f t="shared" si="13"/>
        <v>4.0726306566782268E-4</v>
      </c>
      <c r="W86" s="5">
        <f t="shared" si="13"/>
        <v>3.6120892742157223E-4</v>
      </c>
      <c r="X86" s="5">
        <f t="shared" si="13"/>
        <v>3.203626850745652E-4</v>
      </c>
      <c r="Y86" s="5">
        <f t="shared" si="13"/>
        <v>2.8413541913486937E-4</v>
      </c>
      <c r="Z86" s="5">
        <f t="shared" si="13"/>
        <v>2.5200480632804378E-4</v>
      </c>
      <c r="AA86" s="5">
        <f t="shared" si="13"/>
        <v>2.2350758876101443E-4</v>
      </c>
    </row>
    <row r="87" spans="1:27" ht="18.75" x14ac:dyDescent="0.3">
      <c r="B87" t="s">
        <v>27</v>
      </c>
      <c r="C87" s="11">
        <f>SUM(C86:AA86)*1000000</f>
        <v>90414.321133257341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7" x14ac:dyDescent="0.25">
      <c r="C88" s="20"/>
    </row>
    <row r="89" spans="1:27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1" spans="1:27" x14ac:dyDescent="0.25">
      <c r="C91" s="10">
        <v>0</v>
      </c>
      <c r="D91" s="10">
        <v>1</v>
      </c>
      <c r="E91" s="10">
        <v>2</v>
      </c>
      <c r="F91" s="10">
        <v>3</v>
      </c>
      <c r="G91" s="10">
        <v>4</v>
      </c>
      <c r="H91" s="13">
        <v>5</v>
      </c>
      <c r="I91" s="10">
        <v>6</v>
      </c>
      <c r="J91" s="10">
        <v>7</v>
      </c>
      <c r="K91" s="10">
        <v>8</v>
      </c>
      <c r="L91" s="10">
        <v>9</v>
      </c>
      <c r="M91" s="10">
        <v>10</v>
      </c>
      <c r="N91" s="10">
        <v>11</v>
      </c>
      <c r="O91" s="10">
        <v>12</v>
      </c>
      <c r="P91" s="10">
        <v>13</v>
      </c>
      <c r="Q91" s="10">
        <v>14</v>
      </c>
      <c r="R91" s="10">
        <v>15</v>
      </c>
      <c r="S91" s="10">
        <v>16</v>
      </c>
      <c r="T91" s="10">
        <v>17</v>
      </c>
      <c r="U91" s="10">
        <v>18</v>
      </c>
      <c r="V91" s="10">
        <v>19</v>
      </c>
      <c r="W91" s="10">
        <v>20</v>
      </c>
      <c r="X91" s="10">
        <v>21</v>
      </c>
      <c r="Y91" s="10">
        <v>22</v>
      </c>
      <c r="Z91" s="10">
        <v>23</v>
      </c>
      <c r="AA91" s="10">
        <v>24</v>
      </c>
    </row>
    <row r="92" spans="1:27" x14ac:dyDescent="0.25">
      <c r="B92" s="12" t="s">
        <v>28</v>
      </c>
      <c r="C92" s="10">
        <v>2019</v>
      </c>
      <c r="D92" s="10">
        <v>2020</v>
      </c>
      <c r="E92" s="10">
        <v>2021</v>
      </c>
      <c r="F92" s="10">
        <v>2022</v>
      </c>
      <c r="G92" s="10">
        <v>2023</v>
      </c>
      <c r="H92" s="13">
        <v>2024</v>
      </c>
      <c r="I92" s="10">
        <v>2025</v>
      </c>
      <c r="J92" s="10">
        <v>2026</v>
      </c>
      <c r="K92" s="10">
        <v>2027</v>
      </c>
      <c r="L92" s="10">
        <v>2028</v>
      </c>
      <c r="M92" s="10">
        <v>2029</v>
      </c>
      <c r="N92" s="10">
        <v>2030</v>
      </c>
      <c r="O92" s="10">
        <v>2031</v>
      </c>
      <c r="P92" s="10">
        <v>2032</v>
      </c>
      <c r="Q92" s="10">
        <v>2033</v>
      </c>
      <c r="R92" s="10">
        <v>2034</v>
      </c>
      <c r="S92" s="10">
        <v>2035</v>
      </c>
      <c r="T92" s="10">
        <v>2036</v>
      </c>
      <c r="U92" s="10">
        <v>2037</v>
      </c>
      <c r="V92" s="10">
        <v>2038</v>
      </c>
      <c r="W92" s="10">
        <v>2039</v>
      </c>
      <c r="X92" s="10">
        <v>2040</v>
      </c>
      <c r="Y92" s="10">
        <v>2041</v>
      </c>
      <c r="Z92" s="10">
        <v>2042</v>
      </c>
      <c r="AA92" s="10">
        <v>2043</v>
      </c>
    </row>
    <row r="93" spans="1:27" x14ac:dyDescent="0.25">
      <c r="B93" s="14" t="s">
        <v>100</v>
      </c>
      <c r="C93" s="5"/>
      <c r="D93" s="5">
        <v>0</v>
      </c>
      <c r="E93" s="5">
        <v>0</v>
      </c>
      <c r="F93" s="5">
        <v>0</v>
      </c>
      <c r="G93" s="5">
        <v>0</v>
      </c>
      <c r="H93" s="23">
        <f>+'Demanda Regional'!V24</f>
        <v>16642862.135767424</v>
      </c>
      <c r="I93" s="23">
        <f>+'Demanda Regional'!W24</f>
        <v>17240091.707256049</v>
      </c>
      <c r="J93" s="23">
        <f>+'Demanda Regional'!X24</f>
        <v>17796677.754187301</v>
      </c>
      <c r="K93" s="23">
        <f>+'Demanda Regional'!Y24</f>
        <v>18878962.180827394</v>
      </c>
      <c r="L93" s="23">
        <f>+'Demanda Regional'!Z24</f>
        <v>19181418.982854713</v>
      </c>
      <c r="M93" s="23">
        <f>+'Demanda Regional'!AA24</f>
        <v>19122023.516034972</v>
      </c>
      <c r="N93" s="23">
        <f>+'Demanda Regional'!AB24</f>
        <v>20601094.004968122</v>
      </c>
      <c r="O93" s="23">
        <f>+'Demanda Regional'!AC24</f>
        <v>20602156.465174776</v>
      </c>
      <c r="P93" s="23">
        <f>+'Demanda Regional'!AD24</f>
        <v>20277697.137023199</v>
      </c>
      <c r="Q93" s="23">
        <f>+'Demanda Regional'!AE24</f>
        <v>21095818.717556946</v>
      </c>
      <c r="R93" s="23">
        <f>+'Demanda Regional'!AF24</f>
        <v>21095818.717556946</v>
      </c>
      <c r="S93" s="23">
        <f>+'Demanda Regional'!AG24</f>
        <v>21095818.717556946</v>
      </c>
      <c r="T93" s="23">
        <f>+'Demanda Regional'!AH24</f>
        <v>21095818.717556946</v>
      </c>
      <c r="U93" s="23">
        <f>+'Demanda Regional'!AI24</f>
        <v>21095818.717556946</v>
      </c>
      <c r="V93" s="23">
        <f>+'Demanda Regional'!AJ24</f>
        <v>21095818.717556946</v>
      </c>
      <c r="W93" s="23">
        <f>+'Demanda Regional'!AK24</f>
        <v>21095818.717556946</v>
      </c>
      <c r="X93" s="23">
        <f>+'Demanda Regional'!AL24</f>
        <v>21095818.717556946</v>
      </c>
      <c r="Y93" s="23">
        <f>+'Demanda Regional'!AM24</f>
        <v>21095818.717556946</v>
      </c>
      <c r="Z93" s="23">
        <f>+'Demanda Regional'!AN24</f>
        <v>21095818.717556946</v>
      </c>
      <c r="AA93" s="23">
        <f>+'Demanda Regional'!AO24</f>
        <v>21095818.717556946</v>
      </c>
    </row>
    <row r="94" spans="1:27" x14ac:dyDescent="0.25">
      <c r="B94" t="s">
        <v>29</v>
      </c>
      <c r="C94" s="5">
        <f>(C93)/(1+$G$2)^C91</f>
        <v>0</v>
      </c>
      <c r="D94" s="5">
        <v>0</v>
      </c>
      <c r="E94" s="5">
        <v>0</v>
      </c>
      <c r="F94" s="5">
        <v>0</v>
      </c>
      <c r="G94" s="5">
        <v>0</v>
      </c>
      <c r="H94" s="5">
        <f t="shared" ref="H94:AA94" si="14">(H93)/(1+$G$2)^H91</f>
        <v>9133668.8730849996</v>
      </c>
      <c r="I94" s="5">
        <f t="shared" si="14"/>
        <v>8391512.9357885923</v>
      </c>
      <c r="J94" s="5">
        <f t="shared" si="14"/>
        <v>7682862.891991985</v>
      </c>
      <c r="K94" s="5">
        <f t="shared" si="14"/>
        <v>7228458.8341474552</v>
      </c>
      <c r="L94" s="5">
        <f t="shared" si="14"/>
        <v>6513760.3591323942</v>
      </c>
      <c r="M94" s="5">
        <f t="shared" si="14"/>
        <v>5759281.9789488101</v>
      </c>
      <c r="N94" s="5">
        <f t="shared" si="14"/>
        <v>5503110.4298277749</v>
      </c>
      <c r="O94" s="5">
        <f t="shared" si="14"/>
        <v>4881059.1944462154</v>
      </c>
      <c r="P94" s="5">
        <f t="shared" si="14"/>
        <v>4260920.9303164603</v>
      </c>
      <c r="Q94" s="5">
        <f t="shared" si="14"/>
        <v>3931557.9107329319</v>
      </c>
      <c r="R94" s="5">
        <f t="shared" si="14"/>
        <v>3486969.3221578118</v>
      </c>
      <c r="S94" s="5">
        <f t="shared" si="14"/>
        <v>3092655.7181000547</v>
      </c>
      <c r="T94" s="5">
        <f t="shared" si="14"/>
        <v>2742931.9007539288</v>
      </c>
      <c r="U94" s="5">
        <f t="shared" si="14"/>
        <v>2432755.5660788724</v>
      </c>
      <c r="V94" s="5">
        <f t="shared" si="14"/>
        <v>2157654.6040610843</v>
      </c>
      <c r="W94" s="5">
        <f t="shared" si="14"/>
        <v>1913662.6200098309</v>
      </c>
      <c r="X94" s="5">
        <f t="shared" si="14"/>
        <v>1697261.7472371007</v>
      </c>
      <c r="Y94" s="5">
        <f t="shared" si="14"/>
        <v>1505331.9265960981</v>
      </c>
      <c r="Z94" s="5">
        <f t="shared" si="14"/>
        <v>1335105.921592992</v>
      </c>
      <c r="AA94" s="5">
        <f t="shared" si="14"/>
        <v>1184129.4204815892</v>
      </c>
    </row>
    <row r="95" spans="1:27" ht="18.75" x14ac:dyDescent="0.3">
      <c r="B95" t="s">
        <v>30</v>
      </c>
      <c r="C95" s="11">
        <f>SUM(C94:AA94)</f>
        <v>84834653.085486993</v>
      </c>
    </row>
    <row r="98" spans="2:3" x14ac:dyDescent="0.25">
      <c r="B98" s="12" t="s">
        <v>41</v>
      </c>
    </row>
    <row r="99" spans="2:3" x14ac:dyDescent="0.25">
      <c r="B99" s="10" t="s">
        <v>31</v>
      </c>
    </row>
    <row r="100" spans="2:3" ht="18.75" x14ac:dyDescent="0.3">
      <c r="B100" s="10" t="s">
        <v>40</v>
      </c>
      <c r="C100" s="116">
        <f>+C87/C95</f>
        <v>1.0657710952403823E-3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showGridLines="0" workbookViewId="0">
      <pane ySplit="2" topLeftCell="A78" activePane="bottomLeft" state="frozen"/>
      <selection pane="bottomLeft" activeCell="B81" sqref="B81"/>
    </sheetView>
  </sheetViews>
  <sheetFormatPr baseColWidth="10" defaultRowHeight="15" x14ac:dyDescent="0.25"/>
  <cols>
    <col min="1" max="1" width="19.42578125" bestFit="1" customWidth="1"/>
    <col min="2" max="2" width="26.140625" bestFit="1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8" t="s">
        <v>123</v>
      </c>
      <c r="C2" s="140" t="str">
        <f>+'%  Planta'!C11</f>
        <v>CQR</v>
      </c>
      <c r="D2" s="43">
        <v>0.03</v>
      </c>
      <c r="E2" s="27">
        <v>700</v>
      </c>
      <c r="F2" s="27">
        <v>2024</v>
      </c>
      <c r="G2" s="43">
        <v>0.1275</v>
      </c>
    </row>
    <row r="5" spans="1:27" ht="18.75" x14ac:dyDescent="0.3">
      <c r="A5" s="113" t="s">
        <v>88</v>
      </c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22">
        <f>+E2*'%  Planta'!E11*'%  Planta'!F4</f>
        <v>58.454910676780209</v>
      </c>
    </row>
    <row r="8" spans="1:27" x14ac:dyDescent="0.25">
      <c r="B8" t="s">
        <v>25</v>
      </c>
      <c r="C8" s="5"/>
      <c r="D8" s="5"/>
      <c r="E8" s="5"/>
      <c r="F8" s="5"/>
      <c r="G8" s="5"/>
      <c r="H8" s="5">
        <f t="shared" ref="H8:AA8" si="0">$H$7*$D$2</f>
        <v>1.7536473203034062</v>
      </c>
      <c r="I8" s="5">
        <f t="shared" si="0"/>
        <v>1.7536473203034062</v>
      </c>
      <c r="J8" s="5">
        <f t="shared" si="0"/>
        <v>1.7536473203034062</v>
      </c>
      <c r="K8" s="5">
        <f t="shared" si="0"/>
        <v>1.7536473203034062</v>
      </c>
      <c r="L8" s="5">
        <f t="shared" si="0"/>
        <v>1.7536473203034062</v>
      </c>
      <c r="M8" s="5">
        <f t="shared" si="0"/>
        <v>1.7536473203034062</v>
      </c>
      <c r="N8" s="5">
        <f t="shared" si="0"/>
        <v>1.7536473203034062</v>
      </c>
      <c r="O8" s="5">
        <f t="shared" si="0"/>
        <v>1.7536473203034062</v>
      </c>
      <c r="P8" s="5">
        <f t="shared" si="0"/>
        <v>1.7536473203034062</v>
      </c>
      <c r="Q8" s="5">
        <f t="shared" si="0"/>
        <v>1.7536473203034062</v>
      </c>
      <c r="R8" s="5">
        <f t="shared" si="0"/>
        <v>1.7536473203034062</v>
      </c>
      <c r="S8" s="5">
        <f t="shared" si="0"/>
        <v>1.7536473203034062</v>
      </c>
      <c r="T8" s="5">
        <f t="shared" si="0"/>
        <v>1.7536473203034062</v>
      </c>
      <c r="U8" s="5">
        <f t="shared" si="0"/>
        <v>1.7536473203034062</v>
      </c>
      <c r="V8" s="5">
        <f t="shared" si="0"/>
        <v>1.7536473203034062</v>
      </c>
      <c r="W8" s="5">
        <f t="shared" si="0"/>
        <v>1.7536473203034062</v>
      </c>
      <c r="X8" s="5">
        <f t="shared" si="0"/>
        <v>1.7536473203034062</v>
      </c>
      <c r="Y8" s="5">
        <f t="shared" si="0"/>
        <v>1.7536473203034062</v>
      </c>
      <c r="Z8" s="5">
        <f t="shared" si="0"/>
        <v>1.7536473203034062</v>
      </c>
      <c r="AA8" s="5">
        <f t="shared" si="0"/>
        <v>1.7536473203034062</v>
      </c>
    </row>
    <row r="9" spans="1:27" x14ac:dyDescent="0.25">
      <c r="B9" t="s">
        <v>26</v>
      </c>
      <c r="C9" s="5">
        <f>(C8/(1+$G$2)^C5)+(C7/(1+$G$2)^C5)</f>
        <v>0</v>
      </c>
      <c r="D9" s="5">
        <f t="shared" ref="D9:AA9" si="1">(D8/(1+$G$2)^D5)+(D7/(1+$G$2)^D5)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33.042695876777316</v>
      </c>
      <c r="I9" s="5">
        <f t="shared" si="1"/>
        <v>0.8535774880445347</v>
      </c>
      <c r="J9" s="5">
        <f t="shared" si="1"/>
        <v>0.75705320447408853</v>
      </c>
      <c r="K9" s="5">
        <f t="shared" si="1"/>
        <v>0.67144408379076592</v>
      </c>
      <c r="L9" s="5">
        <f t="shared" si="1"/>
        <v>0.59551581710932677</v>
      </c>
      <c r="M9" s="5">
        <f t="shared" si="1"/>
        <v>0.52817367371115453</v>
      </c>
      <c r="N9" s="5">
        <f t="shared" si="1"/>
        <v>0.46844671726044756</v>
      </c>
      <c r="O9" s="5">
        <f t="shared" si="1"/>
        <v>0.41547380688288027</v>
      </c>
      <c r="P9" s="5">
        <f t="shared" si="1"/>
        <v>0.36849118127084729</v>
      </c>
      <c r="Q9" s="5">
        <f t="shared" si="1"/>
        <v>0.32682144680341219</v>
      </c>
      <c r="R9" s="5">
        <f t="shared" si="1"/>
        <v>0.28986381091211727</v>
      </c>
      <c r="S9" s="5">
        <f t="shared" si="1"/>
        <v>0.25708541987770933</v>
      </c>
      <c r="T9" s="5">
        <f t="shared" si="1"/>
        <v>0.2280136761664828</v>
      </c>
      <c r="U9" s="5">
        <f t="shared" si="1"/>
        <v>0.20222942453790047</v>
      </c>
      <c r="V9" s="5">
        <f t="shared" si="1"/>
        <v>0.17936090868106475</v>
      </c>
      <c r="W9" s="5">
        <f t="shared" si="1"/>
        <v>0.15907841124706407</v>
      </c>
      <c r="X9" s="5">
        <f t="shared" si="1"/>
        <v>0.14108949999739609</v>
      </c>
      <c r="Y9" s="5">
        <f t="shared" si="1"/>
        <v>0.12513481152762401</v>
      </c>
      <c r="Z9" s="5">
        <f t="shared" si="1"/>
        <v>0.11098431177616322</v>
      </c>
      <c r="AA9" s="5">
        <f t="shared" si="1"/>
        <v>9.8433979402362051E-2</v>
      </c>
    </row>
    <row r="10" spans="1:27" ht="18.75" x14ac:dyDescent="0.3">
      <c r="B10" t="s">
        <v>27</v>
      </c>
      <c r="C10" s="11">
        <f>SUM(C9:AA9)*1000000</f>
        <v>39818967.550250672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7" ht="16.5" customHeight="1" x14ac:dyDescent="0.25">
      <c r="C11" s="20"/>
    </row>
    <row r="12" spans="1:27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7" x14ac:dyDescent="0.25"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  <c r="Z14" s="10">
        <v>23</v>
      </c>
      <c r="AA14" s="10">
        <v>24</v>
      </c>
    </row>
    <row r="15" spans="1:27" x14ac:dyDescent="0.25">
      <c r="A15" s="10"/>
      <c r="B15" s="12" t="s">
        <v>28</v>
      </c>
      <c r="C15" s="10">
        <v>2019</v>
      </c>
      <c r="D15" s="10">
        <v>2020</v>
      </c>
      <c r="E15" s="10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  <c r="Z15" s="10">
        <v>2042</v>
      </c>
      <c r="AA15" s="10">
        <v>2043</v>
      </c>
    </row>
    <row r="16" spans="1:27" x14ac:dyDescent="0.25">
      <c r="A16">
        <v>2024</v>
      </c>
      <c r="B16" s="14" t="s">
        <v>101</v>
      </c>
      <c r="C16" s="5"/>
      <c r="D16" s="5"/>
      <c r="E16" s="5"/>
      <c r="F16" s="5"/>
      <c r="G16" s="5"/>
      <c r="H16" s="23">
        <f>+'Demanda Regional'!V7</f>
        <v>10401788.834854642</v>
      </c>
      <c r="I16" s="23">
        <f>+'Demanda Regional'!W7</f>
        <v>10775057.317035029</v>
      </c>
      <c r="J16" s="23">
        <f>+'Demanda Regional'!X7</f>
        <v>11122923.596367063</v>
      </c>
      <c r="K16" s="23">
        <f>+'Demanda Regional'!Y7</f>
        <v>11799351.363017118</v>
      </c>
      <c r="L16" s="23">
        <f>+'Demanda Regional'!Z7</f>
        <v>11988386.864284195</v>
      </c>
      <c r="M16" s="23">
        <f>+'Demanda Regional'!AA7</f>
        <v>11951264.697521858</v>
      </c>
      <c r="N16" s="23">
        <f>+'Demanda Regional'!AB7</f>
        <v>12875683.753105074</v>
      </c>
      <c r="O16" s="23">
        <f>+'Demanda Regional'!AC7</f>
        <v>12876347.790734237</v>
      </c>
      <c r="P16" s="23">
        <f>+'Demanda Regional'!AD7</f>
        <v>12673560.710639501</v>
      </c>
      <c r="Q16" s="23">
        <f>+'Demanda Regional'!AE7</f>
        <v>13184886.698473096</v>
      </c>
      <c r="R16" s="23">
        <f>+'Demanda Regional'!AF7</f>
        <v>13184886.698473096</v>
      </c>
      <c r="S16" s="23">
        <f>+'Demanda Regional'!AG7</f>
        <v>13184886.698473096</v>
      </c>
      <c r="T16" s="23">
        <f>+'Demanda Regional'!AH7</f>
        <v>13184886.698473096</v>
      </c>
      <c r="U16" s="23">
        <f>+'Demanda Regional'!AI7</f>
        <v>13184886.698473096</v>
      </c>
      <c r="V16" s="23">
        <f>+'Demanda Regional'!AJ7</f>
        <v>13184886.698473096</v>
      </c>
      <c r="W16" s="23">
        <f>+'Demanda Regional'!AK7</f>
        <v>13184886.698473096</v>
      </c>
      <c r="X16" s="23">
        <f>+'Demanda Regional'!AL7</f>
        <v>13184886.698473096</v>
      </c>
      <c r="Y16" s="23">
        <f>+'Demanda Regional'!AM7</f>
        <v>13184886.698473096</v>
      </c>
      <c r="Z16" s="23">
        <f>+'Demanda Regional'!AN7</f>
        <v>13184886.698473096</v>
      </c>
      <c r="AA16" s="23">
        <f>+'Demanda Regional'!AO7</f>
        <v>13184886.698473096</v>
      </c>
    </row>
    <row r="17" spans="1:27" x14ac:dyDescent="0.25">
      <c r="A17">
        <v>2043</v>
      </c>
      <c r="B17" t="s">
        <v>29</v>
      </c>
      <c r="C17" s="5">
        <f>(C16)/(1+$G$2)^C14</f>
        <v>0</v>
      </c>
      <c r="D17" s="5">
        <f t="shared" ref="D17:AA17" si="2">(D16)/(1+$G$2)^D14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5708543.0456781257</v>
      </c>
      <c r="I17" s="5">
        <f t="shared" si="2"/>
        <v>5244695.5848678686</v>
      </c>
      <c r="J17" s="5">
        <f t="shared" si="2"/>
        <v>4801789.3074949905</v>
      </c>
      <c r="K17" s="5">
        <f t="shared" si="2"/>
        <v>4517786.7713421583</v>
      </c>
      <c r="L17" s="5">
        <f t="shared" si="2"/>
        <v>4071100.2244577459</v>
      </c>
      <c r="M17" s="5">
        <f t="shared" si="2"/>
        <v>3599551.2368430062</v>
      </c>
      <c r="N17" s="5">
        <f t="shared" si="2"/>
        <v>3439444.0186423585</v>
      </c>
      <c r="O17" s="5">
        <f t="shared" si="2"/>
        <v>3050661.9965288849</v>
      </c>
      <c r="P17" s="5">
        <f t="shared" si="2"/>
        <v>2663075.581447788</v>
      </c>
      <c r="Q17" s="5">
        <f t="shared" si="2"/>
        <v>2457223.6942080832</v>
      </c>
      <c r="R17" s="5">
        <f t="shared" si="2"/>
        <v>2179355.826348633</v>
      </c>
      <c r="S17" s="5">
        <f t="shared" si="2"/>
        <v>1932909.8238125348</v>
      </c>
      <c r="T17" s="5">
        <f t="shared" si="2"/>
        <v>1714332.4379712061</v>
      </c>
      <c r="U17" s="5">
        <f t="shared" si="2"/>
        <v>1520472.2287992958</v>
      </c>
      <c r="V17" s="5">
        <f t="shared" si="2"/>
        <v>1348534.1275381783</v>
      </c>
      <c r="W17" s="5">
        <f t="shared" si="2"/>
        <v>1196039.1375061448</v>
      </c>
      <c r="X17" s="5">
        <f t="shared" si="2"/>
        <v>1060788.5920231882</v>
      </c>
      <c r="Y17" s="5">
        <f t="shared" si="2"/>
        <v>940832.45412256173</v>
      </c>
      <c r="Z17" s="5">
        <f t="shared" si="2"/>
        <v>834441.20099562022</v>
      </c>
      <c r="AA17" s="5">
        <f t="shared" si="2"/>
        <v>740080.88780099351</v>
      </c>
    </row>
    <row r="18" spans="1:27" ht="18.75" x14ac:dyDescent="0.3">
      <c r="B18" t="s">
        <v>30</v>
      </c>
      <c r="C18" s="11">
        <f>SUM(H17:AA17)</f>
        <v>53021658.178429358</v>
      </c>
    </row>
    <row r="19" spans="1:27" x14ac:dyDescent="0.25">
      <c r="E19" s="10"/>
    </row>
    <row r="20" spans="1:2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B23" s="12" t="s">
        <v>41</v>
      </c>
      <c r="E23" s="10"/>
    </row>
    <row r="24" spans="1:27" x14ac:dyDescent="0.25">
      <c r="B24" s="10" t="s">
        <v>31</v>
      </c>
      <c r="E24" s="10"/>
    </row>
    <row r="25" spans="1:27" ht="18.75" x14ac:dyDescent="0.3">
      <c r="B25" s="10" t="s">
        <v>40</v>
      </c>
      <c r="C25" s="21">
        <f>+C10/C18</f>
        <v>0.75099438452587108</v>
      </c>
      <c r="D25" s="10"/>
      <c r="E25" s="10"/>
    </row>
    <row r="31" spans="1:27" ht="18.75" x14ac:dyDescent="0.3">
      <c r="A31" s="113" t="s">
        <v>87</v>
      </c>
    </row>
    <row r="32" spans="1:27" x14ac:dyDescent="0.25">
      <c r="C32" s="10">
        <v>0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0">
        <v>14</v>
      </c>
      <c r="R32" s="10">
        <v>15</v>
      </c>
      <c r="S32" s="10">
        <v>16</v>
      </c>
      <c r="T32" s="10">
        <v>17</v>
      </c>
      <c r="U32" s="10">
        <v>18</v>
      </c>
      <c r="V32" s="10">
        <v>19</v>
      </c>
      <c r="W32" s="10">
        <v>20</v>
      </c>
      <c r="X32" s="10">
        <v>21</v>
      </c>
      <c r="Y32" s="10">
        <v>22</v>
      </c>
      <c r="Z32" s="10">
        <v>23</v>
      </c>
      <c r="AA32" s="10">
        <v>24</v>
      </c>
    </row>
    <row r="33" spans="1:27" x14ac:dyDescent="0.25">
      <c r="B33" s="12" t="s">
        <v>124</v>
      </c>
      <c r="C33" s="10">
        <v>2019</v>
      </c>
      <c r="D33" s="10">
        <v>2020</v>
      </c>
      <c r="E33" s="10">
        <v>2021</v>
      </c>
      <c r="F33" s="10">
        <v>2022</v>
      </c>
      <c r="G33" s="10">
        <v>2023</v>
      </c>
      <c r="H33" s="10">
        <v>2024</v>
      </c>
      <c r="I33" s="10">
        <v>2025</v>
      </c>
      <c r="J33" s="10">
        <v>2026</v>
      </c>
      <c r="K33" s="10">
        <v>2027</v>
      </c>
      <c r="L33" s="10">
        <v>2028</v>
      </c>
      <c r="M33" s="10">
        <v>2029</v>
      </c>
      <c r="N33" s="10">
        <v>2030</v>
      </c>
      <c r="O33" s="10">
        <v>2031</v>
      </c>
      <c r="P33" s="10">
        <v>2032</v>
      </c>
      <c r="Q33" s="10">
        <v>2033</v>
      </c>
      <c r="R33" s="10">
        <v>2034</v>
      </c>
      <c r="S33" s="10">
        <v>2035</v>
      </c>
      <c r="T33" s="10">
        <v>2036</v>
      </c>
      <c r="U33" s="10">
        <v>2037</v>
      </c>
      <c r="V33" s="10">
        <v>2038</v>
      </c>
      <c r="W33" s="10">
        <v>2039</v>
      </c>
      <c r="X33" s="10">
        <v>2040</v>
      </c>
      <c r="Y33" s="10">
        <v>2041</v>
      </c>
      <c r="Z33" s="10">
        <v>2042</v>
      </c>
      <c r="AA33" s="10">
        <v>2043</v>
      </c>
    </row>
    <row r="34" spans="1:27" x14ac:dyDescent="0.25">
      <c r="B34" t="s">
        <v>24</v>
      </c>
      <c r="H34" s="22">
        <f>+E2*'%  Planta'!F3*'%  Planta'!F11</f>
        <v>9.8620024502515076</v>
      </c>
    </row>
    <row r="35" spans="1:27" x14ac:dyDescent="0.25">
      <c r="B35" t="s">
        <v>25</v>
      </c>
      <c r="C35" s="5"/>
      <c r="D35" s="5"/>
      <c r="E35" s="5"/>
      <c r="F35" s="5"/>
      <c r="G35" s="5"/>
      <c r="H35" s="5">
        <f>$H$34*$D$2</f>
        <v>0.29586007350754523</v>
      </c>
      <c r="I35" s="5">
        <f t="shared" ref="I35:AA35" si="3">$H$34*$D$2</f>
        <v>0.29586007350754523</v>
      </c>
      <c r="J35" s="5">
        <f t="shared" si="3"/>
        <v>0.29586007350754523</v>
      </c>
      <c r="K35" s="5">
        <f t="shared" si="3"/>
        <v>0.29586007350754523</v>
      </c>
      <c r="L35" s="5">
        <f t="shared" si="3"/>
        <v>0.29586007350754523</v>
      </c>
      <c r="M35" s="5">
        <f t="shared" si="3"/>
        <v>0.29586007350754523</v>
      </c>
      <c r="N35" s="5">
        <f t="shared" si="3"/>
        <v>0.29586007350754523</v>
      </c>
      <c r="O35" s="5">
        <f t="shared" si="3"/>
        <v>0.29586007350754523</v>
      </c>
      <c r="P35" s="5">
        <f t="shared" si="3"/>
        <v>0.29586007350754523</v>
      </c>
      <c r="Q35" s="5">
        <f t="shared" si="3"/>
        <v>0.29586007350754523</v>
      </c>
      <c r="R35" s="5">
        <f t="shared" si="3"/>
        <v>0.29586007350754523</v>
      </c>
      <c r="S35" s="5">
        <f t="shared" si="3"/>
        <v>0.29586007350754523</v>
      </c>
      <c r="T35" s="5">
        <f t="shared" si="3"/>
        <v>0.29586007350754523</v>
      </c>
      <c r="U35" s="5">
        <f t="shared" si="3"/>
        <v>0.29586007350754523</v>
      </c>
      <c r="V35" s="5">
        <f t="shared" si="3"/>
        <v>0.29586007350754523</v>
      </c>
      <c r="W35" s="5">
        <f t="shared" si="3"/>
        <v>0.29586007350754523</v>
      </c>
      <c r="X35" s="5">
        <f t="shared" si="3"/>
        <v>0.29586007350754523</v>
      </c>
      <c r="Y35" s="5">
        <f t="shared" si="3"/>
        <v>0.29586007350754523</v>
      </c>
      <c r="Z35" s="5">
        <f t="shared" si="3"/>
        <v>0.29586007350754523</v>
      </c>
      <c r="AA35" s="5">
        <f t="shared" si="3"/>
        <v>0.29586007350754523</v>
      </c>
    </row>
    <row r="36" spans="1:27" x14ac:dyDescent="0.25">
      <c r="B36" t="s">
        <v>26</v>
      </c>
      <c r="C36" s="5">
        <f>(C35/(1+$G$2)^C32)+(C34/(1+$G$2)^C32)</f>
        <v>0</v>
      </c>
      <c r="D36" s="5">
        <f t="shared" ref="D36:AA36" si="4">(D35/(1+$G$2)^D32)+(D34/(1+$G$2)^D32)</f>
        <v>0</v>
      </c>
      <c r="E36" s="5">
        <f t="shared" si="4"/>
        <v>0</v>
      </c>
      <c r="F36" s="5">
        <f t="shared" si="4"/>
        <v>0</v>
      </c>
      <c r="G36" s="5">
        <f t="shared" si="4"/>
        <v>0</v>
      </c>
      <c r="H36" s="5">
        <f t="shared" si="4"/>
        <v>5.5746753168701026</v>
      </c>
      <c r="I36" s="5">
        <f t="shared" si="4"/>
        <v>0.14400814544257901</v>
      </c>
      <c r="J36" s="5">
        <f t="shared" si="4"/>
        <v>0.12772341059208783</v>
      </c>
      <c r="K36" s="5">
        <f t="shared" si="4"/>
        <v>0.11328018677790494</v>
      </c>
      <c r="L36" s="5">
        <f t="shared" si="4"/>
        <v>0.10047023217552545</v>
      </c>
      <c r="M36" s="5">
        <f t="shared" si="4"/>
        <v>8.9108853370754276E-2</v>
      </c>
      <c r="N36" s="5">
        <f t="shared" si="4"/>
        <v>7.9032242457431748E-2</v>
      </c>
      <c r="O36" s="5">
        <f t="shared" si="4"/>
        <v>7.0095115261580257E-2</v>
      </c>
      <c r="P36" s="5">
        <f t="shared" si="4"/>
        <v>6.2168616639982494E-2</v>
      </c>
      <c r="Q36" s="5">
        <f t="shared" si="4"/>
        <v>5.5138462651869169E-2</v>
      </c>
      <c r="R36" s="5">
        <f t="shared" si="4"/>
        <v>4.8903292817622332E-2</v>
      </c>
      <c r="S36" s="5">
        <f t="shared" si="4"/>
        <v>4.3373208707425573E-2</v>
      </c>
      <c r="T36" s="5">
        <f t="shared" si="4"/>
        <v>3.8468477789290974E-2</v>
      </c>
      <c r="U36" s="5">
        <f t="shared" si="4"/>
        <v>3.4118383848595099E-2</v>
      </c>
      <c r="V36" s="5">
        <f t="shared" si="4"/>
        <v>3.0260207404518936E-2</v>
      </c>
      <c r="W36" s="5">
        <f t="shared" si="4"/>
        <v>2.6838321423076659E-2</v>
      </c>
      <c r="X36" s="5">
        <f t="shared" si="4"/>
        <v>2.3803389288759788E-2</v>
      </c>
      <c r="Y36" s="5">
        <f t="shared" si="4"/>
        <v>2.111165347118385E-2</v>
      </c>
      <c r="Z36" s="5">
        <f t="shared" si="4"/>
        <v>1.8724304630761732E-2</v>
      </c>
      <c r="AA36" s="5">
        <f t="shared" si="4"/>
        <v>1.6606922067194437E-2</v>
      </c>
    </row>
    <row r="37" spans="1:27" ht="18.75" x14ac:dyDescent="0.3">
      <c r="B37" t="s">
        <v>27</v>
      </c>
      <c r="C37" s="11">
        <f>SUM(C36:AA36)*1000000</f>
        <v>6717908.7436882462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7" ht="16.5" customHeight="1" x14ac:dyDescent="0.25">
      <c r="C38" s="20"/>
    </row>
    <row r="39" spans="1:27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1" spans="1:27" x14ac:dyDescent="0.25">
      <c r="C41" s="10">
        <v>0</v>
      </c>
      <c r="D41" s="10">
        <v>1</v>
      </c>
      <c r="E41" s="10">
        <v>2</v>
      </c>
      <c r="F41" s="10">
        <v>3</v>
      </c>
      <c r="G41" s="10">
        <v>4</v>
      </c>
      <c r="H41" s="13">
        <v>5</v>
      </c>
      <c r="I41" s="10">
        <v>6</v>
      </c>
      <c r="J41" s="10">
        <v>7</v>
      </c>
      <c r="K41" s="10">
        <v>8</v>
      </c>
      <c r="L41" s="10">
        <v>9</v>
      </c>
      <c r="M41" s="10">
        <v>10</v>
      </c>
      <c r="N41" s="10">
        <v>11</v>
      </c>
      <c r="O41" s="10">
        <v>12</v>
      </c>
      <c r="P41" s="10">
        <v>13</v>
      </c>
      <c r="Q41" s="10">
        <v>14</v>
      </c>
      <c r="R41" s="10">
        <v>15</v>
      </c>
      <c r="S41" s="10">
        <v>16</v>
      </c>
      <c r="T41" s="10">
        <v>17</v>
      </c>
      <c r="U41" s="10">
        <v>18</v>
      </c>
      <c r="V41" s="10">
        <v>19</v>
      </c>
      <c r="W41" s="10">
        <v>20</v>
      </c>
      <c r="X41" s="10">
        <v>21</v>
      </c>
      <c r="Y41" s="10">
        <v>22</v>
      </c>
      <c r="Z41" s="10">
        <v>23</v>
      </c>
      <c r="AA41" s="10">
        <v>24</v>
      </c>
    </row>
    <row r="42" spans="1:27" x14ac:dyDescent="0.25">
      <c r="A42" s="10"/>
      <c r="B42" s="12" t="s">
        <v>28</v>
      </c>
      <c r="C42" s="10">
        <v>2019</v>
      </c>
      <c r="D42" s="10">
        <v>2020</v>
      </c>
      <c r="E42" s="10">
        <v>2021</v>
      </c>
      <c r="F42" s="10">
        <v>2022</v>
      </c>
      <c r="G42" s="10">
        <v>2023</v>
      </c>
      <c r="H42" s="13">
        <v>2024</v>
      </c>
      <c r="I42" s="10">
        <v>2025</v>
      </c>
      <c r="J42" s="10">
        <v>2026</v>
      </c>
      <c r="K42" s="10">
        <v>2027</v>
      </c>
      <c r="L42" s="10">
        <v>2028</v>
      </c>
      <c r="M42" s="10">
        <v>2029</v>
      </c>
      <c r="N42" s="10">
        <v>2030</v>
      </c>
      <c r="O42" s="10">
        <v>2031</v>
      </c>
      <c r="P42" s="10">
        <v>2032</v>
      </c>
      <c r="Q42" s="10">
        <v>2033</v>
      </c>
      <c r="R42" s="10">
        <v>2034</v>
      </c>
      <c r="S42" s="10">
        <v>2035</v>
      </c>
      <c r="T42" s="10">
        <v>2036</v>
      </c>
      <c r="U42" s="10">
        <v>2037</v>
      </c>
      <c r="V42" s="10">
        <v>2038</v>
      </c>
      <c r="W42" s="10">
        <v>2039</v>
      </c>
      <c r="X42" s="10">
        <v>2040</v>
      </c>
      <c r="Y42" s="10">
        <v>2041</v>
      </c>
      <c r="Z42" s="10">
        <v>2042</v>
      </c>
      <c r="AA42" s="10">
        <v>2043</v>
      </c>
    </row>
    <row r="43" spans="1:27" x14ac:dyDescent="0.25">
      <c r="A43">
        <v>2024</v>
      </c>
      <c r="B43" s="14" t="s">
        <v>101</v>
      </c>
      <c r="C43" s="5"/>
      <c r="D43" s="5"/>
      <c r="E43" s="5"/>
      <c r="F43" s="5"/>
      <c r="G43" s="5"/>
      <c r="H43" s="23">
        <f>+'Demanda Regional'!V25</f>
        <v>10401788.834854642</v>
      </c>
      <c r="I43" s="23">
        <f>+'Demanda Regional'!W25</f>
        <v>10775057.317035029</v>
      </c>
      <c r="J43" s="23">
        <f>+'Demanda Regional'!X25</f>
        <v>11122923.596367063</v>
      </c>
      <c r="K43" s="23">
        <f>+'Demanda Regional'!Y25</f>
        <v>11799351.363017118</v>
      </c>
      <c r="L43" s="23">
        <f>+'Demanda Regional'!Z25</f>
        <v>11988386.864284195</v>
      </c>
      <c r="M43" s="23">
        <f>+'Demanda Regional'!AA25</f>
        <v>11951264.697521858</v>
      </c>
      <c r="N43" s="23">
        <f>+'Demanda Regional'!AB25</f>
        <v>12875683.753105074</v>
      </c>
      <c r="O43" s="23">
        <f>+'Demanda Regional'!AC25</f>
        <v>12876347.790734237</v>
      </c>
      <c r="P43" s="23">
        <f>+'Demanda Regional'!AD25</f>
        <v>12673560.710639501</v>
      </c>
      <c r="Q43" s="23">
        <f>+'Demanda Regional'!AE25</f>
        <v>13184886.698473096</v>
      </c>
      <c r="R43" s="23">
        <f>+'Demanda Regional'!AF25</f>
        <v>13184886.698473096</v>
      </c>
      <c r="S43" s="23">
        <f>+'Demanda Regional'!AG25</f>
        <v>13184886.698473096</v>
      </c>
      <c r="T43" s="23">
        <f>+'Demanda Regional'!AH25</f>
        <v>13184886.698473096</v>
      </c>
      <c r="U43" s="23">
        <f>+'Demanda Regional'!AI25</f>
        <v>13184886.698473096</v>
      </c>
      <c r="V43" s="23">
        <f>+'Demanda Regional'!AJ25</f>
        <v>13184886.698473096</v>
      </c>
      <c r="W43" s="23">
        <f>+'Demanda Regional'!AK25</f>
        <v>13184886.698473096</v>
      </c>
      <c r="X43" s="23">
        <f>+'Demanda Regional'!AL25</f>
        <v>13184886.698473096</v>
      </c>
      <c r="Y43" s="23">
        <f>+'Demanda Regional'!AM25</f>
        <v>13184886.698473096</v>
      </c>
      <c r="Z43" s="23">
        <f>+'Demanda Regional'!AN25</f>
        <v>13184886.698473096</v>
      </c>
      <c r="AA43" s="23">
        <f>+'Demanda Regional'!AO25</f>
        <v>13184886.698473096</v>
      </c>
    </row>
    <row r="44" spans="1:27" x14ac:dyDescent="0.25">
      <c r="A44">
        <v>2043</v>
      </c>
      <c r="B44" t="s">
        <v>29</v>
      </c>
      <c r="C44" s="5">
        <f>(C43)/(1+$G$2)^C41</f>
        <v>0</v>
      </c>
      <c r="D44" s="5">
        <f t="shared" ref="D44:AA44" si="5">(D43)/(1+$G$2)^D41</f>
        <v>0</v>
      </c>
      <c r="E44" s="5">
        <f t="shared" si="5"/>
        <v>0</v>
      </c>
      <c r="F44" s="5">
        <f t="shared" si="5"/>
        <v>0</v>
      </c>
      <c r="G44" s="5">
        <f t="shared" si="5"/>
        <v>0</v>
      </c>
      <c r="H44" s="5">
        <f t="shared" si="5"/>
        <v>5708543.0456781257</v>
      </c>
      <c r="I44" s="5">
        <f t="shared" si="5"/>
        <v>5244695.5848678686</v>
      </c>
      <c r="J44" s="5">
        <f t="shared" si="5"/>
        <v>4801789.3074949905</v>
      </c>
      <c r="K44" s="5">
        <f t="shared" si="5"/>
        <v>4517786.7713421583</v>
      </c>
      <c r="L44" s="5">
        <f t="shared" si="5"/>
        <v>4071100.2244577459</v>
      </c>
      <c r="M44" s="5">
        <f t="shared" si="5"/>
        <v>3599551.2368430062</v>
      </c>
      <c r="N44" s="5">
        <f t="shared" si="5"/>
        <v>3439444.0186423585</v>
      </c>
      <c r="O44" s="5">
        <f t="shared" si="5"/>
        <v>3050661.9965288849</v>
      </c>
      <c r="P44" s="5">
        <f t="shared" si="5"/>
        <v>2663075.581447788</v>
      </c>
      <c r="Q44" s="5">
        <f t="shared" si="5"/>
        <v>2457223.6942080832</v>
      </c>
      <c r="R44" s="5">
        <f t="shared" si="5"/>
        <v>2179355.826348633</v>
      </c>
      <c r="S44" s="5">
        <f t="shared" si="5"/>
        <v>1932909.8238125348</v>
      </c>
      <c r="T44" s="5">
        <f t="shared" si="5"/>
        <v>1714332.4379712061</v>
      </c>
      <c r="U44" s="5">
        <f t="shared" si="5"/>
        <v>1520472.2287992958</v>
      </c>
      <c r="V44" s="5">
        <f t="shared" si="5"/>
        <v>1348534.1275381783</v>
      </c>
      <c r="W44" s="5">
        <f t="shared" si="5"/>
        <v>1196039.1375061448</v>
      </c>
      <c r="X44" s="5">
        <f t="shared" si="5"/>
        <v>1060788.5920231882</v>
      </c>
      <c r="Y44" s="5">
        <f t="shared" si="5"/>
        <v>940832.45412256173</v>
      </c>
      <c r="Z44" s="5">
        <f t="shared" si="5"/>
        <v>834441.20099562022</v>
      </c>
      <c r="AA44" s="5">
        <f t="shared" si="5"/>
        <v>740080.88780099351</v>
      </c>
    </row>
    <row r="45" spans="1:27" ht="18.75" x14ac:dyDescent="0.3">
      <c r="B45" t="s">
        <v>30</v>
      </c>
      <c r="C45" s="11">
        <f>SUM(H44:AA44)</f>
        <v>53021658.178429358</v>
      </c>
    </row>
    <row r="46" spans="1:27" x14ac:dyDescent="0.25">
      <c r="E46" s="10"/>
    </row>
    <row r="47" spans="1:27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5">
      <c r="B50" s="12" t="s">
        <v>41</v>
      </c>
      <c r="E50" s="10"/>
    </row>
    <row r="51" spans="1:27" x14ac:dyDescent="0.25">
      <c r="B51" s="10" t="s">
        <v>31</v>
      </c>
      <c r="E51" s="10"/>
    </row>
    <row r="52" spans="1:27" ht="18.75" x14ac:dyDescent="0.3">
      <c r="B52" s="10" t="s">
        <v>40</v>
      </c>
      <c r="C52" s="21">
        <f>+C37/C45</f>
        <v>0.12670121935985157</v>
      </c>
      <c r="D52" s="10"/>
      <c r="E52" s="10"/>
    </row>
    <row r="57" spans="1:27" ht="18.75" x14ac:dyDescent="0.3">
      <c r="A57" s="113" t="s">
        <v>93</v>
      </c>
      <c r="C57" s="10">
        <v>0</v>
      </c>
      <c r="D57" s="10">
        <v>1</v>
      </c>
      <c r="E57" s="10">
        <v>2</v>
      </c>
      <c r="F57" s="10">
        <v>3</v>
      </c>
      <c r="G57" s="10">
        <v>4</v>
      </c>
      <c r="H57" s="10">
        <v>5</v>
      </c>
      <c r="I57" s="10">
        <v>6</v>
      </c>
      <c r="J57" s="10">
        <v>7</v>
      </c>
      <c r="K57" s="10">
        <v>8</v>
      </c>
      <c r="L57" s="10">
        <v>9</v>
      </c>
      <c r="M57" s="10">
        <v>10</v>
      </c>
      <c r="N57" s="10">
        <v>11</v>
      </c>
      <c r="O57" s="10">
        <v>12</v>
      </c>
      <c r="P57" s="10">
        <v>13</v>
      </c>
      <c r="Q57" s="10">
        <v>14</v>
      </c>
      <c r="R57" s="10">
        <v>15</v>
      </c>
      <c r="S57" s="10">
        <v>16</v>
      </c>
      <c r="T57" s="10">
        <v>17</v>
      </c>
      <c r="U57" s="10">
        <v>18</v>
      </c>
      <c r="V57" s="10">
        <v>19</v>
      </c>
      <c r="W57" s="10">
        <v>20</v>
      </c>
      <c r="X57" s="10">
        <v>21</v>
      </c>
      <c r="Y57" s="10">
        <v>22</v>
      </c>
      <c r="Z57" s="10">
        <v>23</v>
      </c>
      <c r="AA57" s="10">
        <v>24</v>
      </c>
    </row>
    <row r="58" spans="1:27" x14ac:dyDescent="0.25">
      <c r="B58" s="12" t="s">
        <v>124</v>
      </c>
      <c r="C58" s="10">
        <v>2019</v>
      </c>
      <c r="D58" s="10">
        <v>2020</v>
      </c>
      <c r="E58" s="10">
        <v>2021</v>
      </c>
      <c r="F58" s="10">
        <v>2022</v>
      </c>
      <c r="G58" s="10">
        <v>2023</v>
      </c>
      <c r="H58" s="10">
        <v>2024</v>
      </c>
      <c r="I58" s="10">
        <v>2025</v>
      </c>
      <c r="J58" s="10">
        <v>2026</v>
      </c>
      <c r="K58" s="10">
        <v>2027</v>
      </c>
      <c r="L58" s="10">
        <v>2028</v>
      </c>
      <c r="M58" s="10">
        <v>2029</v>
      </c>
      <c r="N58" s="10">
        <v>2030</v>
      </c>
      <c r="O58" s="10">
        <v>2031</v>
      </c>
      <c r="P58" s="10">
        <v>2032</v>
      </c>
      <c r="Q58" s="10">
        <v>2033</v>
      </c>
      <c r="R58" s="10">
        <v>2034</v>
      </c>
      <c r="S58" s="10">
        <v>2035</v>
      </c>
      <c r="T58" s="10">
        <v>2036</v>
      </c>
      <c r="U58" s="10">
        <v>2037</v>
      </c>
      <c r="V58" s="10">
        <v>2038</v>
      </c>
      <c r="W58" s="10">
        <v>2039</v>
      </c>
      <c r="X58" s="10">
        <v>2040</v>
      </c>
      <c r="Y58" s="10">
        <v>2041</v>
      </c>
      <c r="Z58" s="10">
        <v>2042</v>
      </c>
      <c r="AA58" s="10">
        <v>2043</v>
      </c>
    </row>
    <row r="59" spans="1:27" x14ac:dyDescent="0.25">
      <c r="B59" t="s">
        <v>24</v>
      </c>
      <c r="H59" s="22">
        <f>+H7*'%  Planta'!F2</f>
        <v>37.99569193990714</v>
      </c>
    </row>
    <row r="60" spans="1:27" x14ac:dyDescent="0.25">
      <c r="B60" t="s">
        <v>25</v>
      </c>
      <c r="C60" s="5"/>
      <c r="D60" s="5"/>
      <c r="E60" s="5"/>
      <c r="F60" s="5"/>
      <c r="G60" s="5"/>
      <c r="H60" s="24">
        <f>+$H$59*$D$2</f>
        <v>1.1398707581972141</v>
      </c>
      <c r="I60" s="24">
        <f t="shared" ref="I60:AA60" si="6">+$H$59*$D$2</f>
        <v>1.1398707581972141</v>
      </c>
      <c r="J60" s="24">
        <f t="shared" si="6"/>
        <v>1.1398707581972141</v>
      </c>
      <c r="K60" s="24">
        <f t="shared" si="6"/>
        <v>1.1398707581972141</v>
      </c>
      <c r="L60" s="24">
        <f t="shared" si="6"/>
        <v>1.1398707581972141</v>
      </c>
      <c r="M60" s="24">
        <f t="shared" si="6"/>
        <v>1.1398707581972141</v>
      </c>
      <c r="N60" s="24">
        <f t="shared" si="6"/>
        <v>1.1398707581972141</v>
      </c>
      <c r="O60" s="24">
        <f t="shared" si="6"/>
        <v>1.1398707581972141</v>
      </c>
      <c r="P60" s="24">
        <f t="shared" si="6"/>
        <v>1.1398707581972141</v>
      </c>
      <c r="Q60" s="24">
        <f t="shared" si="6"/>
        <v>1.1398707581972141</v>
      </c>
      <c r="R60" s="24">
        <f t="shared" si="6"/>
        <v>1.1398707581972141</v>
      </c>
      <c r="S60" s="24">
        <f t="shared" si="6"/>
        <v>1.1398707581972141</v>
      </c>
      <c r="T60" s="24">
        <f t="shared" si="6"/>
        <v>1.1398707581972141</v>
      </c>
      <c r="U60" s="24">
        <f t="shared" si="6"/>
        <v>1.1398707581972141</v>
      </c>
      <c r="V60" s="24">
        <f t="shared" si="6"/>
        <v>1.1398707581972141</v>
      </c>
      <c r="W60" s="24">
        <f t="shared" si="6"/>
        <v>1.1398707581972141</v>
      </c>
      <c r="X60" s="24">
        <f t="shared" si="6"/>
        <v>1.1398707581972141</v>
      </c>
      <c r="Y60" s="24">
        <f t="shared" si="6"/>
        <v>1.1398707581972141</v>
      </c>
      <c r="Z60" s="24">
        <f t="shared" si="6"/>
        <v>1.1398707581972141</v>
      </c>
      <c r="AA60" s="24">
        <f t="shared" si="6"/>
        <v>1.1398707581972141</v>
      </c>
    </row>
    <row r="61" spans="1:27" x14ac:dyDescent="0.25">
      <c r="B61" s="20"/>
      <c r="C61" s="5">
        <f>+C60+C59</f>
        <v>0</v>
      </c>
      <c r="D61" s="5">
        <f t="shared" ref="D61:AA61" si="7">+D60+D59</f>
        <v>0</v>
      </c>
      <c r="E61" s="5">
        <f t="shared" si="7"/>
        <v>0</v>
      </c>
      <c r="F61" s="5">
        <f t="shared" si="7"/>
        <v>0</v>
      </c>
      <c r="G61" s="5">
        <f t="shared" si="7"/>
        <v>0</v>
      </c>
      <c r="H61" s="5">
        <f>+H60+H59</f>
        <v>39.135562698104351</v>
      </c>
      <c r="I61" s="5">
        <f t="shared" si="7"/>
        <v>1.1398707581972141</v>
      </c>
      <c r="J61" s="5">
        <f t="shared" si="7"/>
        <v>1.1398707581972141</v>
      </c>
      <c r="K61" s="5">
        <f t="shared" si="7"/>
        <v>1.1398707581972141</v>
      </c>
      <c r="L61" s="5">
        <f t="shared" si="7"/>
        <v>1.1398707581972141</v>
      </c>
      <c r="M61" s="5">
        <f t="shared" si="7"/>
        <v>1.1398707581972141</v>
      </c>
      <c r="N61" s="5">
        <f t="shared" si="7"/>
        <v>1.1398707581972141</v>
      </c>
      <c r="O61" s="5">
        <f t="shared" si="7"/>
        <v>1.1398707581972141</v>
      </c>
      <c r="P61" s="5">
        <f t="shared" si="7"/>
        <v>1.1398707581972141</v>
      </c>
      <c r="Q61" s="5">
        <f t="shared" si="7"/>
        <v>1.1398707581972141</v>
      </c>
      <c r="R61" s="5">
        <f t="shared" si="7"/>
        <v>1.1398707581972141</v>
      </c>
      <c r="S61" s="5">
        <f t="shared" si="7"/>
        <v>1.1398707581972141</v>
      </c>
      <c r="T61" s="5">
        <f t="shared" si="7"/>
        <v>1.1398707581972141</v>
      </c>
      <c r="U61" s="5">
        <f t="shared" si="7"/>
        <v>1.1398707581972141</v>
      </c>
      <c r="V61" s="5">
        <f t="shared" si="7"/>
        <v>1.1398707581972141</v>
      </c>
      <c r="W61" s="5">
        <f t="shared" si="7"/>
        <v>1.1398707581972141</v>
      </c>
      <c r="X61" s="5">
        <f t="shared" si="7"/>
        <v>1.1398707581972141</v>
      </c>
      <c r="Y61" s="5">
        <f t="shared" si="7"/>
        <v>1.1398707581972141</v>
      </c>
      <c r="Z61" s="5">
        <f t="shared" si="7"/>
        <v>1.1398707581972141</v>
      </c>
      <c r="AA61" s="5">
        <f t="shared" si="7"/>
        <v>1.1398707581972141</v>
      </c>
    </row>
    <row r="62" spans="1:27" x14ac:dyDescent="0.25">
      <c r="B62" t="s">
        <v>26</v>
      </c>
      <c r="C62" s="5">
        <f t="shared" ref="C62:AA62" si="8">(C60/(1+$G$2)^C57)+(C59/(1+$G$2)^C57)</f>
        <v>0</v>
      </c>
      <c r="D62" s="5">
        <f t="shared" si="8"/>
        <v>0</v>
      </c>
      <c r="E62" s="5">
        <f t="shared" si="8"/>
        <v>0</v>
      </c>
      <c r="F62" s="5">
        <f t="shared" si="8"/>
        <v>0</v>
      </c>
      <c r="G62" s="5">
        <f t="shared" si="8"/>
        <v>0</v>
      </c>
      <c r="H62" s="5">
        <f t="shared" si="8"/>
        <v>21.477752319905253</v>
      </c>
      <c r="I62" s="5">
        <f t="shared" si="8"/>
        <v>0.5548253672289476</v>
      </c>
      <c r="J62" s="5">
        <f t="shared" si="8"/>
        <v>0.4920845829081576</v>
      </c>
      <c r="K62" s="5">
        <f t="shared" si="8"/>
        <v>0.43643865446399782</v>
      </c>
      <c r="L62" s="5">
        <f t="shared" si="8"/>
        <v>0.38708528112106239</v>
      </c>
      <c r="M62" s="5">
        <f t="shared" si="8"/>
        <v>0.34331288791225045</v>
      </c>
      <c r="N62" s="5">
        <f t="shared" si="8"/>
        <v>0.30449036621929093</v>
      </c>
      <c r="O62" s="5">
        <f t="shared" si="8"/>
        <v>0.27005797447387214</v>
      </c>
      <c r="P62" s="5">
        <f t="shared" si="8"/>
        <v>0.23951926782605074</v>
      </c>
      <c r="Q62" s="5">
        <f t="shared" si="8"/>
        <v>0.21243394042221792</v>
      </c>
      <c r="R62" s="5">
        <f t="shared" si="8"/>
        <v>0.18841147709287626</v>
      </c>
      <c r="S62" s="5">
        <f t="shared" si="8"/>
        <v>0.16710552292051109</v>
      </c>
      <c r="T62" s="5">
        <f t="shared" si="8"/>
        <v>0.14820888950821381</v>
      </c>
      <c r="U62" s="5">
        <f t="shared" si="8"/>
        <v>0.13144912594963531</v>
      </c>
      <c r="V62" s="5">
        <f t="shared" si="8"/>
        <v>0.11658459064269208</v>
      </c>
      <c r="W62" s="5">
        <f t="shared" si="8"/>
        <v>0.10340096731059165</v>
      </c>
      <c r="X62" s="5">
        <f t="shared" si="8"/>
        <v>9.1708174998307454E-2</v>
      </c>
      <c r="Y62" s="5">
        <f t="shared" si="8"/>
        <v>8.1337627492955616E-2</v>
      </c>
      <c r="Z62" s="5">
        <f t="shared" si="8"/>
        <v>7.2139802654506091E-2</v>
      </c>
      <c r="AA62" s="5">
        <f t="shared" si="8"/>
        <v>6.398208661153533E-2</v>
      </c>
    </row>
    <row r="63" spans="1:27" ht="18.75" x14ac:dyDescent="0.3">
      <c r="B63" t="s">
        <v>27</v>
      </c>
      <c r="C63" s="11">
        <f>SUM(C62:AA62)*1000000</f>
        <v>25882328.907662932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7" x14ac:dyDescent="0.25">
      <c r="C64" s="20"/>
    </row>
    <row r="65" spans="1:28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7" spans="1:28" x14ac:dyDescent="0.25">
      <c r="C67" s="10">
        <v>0</v>
      </c>
      <c r="D67" s="10">
        <v>1</v>
      </c>
      <c r="E67" s="10">
        <v>2</v>
      </c>
      <c r="F67" s="10">
        <v>3</v>
      </c>
      <c r="G67" s="10">
        <v>4</v>
      </c>
      <c r="H67" s="13">
        <v>5</v>
      </c>
      <c r="I67" s="10">
        <v>6</v>
      </c>
      <c r="J67" s="10">
        <v>7</v>
      </c>
      <c r="K67" s="10">
        <v>8</v>
      </c>
      <c r="L67" s="10">
        <v>9</v>
      </c>
      <c r="M67" s="10">
        <v>10</v>
      </c>
      <c r="N67" s="10">
        <v>11</v>
      </c>
      <c r="O67" s="10">
        <v>12</v>
      </c>
      <c r="P67" s="10">
        <v>13</v>
      </c>
      <c r="Q67" s="10">
        <v>14</v>
      </c>
      <c r="R67" s="10">
        <v>15</v>
      </c>
      <c r="S67" s="10">
        <v>16</v>
      </c>
      <c r="T67" s="10">
        <v>17</v>
      </c>
      <c r="U67" s="10">
        <v>18</v>
      </c>
      <c r="V67" s="10">
        <v>19</v>
      </c>
      <c r="W67" s="10">
        <v>20</v>
      </c>
      <c r="X67" s="10">
        <v>21</v>
      </c>
      <c r="Y67" s="10">
        <v>22</v>
      </c>
      <c r="Z67" s="10">
        <v>23</v>
      </c>
      <c r="AA67" s="10">
        <v>24</v>
      </c>
    </row>
    <row r="68" spans="1:28" x14ac:dyDescent="0.25">
      <c r="B68" s="12" t="s">
        <v>28</v>
      </c>
      <c r="C68" s="10">
        <v>2019</v>
      </c>
      <c r="D68" s="10">
        <v>2020</v>
      </c>
      <c r="E68" s="10">
        <v>2021</v>
      </c>
      <c r="F68" s="10">
        <v>2022</v>
      </c>
      <c r="G68" s="10">
        <v>2023</v>
      </c>
      <c r="H68" s="13">
        <v>2024</v>
      </c>
      <c r="I68" s="10">
        <v>2025</v>
      </c>
      <c r="J68" s="10">
        <v>2026</v>
      </c>
      <c r="K68" s="10">
        <v>2027</v>
      </c>
      <c r="L68" s="10">
        <v>2028</v>
      </c>
      <c r="M68" s="10">
        <v>2029</v>
      </c>
      <c r="N68" s="10">
        <v>2030</v>
      </c>
      <c r="O68" s="10">
        <v>2031</v>
      </c>
      <c r="P68" s="10">
        <v>2032</v>
      </c>
      <c r="Q68" s="10">
        <v>2033</v>
      </c>
      <c r="R68" s="10">
        <v>2034</v>
      </c>
      <c r="S68" s="10">
        <v>2035</v>
      </c>
      <c r="T68" s="10">
        <v>2036</v>
      </c>
      <c r="U68" s="10">
        <v>2037</v>
      </c>
      <c r="V68" s="10">
        <v>2038</v>
      </c>
      <c r="W68" s="10">
        <v>2039</v>
      </c>
      <c r="X68" s="10">
        <v>2040</v>
      </c>
      <c r="Y68" s="10">
        <v>2041</v>
      </c>
      <c r="Z68" s="10">
        <v>2042</v>
      </c>
      <c r="AA68" s="10">
        <v>2043</v>
      </c>
    </row>
    <row r="69" spans="1:28" x14ac:dyDescent="0.25">
      <c r="B69" s="14" t="s">
        <v>101</v>
      </c>
      <c r="C69" s="5"/>
      <c r="D69" s="5">
        <v>0</v>
      </c>
      <c r="E69" s="5">
        <v>0</v>
      </c>
      <c r="F69" s="5">
        <v>0</v>
      </c>
      <c r="G69" s="5">
        <v>0</v>
      </c>
      <c r="H69" s="23">
        <f>+'Demanda Regional'!V25</f>
        <v>10401788.834854642</v>
      </c>
      <c r="I69" s="23">
        <f>+'Demanda Regional'!W25</f>
        <v>10775057.317035029</v>
      </c>
      <c r="J69" s="23">
        <f>+'Demanda Regional'!X25</f>
        <v>11122923.596367063</v>
      </c>
      <c r="K69" s="23">
        <f>+'Demanda Regional'!Y25</f>
        <v>11799351.363017118</v>
      </c>
      <c r="L69" s="23">
        <f>+'Demanda Regional'!Z25</f>
        <v>11988386.864284195</v>
      </c>
      <c r="M69" s="23">
        <f>+'Demanda Regional'!AA25</f>
        <v>11951264.697521858</v>
      </c>
      <c r="N69" s="23">
        <f>+'Demanda Regional'!AB25</f>
        <v>12875683.753105074</v>
      </c>
      <c r="O69" s="23">
        <f>+'Demanda Regional'!AC25</f>
        <v>12876347.790734237</v>
      </c>
      <c r="P69" s="23">
        <f>+'Demanda Regional'!AD25</f>
        <v>12673560.710639501</v>
      </c>
      <c r="Q69" s="23">
        <f>+'Demanda Regional'!AE25</f>
        <v>13184886.698473096</v>
      </c>
      <c r="R69" s="23">
        <f>+'Demanda Regional'!AF25</f>
        <v>13184886.698473096</v>
      </c>
      <c r="S69" s="23">
        <f>+'Demanda Regional'!AG25</f>
        <v>13184886.698473096</v>
      </c>
      <c r="T69" s="23">
        <f>+'Demanda Regional'!AH25</f>
        <v>13184886.698473096</v>
      </c>
      <c r="U69" s="23">
        <f>+'Demanda Regional'!AI25</f>
        <v>13184886.698473096</v>
      </c>
      <c r="V69" s="23">
        <f>+'Demanda Regional'!AJ25</f>
        <v>13184886.698473096</v>
      </c>
      <c r="W69" s="23">
        <f>+'Demanda Regional'!AK25</f>
        <v>13184886.698473096</v>
      </c>
      <c r="X69" s="23">
        <f>+'Demanda Regional'!AL25</f>
        <v>13184886.698473096</v>
      </c>
      <c r="Y69" s="23">
        <f>+'Demanda Regional'!AM25</f>
        <v>13184886.698473096</v>
      </c>
      <c r="Z69" s="23">
        <f>+'Demanda Regional'!AN25</f>
        <v>13184886.698473096</v>
      </c>
      <c r="AA69" s="23">
        <f>+'Demanda Regional'!AO25</f>
        <v>13184886.698473096</v>
      </c>
      <c r="AB69" s="125"/>
    </row>
    <row r="70" spans="1:28" x14ac:dyDescent="0.25">
      <c r="B70" t="s">
        <v>29</v>
      </c>
      <c r="C70" s="5">
        <f>(C69)/(1+$G$2)^C67</f>
        <v>0</v>
      </c>
      <c r="D70" s="5">
        <v>0</v>
      </c>
      <c r="E70" s="5">
        <v>0</v>
      </c>
      <c r="F70" s="5">
        <v>0</v>
      </c>
      <c r="G70" s="5">
        <v>0</v>
      </c>
      <c r="H70" s="5">
        <f t="shared" ref="H70:AA70" si="9">(H69)/(1+$G$2)^H67</f>
        <v>5708543.0456781257</v>
      </c>
      <c r="I70" s="5">
        <f t="shared" si="9"/>
        <v>5244695.5848678686</v>
      </c>
      <c r="J70" s="5">
        <f t="shared" si="9"/>
        <v>4801789.3074949905</v>
      </c>
      <c r="K70" s="5">
        <f t="shared" si="9"/>
        <v>4517786.7713421583</v>
      </c>
      <c r="L70" s="5">
        <f t="shared" si="9"/>
        <v>4071100.2244577459</v>
      </c>
      <c r="M70" s="5">
        <f t="shared" si="9"/>
        <v>3599551.2368430062</v>
      </c>
      <c r="N70" s="5">
        <f t="shared" si="9"/>
        <v>3439444.0186423585</v>
      </c>
      <c r="O70" s="5">
        <f t="shared" si="9"/>
        <v>3050661.9965288849</v>
      </c>
      <c r="P70" s="5">
        <f t="shared" si="9"/>
        <v>2663075.581447788</v>
      </c>
      <c r="Q70" s="5">
        <f t="shared" si="9"/>
        <v>2457223.6942080832</v>
      </c>
      <c r="R70" s="5">
        <f t="shared" si="9"/>
        <v>2179355.826348633</v>
      </c>
      <c r="S70" s="5">
        <f t="shared" si="9"/>
        <v>1932909.8238125348</v>
      </c>
      <c r="T70" s="5">
        <f t="shared" si="9"/>
        <v>1714332.4379712061</v>
      </c>
      <c r="U70" s="5">
        <f t="shared" si="9"/>
        <v>1520472.2287992958</v>
      </c>
      <c r="V70" s="5">
        <f t="shared" si="9"/>
        <v>1348534.1275381783</v>
      </c>
      <c r="W70" s="5">
        <f t="shared" si="9"/>
        <v>1196039.1375061448</v>
      </c>
      <c r="X70" s="5">
        <f t="shared" si="9"/>
        <v>1060788.5920231882</v>
      </c>
      <c r="Y70" s="5">
        <f t="shared" si="9"/>
        <v>940832.45412256173</v>
      </c>
      <c r="Z70" s="5">
        <f t="shared" si="9"/>
        <v>834441.20099562022</v>
      </c>
      <c r="AA70" s="5">
        <f t="shared" si="9"/>
        <v>740080.88780099351</v>
      </c>
    </row>
    <row r="71" spans="1:28" ht="18.75" x14ac:dyDescent="0.3">
      <c r="B71" t="s">
        <v>30</v>
      </c>
      <c r="C71" s="11">
        <f>SUM(C70:AA70)</f>
        <v>53021658.178429358</v>
      </c>
    </row>
    <row r="74" spans="1:28" x14ac:dyDescent="0.25">
      <c r="B74" s="12" t="s">
        <v>41</v>
      </c>
    </row>
    <row r="75" spans="1:28" x14ac:dyDescent="0.25">
      <c r="B75" s="10" t="s">
        <v>31</v>
      </c>
    </row>
    <row r="76" spans="1:28" ht="18.75" x14ac:dyDescent="0.3">
      <c r="B76" s="10" t="s">
        <v>40</v>
      </c>
      <c r="C76" s="115">
        <f>+C63/C71</f>
        <v>0.4881463499418161</v>
      </c>
    </row>
    <row r="79" spans="1:28" ht="18.75" x14ac:dyDescent="0.3">
      <c r="A79" s="113" t="s">
        <v>94</v>
      </c>
    </row>
    <row r="80" spans="1:28" ht="18.75" x14ac:dyDescent="0.3">
      <c r="A80" s="113"/>
      <c r="C80" s="10">
        <v>0</v>
      </c>
      <c r="D80" s="10">
        <v>1</v>
      </c>
      <c r="E80" s="10">
        <v>2</v>
      </c>
      <c r="F80" s="10">
        <v>3</v>
      </c>
      <c r="G80" s="10">
        <v>4</v>
      </c>
      <c r="H80" s="10">
        <v>5</v>
      </c>
      <c r="I80" s="10">
        <v>6</v>
      </c>
      <c r="J80" s="10">
        <v>7</v>
      </c>
      <c r="K80" s="10">
        <v>8</v>
      </c>
      <c r="L80" s="10">
        <v>9</v>
      </c>
      <c r="M80" s="10">
        <v>10</v>
      </c>
      <c r="N80" s="10">
        <v>11</v>
      </c>
      <c r="O80" s="10">
        <v>12</v>
      </c>
      <c r="P80" s="10">
        <v>13</v>
      </c>
      <c r="Q80" s="10">
        <v>14</v>
      </c>
      <c r="R80" s="10">
        <v>15</v>
      </c>
      <c r="S80" s="10">
        <v>16</v>
      </c>
      <c r="T80" s="10">
        <v>17</v>
      </c>
      <c r="U80" s="10">
        <v>18</v>
      </c>
      <c r="V80" s="10">
        <v>19</v>
      </c>
      <c r="W80" s="10">
        <v>20</v>
      </c>
      <c r="X80" s="10">
        <v>21</v>
      </c>
      <c r="Y80" s="10">
        <v>22</v>
      </c>
      <c r="Z80" s="10">
        <v>23</v>
      </c>
      <c r="AA80" s="10">
        <v>24</v>
      </c>
    </row>
    <row r="81" spans="2:27" x14ac:dyDescent="0.25">
      <c r="B81" s="12" t="s">
        <v>124</v>
      </c>
      <c r="C81" s="10">
        <v>2019</v>
      </c>
      <c r="D81" s="10">
        <v>2020</v>
      </c>
      <c r="E81" s="10">
        <v>2021</v>
      </c>
      <c r="F81" s="10">
        <v>2022</v>
      </c>
      <c r="G81" s="10">
        <v>2023</v>
      </c>
      <c r="H81" s="10">
        <v>2024</v>
      </c>
      <c r="I81" s="10">
        <v>2025</v>
      </c>
      <c r="J81" s="10">
        <v>2026</v>
      </c>
      <c r="K81" s="10">
        <v>2027</v>
      </c>
      <c r="L81" s="10">
        <v>2028</v>
      </c>
      <c r="M81" s="10">
        <v>2029</v>
      </c>
      <c r="N81" s="10">
        <v>2030</v>
      </c>
      <c r="O81" s="10">
        <v>2031</v>
      </c>
      <c r="P81" s="10">
        <v>2032</v>
      </c>
      <c r="Q81" s="10">
        <v>2033</v>
      </c>
      <c r="R81" s="10">
        <v>2034</v>
      </c>
      <c r="S81" s="10">
        <v>2035</v>
      </c>
      <c r="T81" s="10">
        <v>2036</v>
      </c>
      <c r="U81" s="10">
        <v>2037</v>
      </c>
      <c r="V81" s="10">
        <v>2038</v>
      </c>
      <c r="W81" s="10">
        <v>2039</v>
      </c>
      <c r="X81" s="10">
        <v>2040</v>
      </c>
      <c r="Y81" s="10">
        <v>2041</v>
      </c>
      <c r="Z81" s="10">
        <v>2042</v>
      </c>
      <c r="AA81" s="10">
        <v>2043</v>
      </c>
    </row>
    <row r="82" spans="2:27" x14ac:dyDescent="0.25">
      <c r="B82" t="s">
        <v>24</v>
      </c>
      <c r="H82" s="22">
        <f>+H34*'%  Planta'!F2</f>
        <v>6.4103015926634805</v>
      </c>
    </row>
    <row r="83" spans="2:27" x14ac:dyDescent="0.25">
      <c r="B83" t="s">
        <v>25</v>
      </c>
      <c r="C83" s="5"/>
      <c r="D83" s="5"/>
      <c r="E83" s="5"/>
      <c r="F83" s="5"/>
      <c r="G83" s="5"/>
      <c r="H83" s="24">
        <f>+$H$82*$D$2</f>
        <v>0.1923090477799044</v>
      </c>
      <c r="I83" s="24">
        <f t="shared" ref="I83:AA83" si="10">+$H$82*$D$2</f>
        <v>0.1923090477799044</v>
      </c>
      <c r="J83" s="24">
        <f t="shared" si="10"/>
        <v>0.1923090477799044</v>
      </c>
      <c r="K83" s="24">
        <f t="shared" si="10"/>
        <v>0.1923090477799044</v>
      </c>
      <c r="L83" s="24">
        <f t="shared" si="10"/>
        <v>0.1923090477799044</v>
      </c>
      <c r="M83" s="24">
        <f t="shared" si="10"/>
        <v>0.1923090477799044</v>
      </c>
      <c r="N83" s="24">
        <f t="shared" si="10"/>
        <v>0.1923090477799044</v>
      </c>
      <c r="O83" s="24">
        <f t="shared" si="10"/>
        <v>0.1923090477799044</v>
      </c>
      <c r="P83" s="24">
        <f t="shared" si="10"/>
        <v>0.1923090477799044</v>
      </c>
      <c r="Q83" s="24">
        <f t="shared" si="10"/>
        <v>0.1923090477799044</v>
      </c>
      <c r="R83" s="24">
        <f t="shared" si="10"/>
        <v>0.1923090477799044</v>
      </c>
      <c r="S83" s="24">
        <f t="shared" si="10"/>
        <v>0.1923090477799044</v>
      </c>
      <c r="T83" s="24">
        <f t="shared" si="10"/>
        <v>0.1923090477799044</v>
      </c>
      <c r="U83" s="24">
        <f t="shared" si="10"/>
        <v>0.1923090477799044</v>
      </c>
      <c r="V83" s="24">
        <f t="shared" si="10"/>
        <v>0.1923090477799044</v>
      </c>
      <c r="W83" s="24">
        <f t="shared" si="10"/>
        <v>0.1923090477799044</v>
      </c>
      <c r="X83" s="24">
        <f t="shared" si="10"/>
        <v>0.1923090477799044</v>
      </c>
      <c r="Y83" s="24">
        <f t="shared" si="10"/>
        <v>0.1923090477799044</v>
      </c>
      <c r="Z83" s="24">
        <f t="shared" si="10"/>
        <v>0.1923090477799044</v>
      </c>
      <c r="AA83" s="24">
        <f t="shared" si="10"/>
        <v>0.1923090477799044</v>
      </c>
    </row>
    <row r="84" spans="2:27" x14ac:dyDescent="0.25">
      <c r="B84" s="20"/>
      <c r="C84" s="5">
        <f>+C83+C82</f>
        <v>0</v>
      </c>
      <c r="D84" s="5">
        <f t="shared" ref="D84:G84" si="11">+D83+D82</f>
        <v>0</v>
      </c>
      <c r="E84" s="5">
        <f t="shared" si="11"/>
        <v>0</v>
      </c>
      <c r="F84" s="5">
        <f t="shared" si="11"/>
        <v>0</v>
      </c>
      <c r="G84" s="5">
        <f t="shared" si="11"/>
        <v>0</v>
      </c>
      <c r="H84" s="5">
        <f>+H83+H82</f>
        <v>6.6026106404433849</v>
      </c>
      <c r="I84" s="5">
        <f t="shared" ref="I84:AA84" si="12">+I83+I82</f>
        <v>0.1923090477799044</v>
      </c>
      <c r="J84" s="5">
        <f t="shared" si="12"/>
        <v>0.1923090477799044</v>
      </c>
      <c r="K84" s="5">
        <f t="shared" si="12"/>
        <v>0.1923090477799044</v>
      </c>
      <c r="L84" s="5">
        <f t="shared" si="12"/>
        <v>0.1923090477799044</v>
      </c>
      <c r="M84" s="5">
        <f t="shared" si="12"/>
        <v>0.1923090477799044</v>
      </c>
      <c r="N84" s="5">
        <f t="shared" si="12"/>
        <v>0.1923090477799044</v>
      </c>
      <c r="O84" s="5">
        <f t="shared" si="12"/>
        <v>0.1923090477799044</v>
      </c>
      <c r="P84" s="5">
        <f t="shared" si="12"/>
        <v>0.1923090477799044</v>
      </c>
      <c r="Q84" s="5">
        <f t="shared" si="12"/>
        <v>0.1923090477799044</v>
      </c>
      <c r="R84" s="5">
        <f t="shared" si="12"/>
        <v>0.1923090477799044</v>
      </c>
      <c r="S84" s="5">
        <f t="shared" si="12"/>
        <v>0.1923090477799044</v>
      </c>
      <c r="T84" s="5">
        <f t="shared" si="12"/>
        <v>0.1923090477799044</v>
      </c>
      <c r="U84" s="5">
        <f t="shared" si="12"/>
        <v>0.1923090477799044</v>
      </c>
      <c r="V84" s="5">
        <f t="shared" si="12"/>
        <v>0.1923090477799044</v>
      </c>
      <c r="W84" s="5">
        <f t="shared" si="12"/>
        <v>0.1923090477799044</v>
      </c>
      <c r="X84" s="5">
        <f t="shared" si="12"/>
        <v>0.1923090477799044</v>
      </c>
      <c r="Y84" s="5">
        <f t="shared" si="12"/>
        <v>0.1923090477799044</v>
      </c>
      <c r="Z84" s="5">
        <f t="shared" si="12"/>
        <v>0.1923090477799044</v>
      </c>
      <c r="AA84" s="5">
        <f t="shared" si="12"/>
        <v>0.1923090477799044</v>
      </c>
    </row>
    <row r="85" spans="2:27" x14ac:dyDescent="0.25">
      <c r="B85" t="s">
        <v>26</v>
      </c>
      <c r="C85" s="5">
        <f t="shared" ref="C85:AA85" si="13">(C83/(1+$G$2)^C80)+(C82/(1+$G$2)^C80)</f>
        <v>0</v>
      </c>
      <c r="D85" s="5">
        <f t="shared" si="13"/>
        <v>0</v>
      </c>
      <c r="E85" s="5">
        <f t="shared" si="13"/>
        <v>0</v>
      </c>
      <c r="F85" s="5">
        <f t="shared" si="13"/>
        <v>0</v>
      </c>
      <c r="G85" s="5">
        <f t="shared" si="13"/>
        <v>0</v>
      </c>
      <c r="H85" s="5">
        <f t="shared" si="13"/>
        <v>3.6235389559655671</v>
      </c>
      <c r="I85" s="5">
        <f t="shared" si="13"/>
        <v>9.3605294537676353E-2</v>
      </c>
      <c r="J85" s="5">
        <f t="shared" si="13"/>
        <v>8.3020216884857098E-2</v>
      </c>
      <c r="K85" s="5">
        <f t="shared" si="13"/>
        <v>7.3632121405638212E-2</v>
      </c>
      <c r="L85" s="5">
        <f t="shared" si="13"/>
        <v>6.5305650914091545E-2</v>
      </c>
      <c r="M85" s="5">
        <f t="shared" si="13"/>
        <v>5.7920754690990284E-2</v>
      </c>
      <c r="N85" s="5">
        <f t="shared" si="13"/>
        <v>5.1370957597330638E-2</v>
      </c>
      <c r="O85" s="5">
        <f t="shared" si="13"/>
        <v>4.5561824920027166E-2</v>
      </c>
      <c r="P85" s="5">
        <f t="shared" si="13"/>
        <v>4.0409600815988621E-2</v>
      </c>
      <c r="Q85" s="5">
        <f t="shared" si="13"/>
        <v>3.584000072371496E-2</v>
      </c>
      <c r="R85" s="5">
        <f t="shared" si="13"/>
        <v>3.1787140331454515E-2</v>
      </c>
      <c r="S85" s="5">
        <f t="shared" si="13"/>
        <v>2.819258565982662E-2</v>
      </c>
      <c r="T85" s="5">
        <f t="shared" si="13"/>
        <v>2.5004510563039133E-2</v>
      </c>
      <c r="U85" s="5">
        <f t="shared" si="13"/>
        <v>2.2176949501586812E-2</v>
      </c>
      <c r="V85" s="5">
        <f t="shared" si="13"/>
        <v>1.9669134812937309E-2</v>
      </c>
      <c r="W85" s="5">
        <f t="shared" si="13"/>
        <v>1.7444908924999829E-2</v>
      </c>
      <c r="X85" s="5">
        <f t="shared" si="13"/>
        <v>1.5472203037693864E-2</v>
      </c>
      <c r="Y85" s="5">
        <f t="shared" si="13"/>
        <v>1.3722574756269501E-2</v>
      </c>
      <c r="Z85" s="5">
        <f t="shared" si="13"/>
        <v>1.2170798009995125E-2</v>
      </c>
      <c r="AA85" s="5">
        <f t="shared" si="13"/>
        <v>1.0794499343676385E-2</v>
      </c>
    </row>
    <row r="86" spans="2:27" ht="18.75" x14ac:dyDescent="0.3">
      <c r="B86" t="s">
        <v>27</v>
      </c>
      <c r="C86" s="11">
        <f>SUM(C85:AA85)*1000000</f>
        <v>4366640.6833973601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2:27" x14ac:dyDescent="0.25">
      <c r="C87" s="20"/>
    </row>
    <row r="88" spans="2:27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90" spans="2:27" x14ac:dyDescent="0.25">
      <c r="C90" s="10">
        <v>0</v>
      </c>
      <c r="D90" s="10">
        <v>1</v>
      </c>
      <c r="E90" s="10">
        <v>2</v>
      </c>
      <c r="F90" s="10">
        <v>3</v>
      </c>
      <c r="G90" s="10">
        <v>4</v>
      </c>
      <c r="H90" s="13">
        <v>5</v>
      </c>
      <c r="I90" s="10">
        <v>6</v>
      </c>
      <c r="J90" s="10">
        <v>7</v>
      </c>
      <c r="K90" s="10">
        <v>8</v>
      </c>
      <c r="L90" s="10">
        <v>9</v>
      </c>
      <c r="M90" s="10">
        <v>10</v>
      </c>
      <c r="N90" s="10">
        <v>11</v>
      </c>
      <c r="O90" s="10">
        <v>12</v>
      </c>
      <c r="P90" s="10">
        <v>13</v>
      </c>
      <c r="Q90" s="10">
        <v>14</v>
      </c>
      <c r="R90" s="10">
        <v>15</v>
      </c>
      <c r="S90" s="10">
        <v>16</v>
      </c>
      <c r="T90" s="10">
        <v>17</v>
      </c>
      <c r="U90" s="10">
        <v>18</v>
      </c>
      <c r="V90" s="10">
        <v>19</v>
      </c>
      <c r="W90" s="10">
        <v>20</v>
      </c>
      <c r="X90" s="10">
        <v>21</v>
      </c>
      <c r="Y90" s="10">
        <v>22</v>
      </c>
      <c r="Z90" s="10">
        <v>23</v>
      </c>
      <c r="AA90" s="10">
        <v>24</v>
      </c>
    </row>
    <row r="91" spans="2:27" x14ac:dyDescent="0.25">
      <c r="B91" s="12" t="s">
        <v>28</v>
      </c>
      <c r="C91" s="10">
        <v>2019</v>
      </c>
      <c r="D91" s="10">
        <v>2020</v>
      </c>
      <c r="E91" s="10">
        <v>2021</v>
      </c>
      <c r="F91" s="10">
        <v>2022</v>
      </c>
      <c r="G91" s="10">
        <v>2023</v>
      </c>
      <c r="H91" s="13">
        <v>2024</v>
      </c>
      <c r="I91" s="10">
        <v>2025</v>
      </c>
      <c r="J91" s="10">
        <v>2026</v>
      </c>
      <c r="K91" s="10">
        <v>2027</v>
      </c>
      <c r="L91" s="10">
        <v>2028</v>
      </c>
      <c r="M91" s="10">
        <v>2029</v>
      </c>
      <c r="N91" s="10">
        <v>2030</v>
      </c>
      <c r="O91" s="10">
        <v>2031</v>
      </c>
      <c r="P91" s="10">
        <v>2032</v>
      </c>
      <c r="Q91" s="10">
        <v>2033</v>
      </c>
      <c r="R91" s="10">
        <v>2034</v>
      </c>
      <c r="S91" s="10">
        <v>2035</v>
      </c>
      <c r="T91" s="10">
        <v>2036</v>
      </c>
      <c r="U91" s="10">
        <v>2037</v>
      </c>
      <c r="V91" s="10">
        <v>2038</v>
      </c>
      <c r="W91" s="10">
        <v>2039</v>
      </c>
      <c r="X91" s="10">
        <v>2040</v>
      </c>
      <c r="Y91" s="10">
        <v>2041</v>
      </c>
      <c r="Z91" s="10">
        <v>2042</v>
      </c>
      <c r="AA91" s="10">
        <v>2043</v>
      </c>
    </row>
    <row r="92" spans="2:27" x14ac:dyDescent="0.25">
      <c r="B92" s="14" t="s">
        <v>101</v>
      </c>
      <c r="C92" s="5"/>
      <c r="D92" s="5">
        <v>0</v>
      </c>
      <c r="E92" s="5">
        <v>0</v>
      </c>
      <c r="F92" s="5">
        <v>0</v>
      </c>
      <c r="G92" s="5">
        <v>0</v>
      </c>
      <c r="H92" s="23">
        <f>+'Demanda Regional'!V25</f>
        <v>10401788.834854642</v>
      </c>
      <c r="I92" s="23">
        <f>+'Demanda Regional'!W25</f>
        <v>10775057.317035029</v>
      </c>
      <c r="J92" s="23">
        <f>+'Demanda Regional'!X25</f>
        <v>11122923.596367063</v>
      </c>
      <c r="K92" s="23">
        <f>+'Demanda Regional'!Y25</f>
        <v>11799351.363017118</v>
      </c>
      <c r="L92" s="23">
        <f>+'Demanda Regional'!Z25</f>
        <v>11988386.864284195</v>
      </c>
      <c r="M92" s="23">
        <f>+'Demanda Regional'!AA25</f>
        <v>11951264.697521858</v>
      </c>
      <c r="N92" s="23">
        <f>+'Demanda Regional'!AB25</f>
        <v>12875683.753105074</v>
      </c>
      <c r="O92" s="23">
        <f>+'Demanda Regional'!AC25</f>
        <v>12876347.790734237</v>
      </c>
      <c r="P92" s="23">
        <f>+'Demanda Regional'!AD25</f>
        <v>12673560.710639501</v>
      </c>
      <c r="Q92" s="23">
        <f>+'Demanda Regional'!AE25</f>
        <v>13184886.698473096</v>
      </c>
      <c r="R92" s="23">
        <f>+'Demanda Regional'!AF25</f>
        <v>13184886.698473096</v>
      </c>
      <c r="S92" s="23">
        <f>+'Demanda Regional'!AG25</f>
        <v>13184886.698473096</v>
      </c>
      <c r="T92" s="23">
        <f>+'Demanda Regional'!AH25</f>
        <v>13184886.698473096</v>
      </c>
      <c r="U92" s="23">
        <f>+'Demanda Regional'!AI25</f>
        <v>13184886.698473096</v>
      </c>
      <c r="V92" s="23">
        <f>+'Demanda Regional'!AJ25</f>
        <v>13184886.698473096</v>
      </c>
      <c r="W92" s="23">
        <f>+'Demanda Regional'!AK25</f>
        <v>13184886.698473096</v>
      </c>
      <c r="X92" s="23">
        <f>+'Demanda Regional'!AL25</f>
        <v>13184886.698473096</v>
      </c>
      <c r="Y92" s="23">
        <f>+'Demanda Regional'!AM25</f>
        <v>13184886.698473096</v>
      </c>
      <c r="Z92" s="23">
        <f>+'Demanda Regional'!AN25</f>
        <v>13184886.698473096</v>
      </c>
      <c r="AA92" s="23">
        <f>+'Demanda Regional'!AO25</f>
        <v>13184886.698473096</v>
      </c>
    </row>
    <row r="93" spans="2:27" x14ac:dyDescent="0.25">
      <c r="B93" t="s">
        <v>29</v>
      </c>
      <c r="C93" s="5">
        <f>(C92)/(1+$G$2)^C90</f>
        <v>0</v>
      </c>
      <c r="D93" s="5">
        <v>0</v>
      </c>
      <c r="E93" s="5">
        <v>0</v>
      </c>
      <c r="F93" s="5">
        <v>0</v>
      </c>
      <c r="G93" s="5">
        <v>0</v>
      </c>
      <c r="H93" s="5">
        <f t="shared" ref="H93:AA93" si="14">(H92)/(1+$G$2)^H90</f>
        <v>5708543.0456781257</v>
      </c>
      <c r="I93" s="5">
        <f t="shared" si="14"/>
        <v>5244695.5848678686</v>
      </c>
      <c r="J93" s="5">
        <f t="shared" si="14"/>
        <v>4801789.3074949905</v>
      </c>
      <c r="K93" s="5">
        <f t="shared" si="14"/>
        <v>4517786.7713421583</v>
      </c>
      <c r="L93" s="5">
        <f t="shared" si="14"/>
        <v>4071100.2244577459</v>
      </c>
      <c r="M93" s="5">
        <f t="shared" si="14"/>
        <v>3599551.2368430062</v>
      </c>
      <c r="N93" s="5">
        <f t="shared" si="14"/>
        <v>3439444.0186423585</v>
      </c>
      <c r="O93" s="5">
        <f t="shared" si="14"/>
        <v>3050661.9965288849</v>
      </c>
      <c r="P93" s="5">
        <f t="shared" si="14"/>
        <v>2663075.581447788</v>
      </c>
      <c r="Q93" s="5">
        <f t="shared" si="14"/>
        <v>2457223.6942080832</v>
      </c>
      <c r="R93" s="5">
        <f t="shared" si="14"/>
        <v>2179355.826348633</v>
      </c>
      <c r="S93" s="5">
        <f t="shared" si="14"/>
        <v>1932909.8238125348</v>
      </c>
      <c r="T93" s="5">
        <f t="shared" si="14"/>
        <v>1714332.4379712061</v>
      </c>
      <c r="U93" s="5">
        <f t="shared" si="14"/>
        <v>1520472.2287992958</v>
      </c>
      <c r="V93" s="5">
        <f t="shared" si="14"/>
        <v>1348534.1275381783</v>
      </c>
      <c r="W93" s="5">
        <f t="shared" si="14"/>
        <v>1196039.1375061448</v>
      </c>
      <c r="X93" s="5">
        <f t="shared" si="14"/>
        <v>1060788.5920231882</v>
      </c>
      <c r="Y93" s="5">
        <f t="shared" si="14"/>
        <v>940832.45412256173</v>
      </c>
      <c r="Z93" s="5">
        <f t="shared" si="14"/>
        <v>834441.20099562022</v>
      </c>
      <c r="AA93" s="5">
        <f t="shared" si="14"/>
        <v>740080.88780099351</v>
      </c>
    </row>
    <row r="94" spans="2:27" ht="18.75" x14ac:dyDescent="0.3">
      <c r="B94" t="s">
        <v>30</v>
      </c>
      <c r="C94" s="11">
        <f>SUM(C93:AA93)</f>
        <v>53021658.178429358</v>
      </c>
    </row>
    <row r="97" spans="2:3" x14ac:dyDescent="0.25">
      <c r="B97" s="12" t="s">
        <v>41</v>
      </c>
    </row>
    <row r="98" spans="2:3" x14ac:dyDescent="0.25">
      <c r="B98" s="10" t="s">
        <v>31</v>
      </c>
    </row>
    <row r="99" spans="2:3" ht="18.75" x14ac:dyDescent="0.3">
      <c r="B99" s="10" t="s">
        <v>40</v>
      </c>
      <c r="C99" s="116">
        <f>+C86/C94</f>
        <v>8.235579258390352E-2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showGridLines="0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19.42578125" bestFit="1" customWidth="1"/>
    <col min="2" max="2" width="25.28515625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15" t="s">
        <v>123</v>
      </c>
      <c r="C2" s="140" t="str">
        <f>+'%  Planta'!C12</f>
        <v>Magdalena Medio</v>
      </c>
      <c r="D2" s="43">
        <v>0.03</v>
      </c>
      <c r="E2" s="27">
        <v>700</v>
      </c>
      <c r="F2" s="27">
        <v>2024</v>
      </c>
      <c r="G2" s="43">
        <v>0.1275</v>
      </c>
    </row>
    <row r="5" spans="1:27" ht="18.75" x14ac:dyDescent="0.3">
      <c r="A5" s="113" t="s">
        <v>88</v>
      </c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22">
        <f>+E2*'%  Planta'!E12*'%  Planta'!F4</f>
        <v>165.88005059809095</v>
      </c>
    </row>
    <row r="8" spans="1:27" x14ac:dyDescent="0.25">
      <c r="B8" t="s">
        <v>25</v>
      </c>
      <c r="C8" s="5"/>
      <c r="D8" s="5"/>
      <c r="E8" s="5"/>
      <c r="F8" s="5"/>
      <c r="G8" s="5"/>
      <c r="H8" s="5">
        <f t="shared" ref="H8:AA8" si="0">$H$7*$D$2</f>
        <v>4.9764015179427279</v>
      </c>
      <c r="I8" s="5">
        <f t="shared" si="0"/>
        <v>4.9764015179427279</v>
      </c>
      <c r="J8" s="5">
        <f t="shared" si="0"/>
        <v>4.9764015179427279</v>
      </c>
      <c r="K8" s="5">
        <f t="shared" si="0"/>
        <v>4.9764015179427279</v>
      </c>
      <c r="L8" s="5">
        <f t="shared" si="0"/>
        <v>4.9764015179427279</v>
      </c>
      <c r="M8" s="5">
        <f t="shared" si="0"/>
        <v>4.9764015179427279</v>
      </c>
      <c r="N8" s="5">
        <f t="shared" si="0"/>
        <v>4.9764015179427279</v>
      </c>
      <c r="O8" s="5">
        <f t="shared" si="0"/>
        <v>4.9764015179427279</v>
      </c>
      <c r="P8" s="5">
        <f t="shared" si="0"/>
        <v>4.9764015179427279</v>
      </c>
      <c r="Q8" s="5">
        <f t="shared" si="0"/>
        <v>4.9764015179427279</v>
      </c>
      <c r="R8" s="5">
        <f t="shared" si="0"/>
        <v>4.9764015179427279</v>
      </c>
      <c r="S8" s="5">
        <f t="shared" si="0"/>
        <v>4.9764015179427279</v>
      </c>
      <c r="T8" s="5">
        <f t="shared" si="0"/>
        <v>4.9764015179427279</v>
      </c>
      <c r="U8" s="5">
        <f t="shared" si="0"/>
        <v>4.9764015179427279</v>
      </c>
      <c r="V8" s="5">
        <f t="shared" si="0"/>
        <v>4.9764015179427279</v>
      </c>
      <c r="W8" s="5">
        <f t="shared" si="0"/>
        <v>4.9764015179427279</v>
      </c>
      <c r="X8" s="5">
        <f t="shared" si="0"/>
        <v>4.9764015179427279</v>
      </c>
      <c r="Y8" s="5">
        <f t="shared" si="0"/>
        <v>4.9764015179427279</v>
      </c>
      <c r="Z8" s="5">
        <f t="shared" si="0"/>
        <v>4.9764015179427279</v>
      </c>
      <c r="AA8" s="5">
        <f t="shared" si="0"/>
        <v>4.9764015179427279</v>
      </c>
    </row>
    <row r="9" spans="1:27" x14ac:dyDescent="0.25">
      <c r="B9" t="s">
        <v>26</v>
      </c>
      <c r="C9" s="5">
        <f>(C8/(1+$G$2)^C5)+(C7/(1+$G$2)^C5)</f>
        <v>0</v>
      </c>
      <c r="D9" s="5">
        <f t="shared" ref="D9:AA9" si="1">(D8/(1+$G$2)^D5)+(D7/(1+$G$2)^D5)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93.766699845705091</v>
      </c>
      <c r="I9" s="5">
        <f t="shared" si="1"/>
        <v>2.4222340820796524</v>
      </c>
      <c r="J9" s="5">
        <f t="shared" si="1"/>
        <v>2.1483229109353905</v>
      </c>
      <c r="K9" s="5">
        <f t="shared" si="1"/>
        <v>1.9053861737786166</v>
      </c>
      <c r="L9" s="5">
        <f t="shared" si="1"/>
        <v>1.6899212184289285</v>
      </c>
      <c r="M9" s="5">
        <f t="shared" si="1"/>
        <v>1.4988214797595818</v>
      </c>
      <c r="N9" s="5">
        <f t="shared" si="1"/>
        <v>1.329331689365483</v>
      </c>
      <c r="O9" s="5">
        <f t="shared" si="1"/>
        <v>1.1790081502132883</v>
      </c>
      <c r="P9" s="5">
        <f t="shared" si="1"/>
        <v>1.045683503515112</v>
      </c>
      <c r="Q9" s="5">
        <f t="shared" si="1"/>
        <v>0.92743547983601926</v>
      </c>
      <c r="R9" s="5">
        <f t="shared" si="1"/>
        <v>0.82255918389003946</v>
      </c>
      <c r="S9" s="5">
        <f t="shared" si="1"/>
        <v>0.72954251342797283</v>
      </c>
      <c r="T9" s="5">
        <f t="shared" si="1"/>
        <v>0.64704435780751468</v>
      </c>
      <c r="U9" s="5">
        <f t="shared" si="1"/>
        <v>0.57387526191353855</v>
      </c>
      <c r="V9" s="5">
        <f t="shared" si="1"/>
        <v>0.50898027664171941</v>
      </c>
      <c r="W9" s="5">
        <f t="shared" si="1"/>
        <v>0.45142374868445173</v>
      </c>
      <c r="X9" s="5">
        <f t="shared" si="1"/>
        <v>0.40037583031880425</v>
      </c>
      <c r="Y9" s="5">
        <f t="shared" si="1"/>
        <v>0.35510051469517007</v>
      </c>
      <c r="Z9" s="5">
        <f t="shared" si="1"/>
        <v>0.31494502411988484</v>
      </c>
      <c r="AA9" s="5">
        <f t="shared" si="1"/>
        <v>0.27933039833249207</v>
      </c>
    </row>
    <row r="10" spans="1:27" ht="18.75" x14ac:dyDescent="0.3">
      <c r="B10" t="s">
        <v>27</v>
      </c>
      <c r="C10" s="11">
        <f>SUM(C9:AA9)*1000000</f>
        <v>112996021.64344877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7" x14ac:dyDescent="0.25">
      <c r="C11" s="20"/>
    </row>
    <row r="12" spans="1:27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7" x14ac:dyDescent="0.25"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  <c r="Z14" s="10">
        <v>23</v>
      </c>
      <c r="AA14" s="10">
        <v>24</v>
      </c>
    </row>
    <row r="15" spans="1:27" x14ac:dyDescent="0.25">
      <c r="A15" s="10"/>
      <c r="B15" s="12" t="s">
        <v>28</v>
      </c>
      <c r="C15" s="10">
        <v>2019</v>
      </c>
      <c r="D15" s="10">
        <v>2020</v>
      </c>
      <c r="E15" s="10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  <c r="Z15" s="10">
        <v>2042</v>
      </c>
      <c r="AA15" s="10">
        <v>2043</v>
      </c>
    </row>
    <row r="16" spans="1:27" x14ac:dyDescent="0.25">
      <c r="A16">
        <v>2024</v>
      </c>
      <c r="B16" s="14" t="s">
        <v>102</v>
      </c>
      <c r="C16" s="5"/>
      <c r="D16" s="5"/>
      <c r="E16" s="5"/>
      <c r="F16" s="5"/>
      <c r="G16" s="5"/>
      <c r="H16" s="23">
        <f>+'Demanda Regional'!V8</f>
        <v>49928586.407302275</v>
      </c>
      <c r="I16" s="23">
        <f>+'Demanda Regional'!W8</f>
        <v>51720275.121768147</v>
      </c>
      <c r="J16" s="23">
        <f>+'Demanda Regional'!X8</f>
        <v>53390033.262561895</v>
      </c>
      <c r="K16" s="23">
        <f>+'Demanda Regional'!Y8</f>
        <v>56636886.542482175</v>
      </c>
      <c r="L16" s="23">
        <f>+'Demanda Regional'!Z8</f>
        <v>57544256.948564127</v>
      </c>
      <c r="M16" s="23">
        <f>+'Demanda Regional'!AA8</f>
        <v>57366070.548104912</v>
      </c>
      <c r="N16" s="23">
        <f>+'Demanda Regional'!AB8</f>
        <v>61803282.014904343</v>
      </c>
      <c r="O16" s="23">
        <f>+'Demanda Regional'!AC8</f>
        <v>61806469.395524338</v>
      </c>
      <c r="P16" s="23">
        <f>+'Demanda Regional'!AD8</f>
        <v>60833091.411069594</v>
      </c>
      <c r="Q16" s="23">
        <f>+'Demanda Regional'!AE8</f>
        <v>63287456.152670838</v>
      </c>
      <c r="R16" s="23">
        <f>+'Demanda Regional'!AF8</f>
        <v>63287456.152670838</v>
      </c>
      <c r="S16" s="23">
        <f>+'Demanda Regional'!AG8</f>
        <v>63287456.152670838</v>
      </c>
      <c r="T16" s="23">
        <f>+'Demanda Regional'!AH8</f>
        <v>63287456.152670838</v>
      </c>
      <c r="U16" s="23">
        <f>+'Demanda Regional'!AI8</f>
        <v>63287456.152670838</v>
      </c>
      <c r="V16" s="23">
        <f>+'Demanda Regional'!AJ8</f>
        <v>63287456.152670838</v>
      </c>
      <c r="W16" s="23">
        <f>+'Demanda Regional'!AK8</f>
        <v>63287456.152670838</v>
      </c>
      <c r="X16" s="23">
        <f>+'Demanda Regional'!AL8</f>
        <v>63287456.152670838</v>
      </c>
      <c r="Y16" s="23">
        <f>+'Demanda Regional'!AM8</f>
        <v>63287456.152670838</v>
      </c>
      <c r="Z16" s="23">
        <f>+'Demanda Regional'!AN8</f>
        <v>63287456.152670838</v>
      </c>
      <c r="AA16" s="23">
        <f>+'Demanda Regional'!AO8</f>
        <v>63287456.152670838</v>
      </c>
    </row>
    <row r="17" spans="1:27" x14ac:dyDescent="0.25">
      <c r="A17">
        <v>2043</v>
      </c>
      <c r="B17" t="s">
        <v>29</v>
      </c>
      <c r="C17" s="5">
        <f>(C16)/(1+$G$2)^C14</f>
        <v>0</v>
      </c>
      <c r="D17" s="5">
        <f t="shared" ref="D17:AA17" si="2">(D16)/(1+$G$2)^D14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27401006.619254999</v>
      </c>
      <c r="I17" s="5">
        <f t="shared" si="2"/>
        <v>25174538.807365775</v>
      </c>
      <c r="J17" s="5">
        <f t="shared" si="2"/>
        <v>23048588.675975952</v>
      </c>
      <c r="K17" s="5">
        <f t="shared" si="2"/>
        <v>21685376.502442364</v>
      </c>
      <c r="L17" s="5">
        <f t="shared" si="2"/>
        <v>19541281.077397179</v>
      </c>
      <c r="M17" s="5">
        <f t="shared" si="2"/>
        <v>17277845.936846428</v>
      </c>
      <c r="N17" s="5">
        <f t="shared" si="2"/>
        <v>16509331.289483318</v>
      </c>
      <c r="O17" s="5">
        <f t="shared" si="2"/>
        <v>14643177.583338648</v>
      </c>
      <c r="P17" s="5">
        <f t="shared" si="2"/>
        <v>12782762.79094938</v>
      </c>
      <c r="Q17" s="5">
        <f t="shared" si="2"/>
        <v>11794673.732198795</v>
      </c>
      <c r="R17" s="5">
        <f t="shared" si="2"/>
        <v>10460907.966473436</v>
      </c>
      <c r="S17" s="5">
        <f t="shared" si="2"/>
        <v>9277967.1543001644</v>
      </c>
      <c r="T17" s="5">
        <f t="shared" si="2"/>
        <v>8228795.702261786</v>
      </c>
      <c r="U17" s="5">
        <f t="shared" si="2"/>
        <v>7298266.6982366173</v>
      </c>
      <c r="V17" s="5">
        <f t="shared" si="2"/>
        <v>6472963.8121832535</v>
      </c>
      <c r="W17" s="5">
        <f t="shared" si="2"/>
        <v>5740987.8600294925</v>
      </c>
      <c r="X17" s="5">
        <f t="shared" si="2"/>
        <v>5091785.2417113027</v>
      </c>
      <c r="Y17" s="5">
        <f t="shared" si="2"/>
        <v>4515995.7797882948</v>
      </c>
      <c r="Z17" s="5">
        <f t="shared" si="2"/>
        <v>4005317.7647789759</v>
      </c>
      <c r="AA17" s="5">
        <f t="shared" si="2"/>
        <v>3552388.2614447675</v>
      </c>
    </row>
    <row r="18" spans="1:27" ht="18.75" x14ac:dyDescent="0.3">
      <c r="B18" t="s">
        <v>30</v>
      </c>
      <c r="C18" s="11">
        <f>SUM(H17:AA17)</f>
        <v>254503959.25646088</v>
      </c>
    </row>
    <row r="19" spans="1:27" x14ac:dyDescent="0.25">
      <c r="E19" s="10"/>
    </row>
    <row r="20" spans="1:2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B23" s="12" t="s">
        <v>41</v>
      </c>
      <c r="E23" s="10"/>
    </row>
    <row r="24" spans="1:27" x14ac:dyDescent="0.25">
      <c r="B24" s="10" t="s">
        <v>31</v>
      </c>
      <c r="E24" s="10"/>
    </row>
    <row r="25" spans="1:27" ht="18.75" x14ac:dyDescent="0.3">
      <c r="B25" s="10" t="s">
        <v>40</v>
      </c>
      <c r="C25" s="21">
        <f>+C10/C18</f>
        <v>0.44398531941730585</v>
      </c>
      <c r="D25" s="10"/>
      <c r="E25" s="10"/>
    </row>
    <row r="29" spans="1:27" ht="18.75" x14ac:dyDescent="0.3">
      <c r="A29" s="113" t="s">
        <v>87</v>
      </c>
    </row>
    <row r="31" spans="1:27" ht="18.75" x14ac:dyDescent="0.3">
      <c r="A31" s="113"/>
      <c r="C31" s="10">
        <v>0</v>
      </c>
      <c r="D31" s="10">
        <v>1</v>
      </c>
      <c r="E31" s="10">
        <v>2</v>
      </c>
      <c r="F31" s="10">
        <v>3</v>
      </c>
      <c r="G31" s="10">
        <v>4</v>
      </c>
      <c r="H31" s="10">
        <v>5</v>
      </c>
      <c r="I31" s="10">
        <v>6</v>
      </c>
      <c r="J31" s="10">
        <v>7</v>
      </c>
      <c r="K31" s="10">
        <v>8</v>
      </c>
      <c r="L31" s="10">
        <v>9</v>
      </c>
      <c r="M31" s="10">
        <v>10</v>
      </c>
      <c r="N31" s="10">
        <v>11</v>
      </c>
      <c r="O31" s="10">
        <v>12</v>
      </c>
      <c r="P31" s="10">
        <v>13</v>
      </c>
      <c r="Q31" s="10">
        <v>14</v>
      </c>
      <c r="R31" s="10">
        <v>15</v>
      </c>
      <c r="S31" s="10">
        <v>16</v>
      </c>
      <c r="T31" s="10">
        <v>17</v>
      </c>
      <c r="U31" s="10">
        <v>18</v>
      </c>
      <c r="V31" s="10">
        <v>19</v>
      </c>
      <c r="W31" s="10">
        <v>20</v>
      </c>
      <c r="X31" s="10">
        <v>21</v>
      </c>
      <c r="Y31" s="10">
        <v>22</v>
      </c>
      <c r="Z31" s="10">
        <v>23</v>
      </c>
      <c r="AA31" s="10">
        <v>24</v>
      </c>
    </row>
    <row r="32" spans="1:27" x14ac:dyDescent="0.25">
      <c r="B32" s="12" t="s">
        <v>124</v>
      </c>
      <c r="C32" s="10">
        <v>2019</v>
      </c>
      <c r="D32" s="10">
        <v>2020</v>
      </c>
      <c r="E32" s="10">
        <v>2021</v>
      </c>
      <c r="F32" s="10">
        <v>2022</v>
      </c>
      <c r="G32" s="10">
        <v>2023</v>
      </c>
      <c r="H32" s="10">
        <v>2024</v>
      </c>
      <c r="I32" s="10">
        <v>2025</v>
      </c>
      <c r="J32" s="10">
        <v>2026</v>
      </c>
      <c r="K32" s="10">
        <v>2027</v>
      </c>
      <c r="L32" s="10">
        <v>2028</v>
      </c>
      <c r="M32" s="10">
        <v>2029</v>
      </c>
      <c r="N32" s="10">
        <v>2030</v>
      </c>
      <c r="O32" s="10">
        <v>2031</v>
      </c>
      <c r="P32" s="10">
        <v>2032</v>
      </c>
      <c r="Q32" s="10">
        <v>2033</v>
      </c>
      <c r="R32" s="10">
        <v>2034</v>
      </c>
      <c r="S32" s="10">
        <v>2035</v>
      </c>
      <c r="T32" s="10">
        <v>2036</v>
      </c>
      <c r="U32" s="10">
        <v>2037</v>
      </c>
      <c r="V32" s="10">
        <v>2038</v>
      </c>
      <c r="W32" s="10">
        <v>2039</v>
      </c>
      <c r="X32" s="10">
        <v>2040</v>
      </c>
      <c r="Y32" s="10">
        <v>2041</v>
      </c>
      <c r="Z32" s="10">
        <v>2042</v>
      </c>
      <c r="AA32" s="10">
        <v>2043</v>
      </c>
    </row>
    <row r="33" spans="1:27" x14ac:dyDescent="0.25">
      <c r="B33" t="s">
        <v>24</v>
      </c>
      <c r="H33" s="22">
        <f>+E2*'%  Planta'!F3*'%  Planta'!F12</f>
        <v>28.597344886799366</v>
      </c>
    </row>
    <row r="34" spans="1:27" x14ac:dyDescent="0.25">
      <c r="B34" t="s">
        <v>25</v>
      </c>
      <c r="C34" s="5"/>
      <c r="D34" s="5"/>
      <c r="E34" s="5"/>
      <c r="F34" s="5"/>
      <c r="G34" s="5"/>
      <c r="H34" s="5">
        <f>$H$33*$D$2</f>
        <v>0.85792034660398098</v>
      </c>
      <c r="I34" s="5">
        <f t="shared" ref="I34:AA34" si="3">$H$33*$D$2</f>
        <v>0.85792034660398098</v>
      </c>
      <c r="J34" s="5">
        <f t="shared" si="3"/>
        <v>0.85792034660398098</v>
      </c>
      <c r="K34" s="5">
        <f t="shared" si="3"/>
        <v>0.85792034660398098</v>
      </c>
      <c r="L34" s="5">
        <f t="shared" si="3"/>
        <v>0.85792034660398098</v>
      </c>
      <c r="M34" s="5">
        <f t="shared" si="3"/>
        <v>0.85792034660398098</v>
      </c>
      <c r="N34" s="5">
        <f t="shared" si="3"/>
        <v>0.85792034660398098</v>
      </c>
      <c r="O34" s="5">
        <f t="shared" si="3"/>
        <v>0.85792034660398098</v>
      </c>
      <c r="P34" s="5">
        <f t="shared" si="3"/>
        <v>0.85792034660398098</v>
      </c>
      <c r="Q34" s="5">
        <f t="shared" si="3"/>
        <v>0.85792034660398098</v>
      </c>
      <c r="R34" s="5">
        <f t="shared" si="3"/>
        <v>0.85792034660398098</v>
      </c>
      <c r="S34" s="5">
        <f t="shared" si="3"/>
        <v>0.85792034660398098</v>
      </c>
      <c r="T34" s="5">
        <f t="shared" si="3"/>
        <v>0.85792034660398098</v>
      </c>
      <c r="U34" s="5">
        <f t="shared" si="3"/>
        <v>0.85792034660398098</v>
      </c>
      <c r="V34" s="5">
        <f t="shared" si="3"/>
        <v>0.85792034660398098</v>
      </c>
      <c r="W34" s="5">
        <f t="shared" si="3"/>
        <v>0.85792034660398098</v>
      </c>
      <c r="X34" s="5">
        <f t="shared" si="3"/>
        <v>0.85792034660398098</v>
      </c>
      <c r="Y34" s="5">
        <f t="shared" si="3"/>
        <v>0.85792034660398098</v>
      </c>
      <c r="Z34" s="5">
        <f t="shared" si="3"/>
        <v>0.85792034660398098</v>
      </c>
      <c r="AA34" s="5">
        <f t="shared" si="3"/>
        <v>0.85792034660398098</v>
      </c>
    </row>
    <row r="35" spans="1:27" x14ac:dyDescent="0.25">
      <c r="B35" t="s">
        <v>26</v>
      </c>
      <c r="C35" s="5">
        <f>(C34/(1+$G$2)^C31)+(C33/(1+$G$2)^C31)</f>
        <v>0</v>
      </c>
      <c r="D35" s="5">
        <f t="shared" ref="D35:AA35" si="4">(D34/(1+$G$2)^D31)+(D33/(1+$G$2)^D31)</f>
        <v>0</v>
      </c>
      <c r="E35" s="5">
        <f t="shared" si="4"/>
        <v>0</v>
      </c>
      <c r="F35" s="5">
        <f t="shared" si="4"/>
        <v>0</v>
      </c>
      <c r="G35" s="5">
        <f t="shared" si="4"/>
        <v>0</v>
      </c>
      <c r="H35" s="5">
        <f t="shared" si="4"/>
        <v>16.165166605124519</v>
      </c>
      <c r="I35" s="5">
        <f t="shared" si="4"/>
        <v>0.41758766766730726</v>
      </c>
      <c r="J35" s="5">
        <f t="shared" si="4"/>
        <v>0.37036600236568273</v>
      </c>
      <c r="K35" s="5">
        <f t="shared" si="4"/>
        <v>0.32848425930437491</v>
      </c>
      <c r="L35" s="5">
        <f t="shared" si="4"/>
        <v>0.2913385891834811</v>
      </c>
      <c r="M35" s="5">
        <f t="shared" si="4"/>
        <v>0.25839342721373043</v>
      </c>
      <c r="N35" s="5">
        <f t="shared" si="4"/>
        <v>0.22917377136472772</v>
      </c>
      <c r="O35" s="5">
        <f t="shared" si="4"/>
        <v>0.20325833380463651</v>
      </c>
      <c r="P35" s="5">
        <f t="shared" si="4"/>
        <v>0.18027346678903464</v>
      </c>
      <c r="Q35" s="5">
        <f t="shared" si="4"/>
        <v>0.15988777542264712</v>
      </c>
      <c r="R35" s="5">
        <f t="shared" si="4"/>
        <v>0.14180733962097308</v>
      </c>
      <c r="S35" s="5">
        <f t="shared" si="4"/>
        <v>0.12577147638223776</v>
      </c>
      <c r="T35" s="5">
        <f t="shared" si="4"/>
        <v>0.11154898127027739</v>
      </c>
      <c r="U35" s="5">
        <f t="shared" si="4"/>
        <v>9.8934794918206115E-2</v>
      </c>
      <c r="V35" s="5">
        <f t="shared" si="4"/>
        <v>8.7747046490648448E-2</v>
      </c>
      <c r="W35" s="5">
        <f t="shared" si="4"/>
        <v>7.782443147729351E-2</v>
      </c>
      <c r="X35" s="5">
        <f t="shared" si="4"/>
        <v>6.902388601090334E-2</v>
      </c>
      <c r="Y35" s="5">
        <f t="shared" si="4"/>
        <v>6.1218524178184783E-2</v>
      </c>
      <c r="Z35" s="5">
        <f t="shared" si="4"/>
        <v>5.4295808583755913E-2</v>
      </c>
      <c r="AA35" s="5">
        <f t="shared" si="4"/>
        <v>4.815592779047087E-2</v>
      </c>
    </row>
    <row r="36" spans="1:27" ht="18.75" x14ac:dyDescent="0.3">
      <c r="B36" t="s">
        <v>27</v>
      </c>
      <c r="C36" s="11">
        <f>SUM(C35:AA35)*1000000</f>
        <v>19480258.114963088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7" x14ac:dyDescent="0.25">
      <c r="C37" s="20"/>
    </row>
    <row r="38" spans="1:27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40" spans="1:27" x14ac:dyDescent="0.25">
      <c r="C40" s="10">
        <v>0</v>
      </c>
      <c r="D40" s="10">
        <v>1</v>
      </c>
      <c r="E40" s="10">
        <v>2</v>
      </c>
      <c r="F40" s="10">
        <v>3</v>
      </c>
      <c r="G40" s="10">
        <v>4</v>
      </c>
      <c r="H40" s="13">
        <v>5</v>
      </c>
      <c r="I40" s="10">
        <v>6</v>
      </c>
      <c r="J40" s="10">
        <v>7</v>
      </c>
      <c r="K40" s="10">
        <v>8</v>
      </c>
      <c r="L40" s="10">
        <v>9</v>
      </c>
      <c r="M40" s="10">
        <v>10</v>
      </c>
      <c r="N40" s="10">
        <v>11</v>
      </c>
      <c r="O40" s="10">
        <v>12</v>
      </c>
      <c r="P40" s="10">
        <v>13</v>
      </c>
      <c r="Q40" s="10">
        <v>14</v>
      </c>
      <c r="R40" s="10">
        <v>15</v>
      </c>
      <c r="S40" s="10">
        <v>16</v>
      </c>
      <c r="T40" s="10">
        <v>17</v>
      </c>
      <c r="U40" s="10">
        <v>18</v>
      </c>
      <c r="V40" s="10">
        <v>19</v>
      </c>
      <c r="W40" s="10">
        <v>20</v>
      </c>
      <c r="X40" s="10">
        <v>21</v>
      </c>
      <c r="Y40" s="10">
        <v>22</v>
      </c>
      <c r="Z40" s="10">
        <v>23</v>
      </c>
      <c r="AA40" s="10">
        <v>24</v>
      </c>
    </row>
    <row r="41" spans="1:27" x14ac:dyDescent="0.25">
      <c r="A41" s="10"/>
      <c r="B41" s="12" t="s">
        <v>28</v>
      </c>
      <c r="C41" s="10">
        <v>2019</v>
      </c>
      <c r="D41" s="10">
        <v>2020</v>
      </c>
      <c r="E41" s="10">
        <v>2021</v>
      </c>
      <c r="F41" s="10">
        <v>2022</v>
      </c>
      <c r="G41" s="10">
        <v>2023</v>
      </c>
      <c r="H41" s="13">
        <v>2024</v>
      </c>
      <c r="I41" s="10">
        <v>2025</v>
      </c>
      <c r="J41" s="10">
        <v>2026</v>
      </c>
      <c r="K41" s="10">
        <v>2027</v>
      </c>
      <c r="L41" s="10">
        <v>2028</v>
      </c>
      <c r="M41" s="10">
        <v>2029</v>
      </c>
      <c r="N41" s="10">
        <v>2030</v>
      </c>
      <c r="O41" s="10">
        <v>2031</v>
      </c>
      <c r="P41" s="10">
        <v>2032</v>
      </c>
      <c r="Q41" s="10">
        <v>2033</v>
      </c>
      <c r="R41" s="10">
        <v>2034</v>
      </c>
      <c r="S41" s="10">
        <v>2035</v>
      </c>
      <c r="T41" s="10">
        <v>2036</v>
      </c>
      <c r="U41" s="10">
        <v>2037</v>
      </c>
      <c r="V41" s="10">
        <v>2038</v>
      </c>
      <c r="W41" s="10">
        <v>2039</v>
      </c>
      <c r="X41" s="10">
        <v>2040</v>
      </c>
      <c r="Y41" s="10">
        <v>2041</v>
      </c>
      <c r="Z41" s="10">
        <v>2042</v>
      </c>
      <c r="AA41" s="10">
        <v>2043</v>
      </c>
    </row>
    <row r="42" spans="1:27" ht="30" x14ac:dyDescent="0.25">
      <c r="A42">
        <v>2024</v>
      </c>
      <c r="B42" s="14" t="s">
        <v>102</v>
      </c>
      <c r="C42" s="5"/>
      <c r="D42" s="5"/>
      <c r="E42" s="5"/>
      <c r="F42" s="5"/>
      <c r="G42" s="5"/>
      <c r="H42" s="23">
        <f>+'Demanda Regional'!V8</f>
        <v>49928586.407302275</v>
      </c>
      <c r="I42" s="23">
        <f>+'Demanda Regional'!W8</f>
        <v>51720275.121768147</v>
      </c>
      <c r="J42" s="23">
        <f>+'Demanda Regional'!X8</f>
        <v>53390033.262561895</v>
      </c>
      <c r="K42" s="23">
        <f>+'Demanda Regional'!Y8</f>
        <v>56636886.542482175</v>
      </c>
      <c r="L42" s="23">
        <f>+'Demanda Regional'!Z8</f>
        <v>57544256.948564127</v>
      </c>
      <c r="M42" s="23">
        <f>+'Demanda Regional'!AA8</f>
        <v>57366070.548104912</v>
      </c>
      <c r="N42" s="23">
        <f>+'Demanda Regional'!AB8</f>
        <v>61803282.014904343</v>
      </c>
      <c r="O42" s="23">
        <f>+'Demanda Regional'!AC8</f>
        <v>61806469.395524338</v>
      </c>
      <c r="P42" s="23">
        <f>+'Demanda Regional'!AD8</f>
        <v>60833091.411069594</v>
      </c>
      <c r="Q42" s="23">
        <f>+'Demanda Regional'!AE8</f>
        <v>63287456.152670838</v>
      </c>
      <c r="R42" s="23">
        <f>+'Demanda Regional'!AF8</f>
        <v>63287456.152670838</v>
      </c>
      <c r="S42" s="23">
        <f>+'Demanda Regional'!AG8</f>
        <v>63287456.152670838</v>
      </c>
      <c r="T42" s="23">
        <f>+'Demanda Regional'!AH8</f>
        <v>63287456.152670838</v>
      </c>
      <c r="U42" s="23">
        <f>+'Demanda Regional'!AI8</f>
        <v>63287456.152670838</v>
      </c>
      <c r="V42" s="23">
        <f>+'Demanda Regional'!AJ8</f>
        <v>63287456.152670838</v>
      </c>
      <c r="W42" s="23">
        <f>+'Demanda Regional'!AK8</f>
        <v>63287456.152670838</v>
      </c>
      <c r="X42" s="23">
        <f>+'Demanda Regional'!AL8</f>
        <v>63287456.152670838</v>
      </c>
      <c r="Y42" s="23">
        <f>+'Demanda Regional'!AM8</f>
        <v>63287456.152670838</v>
      </c>
      <c r="Z42" s="23">
        <f>+'Demanda Regional'!AN8</f>
        <v>63287456.152670838</v>
      </c>
      <c r="AA42" s="23">
        <f>+'Demanda Regional'!AO8</f>
        <v>63287456.152670838</v>
      </c>
    </row>
    <row r="43" spans="1:27" x14ac:dyDescent="0.25">
      <c r="A43">
        <v>2043</v>
      </c>
      <c r="B43" t="s">
        <v>29</v>
      </c>
      <c r="C43" s="5">
        <f>(C42)/(1+$G$2)^C40</f>
        <v>0</v>
      </c>
      <c r="D43" s="5">
        <f t="shared" ref="D43:AA43" si="5">(D42)/(1+$G$2)^D40</f>
        <v>0</v>
      </c>
      <c r="E43" s="5">
        <f t="shared" si="5"/>
        <v>0</v>
      </c>
      <c r="F43" s="5">
        <f t="shared" si="5"/>
        <v>0</v>
      </c>
      <c r="G43" s="5">
        <f t="shared" si="5"/>
        <v>0</v>
      </c>
      <c r="H43" s="5">
        <f t="shared" si="5"/>
        <v>27401006.619254999</v>
      </c>
      <c r="I43" s="5">
        <f t="shared" si="5"/>
        <v>25174538.807365775</v>
      </c>
      <c r="J43" s="5">
        <f t="shared" si="5"/>
        <v>23048588.675975952</v>
      </c>
      <c r="K43" s="5">
        <f t="shared" si="5"/>
        <v>21685376.502442364</v>
      </c>
      <c r="L43" s="5">
        <f t="shared" si="5"/>
        <v>19541281.077397179</v>
      </c>
      <c r="M43" s="5">
        <f t="shared" si="5"/>
        <v>17277845.936846428</v>
      </c>
      <c r="N43" s="5">
        <f t="shared" si="5"/>
        <v>16509331.289483318</v>
      </c>
      <c r="O43" s="5">
        <f t="shared" si="5"/>
        <v>14643177.583338648</v>
      </c>
      <c r="P43" s="5">
        <f t="shared" si="5"/>
        <v>12782762.79094938</v>
      </c>
      <c r="Q43" s="5">
        <f t="shared" si="5"/>
        <v>11794673.732198795</v>
      </c>
      <c r="R43" s="5">
        <f t="shared" si="5"/>
        <v>10460907.966473436</v>
      </c>
      <c r="S43" s="5">
        <f t="shared" si="5"/>
        <v>9277967.1543001644</v>
      </c>
      <c r="T43" s="5">
        <f t="shared" si="5"/>
        <v>8228795.702261786</v>
      </c>
      <c r="U43" s="5">
        <f t="shared" si="5"/>
        <v>7298266.6982366173</v>
      </c>
      <c r="V43" s="5">
        <f t="shared" si="5"/>
        <v>6472963.8121832535</v>
      </c>
      <c r="W43" s="5">
        <f t="shared" si="5"/>
        <v>5740987.8600294925</v>
      </c>
      <c r="X43" s="5">
        <f t="shared" si="5"/>
        <v>5091785.2417113027</v>
      </c>
      <c r="Y43" s="5">
        <f t="shared" si="5"/>
        <v>4515995.7797882948</v>
      </c>
      <c r="Z43" s="5">
        <f t="shared" si="5"/>
        <v>4005317.7647789759</v>
      </c>
      <c r="AA43" s="5">
        <f t="shared" si="5"/>
        <v>3552388.2614447675</v>
      </c>
    </row>
    <row r="44" spans="1:27" ht="18.75" x14ac:dyDescent="0.3">
      <c r="B44" t="s">
        <v>30</v>
      </c>
      <c r="C44" s="11">
        <f>SUM(H43:AA43)</f>
        <v>254503959.25646088</v>
      </c>
    </row>
    <row r="45" spans="1:27" x14ac:dyDescent="0.25">
      <c r="E45" s="10"/>
    </row>
    <row r="46" spans="1:27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B49" s="12" t="s">
        <v>41</v>
      </c>
      <c r="E49" s="10"/>
    </row>
    <row r="50" spans="1:27" x14ac:dyDescent="0.25">
      <c r="B50" s="10" t="s">
        <v>31</v>
      </c>
      <c r="E50" s="10"/>
    </row>
    <row r="51" spans="1:27" ht="18.75" x14ac:dyDescent="0.3">
      <c r="B51" s="10" t="s">
        <v>40</v>
      </c>
      <c r="C51" s="21">
        <f>+C36/C44</f>
        <v>7.6542063124971055E-2</v>
      </c>
      <c r="D51" s="10"/>
      <c r="E51" s="10"/>
    </row>
    <row r="56" spans="1:27" ht="18.75" x14ac:dyDescent="0.3">
      <c r="A56" s="113" t="s">
        <v>93</v>
      </c>
      <c r="C56" s="10">
        <v>0</v>
      </c>
      <c r="D56" s="10">
        <v>1</v>
      </c>
      <c r="E56" s="10">
        <v>2</v>
      </c>
      <c r="F56" s="10">
        <v>3</v>
      </c>
      <c r="G56" s="10">
        <v>4</v>
      </c>
      <c r="H56" s="10">
        <v>5</v>
      </c>
      <c r="I56" s="10">
        <v>6</v>
      </c>
      <c r="J56" s="10">
        <v>7</v>
      </c>
      <c r="K56" s="10">
        <v>8</v>
      </c>
      <c r="L56" s="10">
        <v>9</v>
      </c>
      <c r="M56" s="10">
        <v>10</v>
      </c>
      <c r="N56" s="10">
        <v>11</v>
      </c>
      <c r="O56" s="10">
        <v>12</v>
      </c>
      <c r="P56" s="10">
        <v>13</v>
      </c>
      <c r="Q56" s="10">
        <v>14</v>
      </c>
      <c r="R56" s="10">
        <v>15</v>
      </c>
      <c r="S56" s="10">
        <v>16</v>
      </c>
      <c r="T56" s="10">
        <v>17</v>
      </c>
      <c r="U56" s="10">
        <v>18</v>
      </c>
      <c r="V56" s="10">
        <v>19</v>
      </c>
      <c r="W56" s="10">
        <v>20</v>
      </c>
      <c r="X56" s="10">
        <v>21</v>
      </c>
      <c r="Y56" s="10">
        <v>22</v>
      </c>
      <c r="Z56" s="10">
        <v>23</v>
      </c>
      <c r="AA56" s="10">
        <v>24</v>
      </c>
    </row>
    <row r="57" spans="1:27" x14ac:dyDescent="0.25">
      <c r="B57" s="12" t="s">
        <v>124</v>
      </c>
      <c r="C57" s="10">
        <v>2019</v>
      </c>
      <c r="D57" s="10">
        <v>2020</v>
      </c>
      <c r="E57" s="10">
        <v>2021</v>
      </c>
      <c r="F57" s="10">
        <v>2022</v>
      </c>
      <c r="G57" s="10">
        <v>2023</v>
      </c>
      <c r="H57" s="10">
        <v>2024</v>
      </c>
      <c r="I57" s="10">
        <v>2025</v>
      </c>
      <c r="J57" s="10">
        <v>2026</v>
      </c>
      <c r="K57" s="10">
        <v>2027</v>
      </c>
      <c r="L57" s="10">
        <v>2028</v>
      </c>
      <c r="M57" s="10">
        <v>2029</v>
      </c>
      <c r="N57" s="10">
        <v>2030</v>
      </c>
      <c r="O57" s="10">
        <v>2031</v>
      </c>
      <c r="P57" s="10">
        <v>2032</v>
      </c>
      <c r="Q57" s="10">
        <v>2033</v>
      </c>
      <c r="R57" s="10">
        <v>2034</v>
      </c>
      <c r="S57" s="10">
        <v>2035</v>
      </c>
      <c r="T57" s="10">
        <v>2036</v>
      </c>
      <c r="U57" s="10">
        <v>2037</v>
      </c>
      <c r="V57" s="10">
        <v>2038</v>
      </c>
      <c r="W57" s="10">
        <v>2039</v>
      </c>
      <c r="X57" s="10">
        <v>2040</v>
      </c>
      <c r="Y57" s="10">
        <v>2041</v>
      </c>
      <c r="Z57" s="10">
        <v>2042</v>
      </c>
      <c r="AA57" s="10">
        <v>2043</v>
      </c>
    </row>
    <row r="58" spans="1:27" x14ac:dyDescent="0.25">
      <c r="B58" t="s">
        <v>24</v>
      </c>
      <c r="H58" s="22">
        <f>+H7*'%  Planta'!F2</f>
        <v>107.82203288875913</v>
      </c>
    </row>
    <row r="59" spans="1:27" x14ac:dyDescent="0.25">
      <c r="B59" t="s">
        <v>25</v>
      </c>
      <c r="C59" s="5"/>
      <c r="D59" s="5"/>
      <c r="E59" s="5"/>
      <c r="F59" s="5"/>
      <c r="G59" s="5"/>
      <c r="H59" s="24">
        <f>$H$58*$D$2</f>
        <v>3.2346609866627736</v>
      </c>
      <c r="I59" s="24">
        <f t="shared" ref="I59:AA59" si="6">$H$58*$D$2</f>
        <v>3.2346609866627736</v>
      </c>
      <c r="J59" s="24">
        <f t="shared" si="6"/>
        <v>3.2346609866627736</v>
      </c>
      <c r="K59" s="24">
        <f t="shared" si="6"/>
        <v>3.2346609866627736</v>
      </c>
      <c r="L59" s="24">
        <f t="shared" si="6"/>
        <v>3.2346609866627736</v>
      </c>
      <c r="M59" s="24">
        <f t="shared" si="6"/>
        <v>3.2346609866627736</v>
      </c>
      <c r="N59" s="24">
        <f t="shared" si="6"/>
        <v>3.2346609866627736</v>
      </c>
      <c r="O59" s="24">
        <f t="shared" si="6"/>
        <v>3.2346609866627736</v>
      </c>
      <c r="P59" s="24">
        <f t="shared" si="6"/>
        <v>3.2346609866627736</v>
      </c>
      <c r="Q59" s="24">
        <f t="shared" si="6"/>
        <v>3.2346609866627736</v>
      </c>
      <c r="R59" s="24">
        <f t="shared" si="6"/>
        <v>3.2346609866627736</v>
      </c>
      <c r="S59" s="24">
        <f t="shared" si="6"/>
        <v>3.2346609866627736</v>
      </c>
      <c r="T59" s="24">
        <f t="shared" si="6"/>
        <v>3.2346609866627736</v>
      </c>
      <c r="U59" s="24">
        <f t="shared" si="6"/>
        <v>3.2346609866627736</v>
      </c>
      <c r="V59" s="24">
        <f t="shared" si="6"/>
        <v>3.2346609866627736</v>
      </c>
      <c r="W59" s="24">
        <f t="shared" si="6"/>
        <v>3.2346609866627736</v>
      </c>
      <c r="X59" s="24">
        <f t="shared" si="6"/>
        <v>3.2346609866627736</v>
      </c>
      <c r="Y59" s="24">
        <f t="shared" si="6"/>
        <v>3.2346609866627736</v>
      </c>
      <c r="Z59" s="24">
        <f t="shared" si="6"/>
        <v>3.2346609866627736</v>
      </c>
      <c r="AA59" s="24">
        <f t="shared" si="6"/>
        <v>3.2346609866627736</v>
      </c>
    </row>
    <row r="60" spans="1:27" x14ac:dyDescent="0.25">
      <c r="B60" s="20"/>
      <c r="C60" s="5">
        <f>+C59+C58</f>
        <v>0</v>
      </c>
      <c r="D60" s="5">
        <f t="shared" ref="D60:AA60" si="7">+D59+D58</f>
        <v>0</v>
      </c>
      <c r="E60" s="5">
        <f t="shared" si="7"/>
        <v>0</v>
      </c>
      <c r="F60" s="5">
        <f t="shared" si="7"/>
        <v>0</v>
      </c>
      <c r="G60" s="5">
        <f t="shared" si="7"/>
        <v>0</v>
      </c>
      <c r="H60" s="5">
        <f>+H59+H58</f>
        <v>111.0566938754219</v>
      </c>
      <c r="I60" s="5">
        <f t="shared" si="7"/>
        <v>3.2346609866627736</v>
      </c>
      <c r="J60" s="5">
        <f t="shared" si="7"/>
        <v>3.2346609866627736</v>
      </c>
      <c r="K60" s="5">
        <f t="shared" si="7"/>
        <v>3.2346609866627736</v>
      </c>
      <c r="L60" s="5">
        <f t="shared" si="7"/>
        <v>3.2346609866627736</v>
      </c>
      <c r="M60" s="5">
        <f t="shared" si="7"/>
        <v>3.2346609866627736</v>
      </c>
      <c r="N60" s="5">
        <f t="shared" si="7"/>
        <v>3.2346609866627736</v>
      </c>
      <c r="O60" s="5">
        <f t="shared" si="7"/>
        <v>3.2346609866627736</v>
      </c>
      <c r="P60" s="5">
        <f t="shared" si="7"/>
        <v>3.2346609866627736</v>
      </c>
      <c r="Q60" s="5">
        <f t="shared" si="7"/>
        <v>3.2346609866627736</v>
      </c>
      <c r="R60" s="5">
        <f t="shared" si="7"/>
        <v>3.2346609866627736</v>
      </c>
      <c r="S60" s="5">
        <f t="shared" si="7"/>
        <v>3.2346609866627736</v>
      </c>
      <c r="T60" s="5">
        <f t="shared" si="7"/>
        <v>3.2346609866627736</v>
      </c>
      <c r="U60" s="5">
        <f t="shared" si="7"/>
        <v>3.2346609866627736</v>
      </c>
      <c r="V60" s="5">
        <f t="shared" si="7"/>
        <v>3.2346609866627736</v>
      </c>
      <c r="W60" s="5">
        <f t="shared" si="7"/>
        <v>3.2346609866627736</v>
      </c>
      <c r="X60" s="5">
        <f t="shared" si="7"/>
        <v>3.2346609866627736</v>
      </c>
      <c r="Y60" s="5">
        <f t="shared" si="7"/>
        <v>3.2346609866627736</v>
      </c>
      <c r="Z60" s="5">
        <f t="shared" si="7"/>
        <v>3.2346609866627736</v>
      </c>
      <c r="AA60" s="5">
        <f t="shared" si="7"/>
        <v>3.2346609866627736</v>
      </c>
    </row>
    <row r="61" spans="1:27" x14ac:dyDescent="0.25">
      <c r="B61" t="s">
        <v>26</v>
      </c>
      <c r="C61" s="5">
        <f>(C59/(1+$G$2)^C56)+(C58/(1+$G$2)^C56)</f>
        <v>0</v>
      </c>
      <c r="D61" s="5">
        <f t="shared" ref="D61:AA61" si="8">(D59/(1+$G$2)^D56)+(D58/(1+$G$2)^D56)</f>
        <v>0</v>
      </c>
      <c r="E61" s="5">
        <f t="shared" si="8"/>
        <v>0</v>
      </c>
      <c r="F61" s="5">
        <f t="shared" si="8"/>
        <v>0</v>
      </c>
      <c r="G61" s="5">
        <f t="shared" si="8"/>
        <v>0</v>
      </c>
      <c r="H61" s="5">
        <f>(H59/(1+$G$2)^H56)+(H58/(1+$G$2)^H56)</f>
        <v>60.948354899708313</v>
      </c>
      <c r="I61" s="5">
        <f t="shared" si="8"/>
        <v>1.5744521533517744</v>
      </c>
      <c r="J61" s="5">
        <f t="shared" si="8"/>
        <v>1.3964098921080039</v>
      </c>
      <c r="K61" s="5">
        <f t="shared" si="8"/>
        <v>1.2385010129561012</v>
      </c>
      <c r="L61" s="5">
        <f t="shared" si="8"/>
        <v>1.0984487919788037</v>
      </c>
      <c r="M61" s="5">
        <f t="shared" si="8"/>
        <v>0.97423396184372824</v>
      </c>
      <c r="N61" s="5">
        <f t="shared" si="8"/>
        <v>0.864065598087564</v>
      </c>
      <c r="O61" s="5">
        <f t="shared" si="8"/>
        <v>0.76635529763863752</v>
      </c>
      <c r="P61" s="5">
        <f t="shared" si="8"/>
        <v>0.67969427728482279</v>
      </c>
      <c r="Q61" s="5">
        <f t="shared" si="8"/>
        <v>0.60283306189341257</v>
      </c>
      <c r="R61" s="5">
        <f t="shared" si="8"/>
        <v>0.53466346952852573</v>
      </c>
      <c r="S61" s="5">
        <f t="shared" si="8"/>
        <v>0.47420263372818244</v>
      </c>
      <c r="T61" s="5">
        <f t="shared" si="8"/>
        <v>0.42057883257488465</v>
      </c>
      <c r="U61" s="5">
        <f t="shared" si="8"/>
        <v>0.37301892024380012</v>
      </c>
      <c r="V61" s="5">
        <f t="shared" si="8"/>
        <v>0.33083717981711763</v>
      </c>
      <c r="W61" s="5">
        <f t="shared" si="8"/>
        <v>0.29342543664489368</v>
      </c>
      <c r="X61" s="5">
        <f t="shared" si="8"/>
        <v>0.2602442897072228</v>
      </c>
      <c r="Y61" s="5">
        <f t="shared" si="8"/>
        <v>0.23081533455186057</v>
      </c>
      <c r="Z61" s="5">
        <f t="shared" si="8"/>
        <v>0.20471426567792517</v>
      </c>
      <c r="AA61" s="5">
        <f t="shared" si="8"/>
        <v>0.18156475891611984</v>
      </c>
    </row>
    <row r="62" spans="1:27" ht="18.75" x14ac:dyDescent="0.3">
      <c r="B62" t="s">
        <v>27</v>
      </c>
      <c r="C62" s="11">
        <f>SUM(C61:AA61)*1000000</f>
        <v>73447414.068241701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7" x14ac:dyDescent="0.25">
      <c r="C63" s="20">
        <f>+NPV(G2,D60:AA60)*1000000</f>
        <v>73447414.068241715</v>
      </c>
    </row>
    <row r="64" spans="1:27" x14ac:dyDescent="0.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6" spans="1:27" x14ac:dyDescent="0.25">
      <c r="C66" s="10">
        <v>0</v>
      </c>
      <c r="D66" s="10">
        <v>1</v>
      </c>
      <c r="E66" s="10">
        <v>2</v>
      </c>
      <c r="F66" s="10">
        <v>3</v>
      </c>
      <c r="G66" s="10">
        <v>4</v>
      </c>
      <c r="H66" s="13">
        <v>5</v>
      </c>
      <c r="I66" s="10">
        <v>6</v>
      </c>
      <c r="J66" s="10">
        <v>7</v>
      </c>
      <c r="K66" s="10">
        <v>8</v>
      </c>
      <c r="L66" s="10">
        <v>9</v>
      </c>
      <c r="M66" s="10">
        <v>10</v>
      </c>
      <c r="N66" s="10">
        <v>11</v>
      </c>
      <c r="O66" s="10">
        <v>12</v>
      </c>
      <c r="P66" s="10">
        <v>13</v>
      </c>
      <c r="Q66" s="10">
        <v>14</v>
      </c>
      <c r="R66" s="10">
        <v>15</v>
      </c>
      <c r="S66" s="10">
        <v>16</v>
      </c>
      <c r="T66" s="10">
        <v>17</v>
      </c>
      <c r="U66" s="10">
        <v>18</v>
      </c>
      <c r="V66" s="10">
        <v>19</v>
      </c>
      <c r="W66" s="10">
        <v>20</v>
      </c>
      <c r="X66" s="10">
        <v>21</v>
      </c>
      <c r="Y66" s="10">
        <v>22</v>
      </c>
      <c r="Z66" s="10">
        <v>23</v>
      </c>
      <c r="AA66" s="10">
        <v>24</v>
      </c>
    </row>
    <row r="67" spans="1:27" x14ac:dyDescent="0.25">
      <c r="B67" s="12" t="s">
        <v>28</v>
      </c>
      <c r="C67" s="10">
        <v>2019</v>
      </c>
      <c r="D67" s="10">
        <v>2020</v>
      </c>
      <c r="E67" s="10">
        <v>2021</v>
      </c>
      <c r="F67" s="10">
        <v>2022</v>
      </c>
      <c r="G67" s="10">
        <v>2023</v>
      </c>
      <c r="H67" s="13">
        <v>2024</v>
      </c>
      <c r="I67" s="10">
        <v>2025</v>
      </c>
      <c r="J67" s="10">
        <v>2026</v>
      </c>
      <c r="K67" s="10">
        <v>2027</v>
      </c>
      <c r="L67" s="10">
        <v>2028</v>
      </c>
      <c r="M67" s="10">
        <v>2029</v>
      </c>
      <c r="N67" s="10">
        <v>2030</v>
      </c>
      <c r="O67" s="10">
        <v>2031</v>
      </c>
      <c r="P67" s="10">
        <v>2032</v>
      </c>
      <c r="Q67" s="10">
        <v>2033</v>
      </c>
      <c r="R67" s="10">
        <v>2034</v>
      </c>
      <c r="S67" s="10">
        <v>2035</v>
      </c>
      <c r="T67" s="10">
        <v>2036</v>
      </c>
      <c r="U67" s="10">
        <v>2037</v>
      </c>
      <c r="V67" s="10">
        <v>2038</v>
      </c>
      <c r="W67" s="10">
        <v>2039</v>
      </c>
      <c r="X67" s="10">
        <v>2040</v>
      </c>
      <c r="Y67" s="10">
        <v>2041</v>
      </c>
      <c r="Z67" s="10">
        <v>2042</v>
      </c>
      <c r="AA67" s="10">
        <v>2043</v>
      </c>
    </row>
    <row r="68" spans="1:27" ht="30" x14ac:dyDescent="0.25">
      <c r="B68" s="14" t="s">
        <v>102</v>
      </c>
      <c r="C68" s="5"/>
      <c r="D68" s="5">
        <v>0</v>
      </c>
      <c r="E68" s="5">
        <v>0</v>
      </c>
      <c r="F68" s="5">
        <v>0</v>
      </c>
      <c r="G68" s="5">
        <v>0</v>
      </c>
      <c r="H68" s="23">
        <f>+'Demanda Regional'!V26</f>
        <v>14372312.643043719</v>
      </c>
      <c r="I68" s="23">
        <f>+'Demanda Regional'!W26</f>
        <v>16164001.357509591</v>
      </c>
      <c r="J68" s="23">
        <f>+'Demanda Regional'!X26</f>
        <v>17833759.498303339</v>
      </c>
      <c r="K68" s="23">
        <f>+'Demanda Regional'!Y26</f>
        <v>21080612.778223619</v>
      </c>
      <c r="L68" s="23">
        <f>+'Demanda Regional'!Z26</f>
        <v>21987983.184305571</v>
      </c>
      <c r="M68" s="23">
        <f>+'Demanda Regional'!AA26</f>
        <v>21809796.783846356</v>
      </c>
      <c r="N68" s="23">
        <f>+'Demanda Regional'!AB26</f>
        <v>26247008.250645787</v>
      </c>
      <c r="O68" s="23">
        <f>+'Demanda Regional'!AC26</f>
        <v>26250195.631265782</v>
      </c>
      <c r="P68" s="23">
        <f>+'Demanda Regional'!AD26</f>
        <v>25276817.646811038</v>
      </c>
      <c r="Q68" s="23">
        <f>+'Demanda Regional'!AE26</f>
        <v>27731182.388412282</v>
      </c>
      <c r="R68" s="23">
        <f>+'Demanda Regional'!AF26</f>
        <v>27731182.388412282</v>
      </c>
      <c r="S68" s="23">
        <f>+'Demanda Regional'!AG26</f>
        <v>27731182.388412282</v>
      </c>
      <c r="T68" s="23">
        <f>+'Demanda Regional'!AH26</f>
        <v>27731182.388412282</v>
      </c>
      <c r="U68" s="23">
        <f>+'Demanda Regional'!AI26</f>
        <v>27731182.388412282</v>
      </c>
      <c r="V68" s="23">
        <f>+'Demanda Regional'!AJ26</f>
        <v>27731182.388412282</v>
      </c>
      <c r="W68" s="23">
        <f>+'Demanda Regional'!AK26</f>
        <v>27731182.388412282</v>
      </c>
      <c r="X68" s="23">
        <f>+'Demanda Regional'!AL26</f>
        <v>27731182.388412282</v>
      </c>
      <c r="Y68" s="23">
        <f>+'Demanda Regional'!AM26</f>
        <v>27731182.388412282</v>
      </c>
      <c r="Z68" s="23">
        <f>+'Demanda Regional'!AN26</f>
        <v>27731182.388412282</v>
      </c>
      <c r="AA68" s="23">
        <f>+'Demanda Regional'!AO26</f>
        <v>27731182.388412282</v>
      </c>
    </row>
    <row r="69" spans="1:27" x14ac:dyDescent="0.25">
      <c r="B69" t="s">
        <v>29</v>
      </c>
      <c r="C69" s="5">
        <f>(C68)/(1+$G$2)^C66</f>
        <v>0</v>
      </c>
      <c r="D69" s="5">
        <v>0</v>
      </c>
      <c r="E69" s="5">
        <v>0</v>
      </c>
      <c r="F69" s="5">
        <v>0</v>
      </c>
      <c r="G69" s="5">
        <v>0</v>
      </c>
      <c r="H69" s="5">
        <f t="shared" ref="H69:AA69" si="9">(H68)/(1+$G$2)^H66</f>
        <v>7887582.2891001366</v>
      </c>
      <c r="I69" s="5">
        <f t="shared" si="9"/>
        <v>7867732.3061197773</v>
      </c>
      <c r="J69" s="5">
        <f t="shared" si="9"/>
        <v>7698871.1582411407</v>
      </c>
      <c r="K69" s="5">
        <f t="shared" si="9"/>
        <v>8071436.3536753478</v>
      </c>
      <c r="L69" s="5">
        <f t="shared" si="9"/>
        <v>7466833.0518831946</v>
      </c>
      <c r="M69" s="5">
        <f t="shared" si="9"/>
        <v>6568801.124860635</v>
      </c>
      <c r="N69" s="5">
        <f t="shared" si="9"/>
        <v>7011287.1103384877</v>
      </c>
      <c r="O69" s="5">
        <f t="shared" si="9"/>
        <v>6219191.6151392432</v>
      </c>
      <c r="P69" s="5">
        <f t="shared" si="9"/>
        <v>5311378.3402181985</v>
      </c>
      <c r="Q69" s="5">
        <f t="shared" si="9"/>
        <v>5168168.6761179268</v>
      </c>
      <c r="R69" s="5">
        <f t="shared" si="9"/>
        <v>4583741.6196167879</v>
      </c>
      <c r="S69" s="5">
        <f t="shared" si="9"/>
        <v>4065402.7668441576</v>
      </c>
      <c r="T69" s="5">
        <f t="shared" si="9"/>
        <v>3605678.7289083437</v>
      </c>
      <c r="U69" s="5">
        <f t="shared" si="9"/>
        <v>3197941.2229785752</v>
      </c>
      <c r="V69" s="5">
        <f t="shared" si="9"/>
        <v>2836311.5059676943</v>
      </c>
      <c r="W69" s="5">
        <f t="shared" si="9"/>
        <v>2515575.6150489529</v>
      </c>
      <c r="X69" s="5">
        <f t="shared" si="9"/>
        <v>2231109.1929480736</v>
      </c>
      <c r="Y69" s="5">
        <f t="shared" si="9"/>
        <v>1978810.814144633</v>
      </c>
      <c r="Z69" s="5">
        <f t="shared" si="9"/>
        <v>1755042.8506826016</v>
      </c>
      <c r="AA69" s="5">
        <f t="shared" si="9"/>
        <v>1556579.0249956553</v>
      </c>
    </row>
    <row r="70" spans="1:27" ht="18.75" x14ac:dyDescent="0.3">
      <c r="B70" t="s">
        <v>30</v>
      </c>
      <c r="C70" s="11">
        <f>SUM(C69:AA69)</f>
        <v>97597475.367829576</v>
      </c>
    </row>
    <row r="73" spans="1:27" x14ac:dyDescent="0.25">
      <c r="B73" s="12" t="s">
        <v>41</v>
      </c>
    </row>
    <row r="74" spans="1:27" x14ac:dyDescent="0.25">
      <c r="B74" s="10" t="s">
        <v>31</v>
      </c>
    </row>
    <row r="75" spans="1:27" ht="18.75" x14ac:dyDescent="0.3">
      <c r="B75" s="10" t="s">
        <v>40</v>
      </c>
      <c r="C75" s="115">
        <f>+C62/C70</f>
        <v>0.75255444663327531</v>
      </c>
    </row>
    <row r="78" spans="1:27" ht="18.75" x14ac:dyDescent="0.3">
      <c r="A78" s="113" t="s">
        <v>94</v>
      </c>
    </row>
    <row r="79" spans="1:27" ht="18.75" x14ac:dyDescent="0.3">
      <c r="A79" s="113"/>
      <c r="C79" s="10">
        <v>0</v>
      </c>
      <c r="D79" s="10">
        <v>1</v>
      </c>
      <c r="E79" s="10">
        <v>2</v>
      </c>
      <c r="F79" s="10">
        <v>3</v>
      </c>
      <c r="G79" s="10">
        <v>4</v>
      </c>
      <c r="H79" s="10">
        <v>5</v>
      </c>
      <c r="I79" s="10">
        <v>6</v>
      </c>
      <c r="J79" s="10">
        <v>7</v>
      </c>
      <c r="K79" s="10">
        <v>8</v>
      </c>
      <c r="L79" s="10">
        <v>9</v>
      </c>
      <c r="M79" s="10">
        <v>10</v>
      </c>
      <c r="N79" s="10">
        <v>11</v>
      </c>
      <c r="O79" s="10">
        <v>12</v>
      </c>
      <c r="P79" s="10">
        <v>13</v>
      </c>
      <c r="Q79" s="10">
        <v>14</v>
      </c>
      <c r="R79" s="10">
        <v>15</v>
      </c>
      <c r="S79" s="10">
        <v>16</v>
      </c>
      <c r="T79" s="10">
        <v>17</v>
      </c>
      <c r="U79" s="10">
        <v>18</v>
      </c>
      <c r="V79" s="10">
        <v>19</v>
      </c>
      <c r="W79" s="10">
        <v>20</v>
      </c>
      <c r="X79" s="10">
        <v>21</v>
      </c>
      <c r="Y79" s="10">
        <v>22</v>
      </c>
      <c r="Z79" s="10">
        <v>23</v>
      </c>
      <c r="AA79" s="10">
        <v>24</v>
      </c>
    </row>
    <row r="80" spans="1:27" x14ac:dyDescent="0.25">
      <c r="B80" s="12" t="s">
        <v>124</v>
      </c>
      <c r="C80" s="10">
        <v>2019</v>
      </c>
      <c r="D80" s="10">
        <v>2020</v>
      </c>
      <c r="E80" s="10">
        <v>2021</v>
      </c>
      <c r="F80" s="10">
        <v>2022</v>
      </c>
      <c r="G80" s="10">
        <v>2023</v>
      </c>
      <c r="H80" s="10">
        <v>2024</v>
      </c>
      <c r="I80" s="10">
        <v>2025</v>
      </c>
      <c r="J80" s="10">
        <v>2026</v>
      </c>
      <c r="K80" s="10">
        <v>2027</v>
      </c>
      <c r="L80" s="10">
        <v>2028</v>
      </c>
      <c r="M80" s="10">
        <v>2029</v>
      </c>
      <c r="N80" s="10">
        <v>2030</v>
      </c>
      <c r="O80" s="10">
        <v>2031</v>
      </c>
      <c r="P80" s="10">
        <v>2032</v>
      </c>
      <c r="Q80" s="10">
        <v>2033</v>
      </c>
      <c r="R80" s="10">
        <v>2034</v>
      </c>
      <c r="S80" s="10">
        <v>2035</v>
      </c>
      <c r="T80" s="10">
        <v>2036</v>
      </c>
      <c r="U80" s="10">
        <v>2037</v>
      </c>
      <c r="V80" s="10">
        <v>2038</v>
      </c>
      <c r="W80" s="10">
        <v>2039</v>
      </c>
      <c r="X80" s="10">
        <v>2040</v>
      </c>
      <c r="Y80" s="10">
        <v>2041</v>
      </c>
      <c r="Z80" s="10">
        <v>2042</v>
      </c>
      <c r="AA80" s="10">
        <v>2043</v>
      </c>
    </row>
    <row r="81" spans="2:27" x14ac:dyDescent="0.25">
      <c r="B81" t="s">
        <v>24</v>
      </c>
      <c r="H81" s="22">
        <f>+H33*'%  Planta'!F2</f>
        <v>18.588274176419588</v>
      </c>
    </row>
    <row r="82" spans="2:27" x14ac:dyDescent="0.25">
      <c r="B82" t="s">
        <v>25</v>
      </c>
      <c r="C82" s="5"/>
      <c r="D82" s="5"/>
      <c r="E82" s="5"/>
      <c r="F82" s="5"/>
      <c r="G82" s="5"/>
      <c r="H82" s="24">
        <f>$H$81*$D$2</f>
        <v>0.55764822529258762</v>
      </c>
      <c r="I82" s="24">
        <f t="shared" ref="I82:AA82" si="10">$H$81*$D$2</f>
        <v>0.55764822529258762</v>
      </c>
      <c r="J82" s="24">
        <f t="shared" si="10"/>
        <v>0.55764822529258762</v>
      </c>
      <c r="K82" s="24">
        <f t="shared" si="10"/>
        <v>0.55764822529258762</v>
      </c>
      <c r="L82" s="24">
        <f t="shared" si="10"/>
        <v>0.55764822529258762</v>
      </c>
      <c r="M82" s="24">
        <f t="shared" si="10"/>
        <v>0.55764822529258762</v>
      </c>
      <c r="N82" s="24">
        <f t="shared" si="10"/>
        <v>0.55764822529258762</v>
      </c>
      <c r="O82" s="24">
        <f t="shared" si="10"/>
        <v>0.55764822529258762</v>
      </c>
      <c r="P82" s="24">
        <f t="shared" si="10"/>
        <v>0.55764822529258762</v>
      </c>
      <c r="Q82" s="24">
        <f t="shared" si="10"/>
        <v>0.55764822529258762</v>
      </c>
      <c r="R82" s="24">
        <f t="shared" si="10"/>
        <v>0.55764822529258762</v>
      </c>
      <c r="S82" s="24">
        <f t="shared" si="10"/>
        <v>0.55764822529258762</v>
      </c>
      <c r="T82" s="24">
        <f t="shared" si="10"/>
        <v>0.55764822529258762</v>
      </c>
      <c r="U82" s="24">
        <f t="shared" si="10"/>
        <v>0.55764822529258762</v>
      </c>
      <c r="V82" s="24">
        <f t="shared" si="10"/>
        <v>0.55764822529258762</v>
      </c>
      <c r="W82" s="24">
        <f t="shared" si="10"/>
        <v>0.55764822529258762</v>
      </c>
      <c r="X82" s="24">
        <f t="shared" si="10"/>
        <v>0.55764822529258762</v>
      </c>
      <c r="Y82" s="24">
        <f t="shared" si="10"/>
        <v>0.55764822529258762</v>
      </c>
      <c r="Z82" s="24">
        <f t="shared" si="10"/>
        <v>0.55764822529258762</v>
      </c>
      <c r="AA82" s="24">
        <f t="shared" si="10"/>
        <v>0.55764822529258762</v>
      </c>
    </row>
    <row r="83" spans="2:27" x14ac:dyDescent="0.25">
      <c r="B83" s="20"/>
      <c r="C83" s="5">
        <f>+C82+C81</f>
        <v>0</v>
      </c>
      <c r="D83" s="5">
        <f t="shared" ref="D83:G83" si="11">+D82+D81</f>
        <v>0</v>
      </c>
      <c r="E83" s="5">
        <f t="shared" si="11"/>
        <v>0</v>
      </c>
      <c r="F83" s="5">
        <f t="shared" si="11"/>
        <v>0</v>
      </c>
      <c r="G83" s="5">
        <f t="shared" si="11"/>
        <v>0</v>
      </c>
      <c r="H83" s="5">
        <f>+H82+H81</f>
        <v>19.145922401712177</v>
      </c>
      <c r="I83" s="5">
        <f t="shared" ref="I83:AA83" si="12">+I82+I81</f>
        <v>0.55764822529258762</v>
      </c>
      <c r="J83" s="5">
        <f t="shared" si="12"/>
        <v>0.55764822529258762</v>
      </c>
      <c r="K83" s="5">
        <f t="shared" si="12"/>
        <v>0.55764822529258762</v>
      </c>
      <c r="L83" s="5">
        <f t="shared" si="12"/>
        <v>0.55764822529258762</v>
      </c>
      <c r="M83" s="5">
        <f t="shared" si="12"/>
        <v>0.55764822529258762</v>
      </c>
      <c r="N83" s="5">
        <f t="shared" si="12"/>
        <v>0.55764822529258762</v>
      </c>
      <c r="O83" s="5">
        <f t="shared" si="12"/>
        <v>0.55764822529258762</v>
      </c>
      <c r="P83" s="5">
        <f t="shared" si="12"/>
        <v>0.55764822529258762</v>
      </c>
      <c r="Q83" s="5">
        <f t="shared" si="12"/>
        <v>0.55764822529258762</v>
      </c>
      <c r="R83" s="5">
        <f t="shared" si="12"/>
        <v>0.55764822529258762</v>
      </c>
      <c r="S83" s="5">
        <f t="shared" si="12"/>
        <v>0.55764822529258762</v>
      </c>
      <c r="T83" s="5">
        <f t="shared" si="12"/>
        <v>0.55764822529258762</v>
      </c>
      <c r="U83" s="5">
        <f t="shared" si="12"/>
        <v>0.55764822529258762</v>
      </c>
      <c r="V83" s="5">
        <f t="shared" si="12"/>
        <v>0.55764822529258762</v>
      </c>
      <c r="W83" s="5">
        <f t="shared" si="12"/>
        <v>0.55764822529258762</v>
      </c>
      <c r="X83" s="5">
        <f t="shared" si="12"/>
        <v>0.55764822529258762</v>
      </c>
      <c r="Y83" s="5">
        <f t="shared" si="12"/>
        <v>0.55764822529258762</v>
      </c>
      <c r="Z83" s="5">
        <f t="shared" si="12"/>
        <v>0.55764822529258762</v>
      </c>
      <c r="AA83" s="5">
        <f t="shared" si="12"/>
        <v>0.55764822529258762</v>
      </c>
    </row>
    <row r="84" spans="2:27" x14ac:dyDescent="0.25">
      <c r="B84" t="s">
        <v>26</v>
      </c>
      <c r="C84" s="5">
        <f>(C82/(1+$G$2)^C79)+(C81/(1+$G$2)^C79)</f>
        <v>0</v>
      </c>
      <c r="D84" s="5">
        <f t="shared" ref="D84:G84" si="13">(D82/(1+$G$2)^D79)+(D81/(1+$G$2)^D79)</f>
        <v>0</v>
      </c>
      <c r="E84" s="5">
        <f t="shared" si="13"/>
        <v>0</v>
      </c>
      <c r="F84" s="5">
        <f t="shared" si="13"/>
        <v>0</v>
      </c>
      <c r="G84" s="5">
        <f t="shared" si="13"/>
        <v>0</v>
      </c>
      <c r="H84" s="5">
        <f>(H82/(1+$G$2)^H79)+(H81/(1+$G$2)^H79)</f>
        <v>10.507358293330938</v>
      </c>
      <c r="I84" s="5">
        <f t="shared" ref="I84:AA84" si="14">(I82/(1+$G$2)^I79)+(I81/(1+$G$2)^I79)</f>
        <v>0.27143198398374968</v>
      </c>
      <c r="J84" s="5">
        <f t="shared" si="14"/>
        <v>0.24073790153769378</v>
      </c>
      <c r="K84" s="5">
        <f t="shared" si="14"/>
        <v>0.21351476854784368</v>
      </c>
      <c r="L84" s="5">
        <f t="shared" si="14"/>
        <v>0.18937008296926272</v>
      </c>
      <c r="M84" s="5">
        <f t="shared" si="14"/>
        <v>0.16795572768892478</v>
      </c>
      <c r="N84" s="5">
        <f t="shared" si="14"/>
        <v>0.14896295138707302</v>
      </c>
      <c r="O84" s="5">
        <f t="shared" si="14"/>
        <v>0.13211791697301373</v>
      </c>
      <c r="P84" s="5">
        <f t="shared" si="14"/>
        <v>0.11717775341287251</v>
      </c>
      <c r="Q84" s="5">
        <f t="shared" si="14"/>
        <v>0.10392705402472062</v>
      </c>
      <c r="R84" s="5">
        <f t="shared" si="14"/>
        <v>9.2174770753632493E-2</v>
      </c>
      <c r="S84" s="5">
        <f t="shared" si="14"/>
        <v>8.1751459648454539E-2</v>
      </c>
      <c r="T84" s="5">
        <f t="shared" si="14"/>
        <v>7.2506837825680306E-2</v>
      </c>
      <c r="U84" s="5">
        <f t="shared" si="14"/>
        <v>6.4307616696833964E-2</v>
      </c>
      <c r="V84" s="5">
        <f t="shared" si="14"/>
        <v>5.7035580218921487E-2</v>
      </c>
      <c r="W84" s="5">
        <f t="shared" si="14"/>
        <v>5.0585880460240783E-2</v>
      </c>
      <c r="X84" s="5">
        <f t="shared" si="14"/>
        <v>4.4865525907087173E-2</v>
      </c>
      <c r="Y84" s="5">
        <f t="shared" si="14"/>
        <v>3.9792040715820112E-2</v>
      </c>
      <c r="Z84" s="5">
        <f t="shared" si="14"/>
        <v>3.5292275579441347E-2</v>
      </c>
      <c r="AA84" s="5">
        <f t="shared" si="14"/>
        <v>3.1301353063806069E-2</v>
      </c>
    </row>
    <row r="85" spans="2:27" ht="18.75" x14ac:dyDescent="0.3">
      <c r="B85" t="s">
        <v>27</v>
      </c>
      <c r="C85" s="11">
        <f>SUM(C84:AA84)*1000000</f>
        <v>12662167.774726013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2:27" x14ac:dyDescent="0.25">
      <c r="C86" s="20"/>
    </row>
    <row r="87" spans="2:27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9" spans="2:27" x14ac:dyDescent="0.25">
      <c r="C89" s="10">
        <v>0</v>
      </c>
      <c r="D89" s="10">
        <v>1</v>
      </c>
      <c r="E89" s="10">
        <v>2</v>
      </c>
      <c r="F89" s="10">
        <v>3</v>
      </c>
      <c r="G89" s="10">
        <v>4</v>
      </c>
      <c r="H89" s="13">
        <v>5</v>
      </c>
      <c r="I89" s="10">
        <v>6</v>
      </c>
      <c r="J89" s="10">
        <v>7</v>
      </c>
      <c r="K89" s="10">
        <v>8</v>
      </c>
      <c r="L89" s="10">
        <v>9</v>
      </c>
      <c r="M89" s="10">
        <v>10</v>
      </c>
      <c r="N89" s="10">
        <v>11</v>
      </c>
      <c r="O89" s="10">
        <v>12</v>
      </c>
      <c r="P89" s="10">
        <v>13</v>
      </c>
      <c r="Q89" s="10">
        <v>14</v>
      </c>
      <c r="R89" s="10">
        <v>15</v>
      </c>
      <c r="S89" s="10">
        <v>16</v>
      </c>
      <c r="T89" s="10">
        <v>17</v>
      </c>
      <c r="U89" s="10">
        <v>18</v>
      </c>
      <c r="V89" s="10">
        <v>19</v>
      </c>
      <c r="W89" s="10">
        <v>20</v>
      </c>
      <c r="X89" s="10">
        <v>21</v>
      </c>
      <c r="Y89" s="10">
        <v>22</v>
      </c>
      <c r="Z89" s="10">
        <v>23</v>
      </c>
      <c r="AA89" s="10">
        <v>24</v>
      </c>
    </row>
    <row r="90" spans="2:27" x14ac:dyDescent="0.25">
      <c r="B90" s="12" t="s">
        <v>28</v>
      </c>
      <c r="C90" s="10">
        <v>2019</v>
      </c>
      <c r="D90" s="10">
        <v>2020</v>
      </c>
      <c r="E90" s="10">
        <v>2021</v>
      </c>
      <c r="F90" s="10">
        <v>2022</v>
      </c>
      <c r="G90" s="10">
        <v>2023</v>
      </c>
      <c r="H90" s="13">
        <v>2024</v>
      </c>
      <c r="I90" s="10">
        <v>2025</v>
      </c>
      <c r="J90" s="10">
        <v>2026</v>
      </c>
      <c r="K90" s="10">
        <v>2027</v>
      </c>
      <c r="L90" s="10">
        <v>2028</v>
      </c>
      <c r="M90" s="10">
        <v>2029</v>
      </c>
      <c r="N90" s="10">
        <v>2030</v>
      </c>
      <c r="O90" s="10">
        <v>2031</v>
      </c>
      <c r="P90" s="10">
        <v>2032</v>
      </c>
      <c r="Q90" s="10">
        <v>2033</v>
      </c>
      <c r="R90" s="10">
        <v>2034</v>
      </c>
      <c r="S90" s="10">
        <v>2035</v>
      </c>
      <c r="T90" s="10">
        <v>2036</v>
      </c>
      <c r="U90" s="10">
        <v>2037</v>
      </c>
      <c r="V90" s="10">
        <v>2038</v>
      </c>
      <c r="W90" s="10">
        <v>2039</v>
      </c>
      <c r="X90" s="10">
        <v>2040</v>
      </c>
      <c r="Y90" s="10">
        <v>2041</v>
      </c>
      <c r="Z90" s="10">
        <v>2042</v>
      </c>
      <c r="AA90" s="10">
        <v>2043</v>
      </c>
    </row>
    <row r="91" spans="2:27" ht="30" x14ac:dyDescent="0.25">
      <c r="B91" s="14" t="s">
        <v>102</v>
      </c>
      <c r="C91" s="5"/>
      <c r="D91" s="5">
        <v>0</v>
      </c>
      <c r="E91" s="5">
        <v>0</v>
      </c>
      <c r="F91" s="5">
        <v>0</v>
      </c>
      <c r="G91" s="5">
        <v>0</v>
      </c>
      <c r="H91" s="23">
        <f>+'Demanda Regional'!V26</f>
        <v>14372312.643043719</v>
      </c>
      <c r="I91" s="23">
        <f>+'Demanda Regional'!W26</f>
        <v>16164001.357509591</v>
      </c>
      <c r="J91" s="23">
        <f>+'Demanda Regional'!X26</f>
        <v>17833759.498303339</v>
      </c>
      <c r="K91" s="23">
        <f>+'Demanda Regional'!Y26</f>
        <v>21080612.778223619</v>
      </c>
      <c r="L91" s="23">
        <f>+'Demanda Regional'!Z26</f>
        <v>21987983.184305571</v>
      </c>
      <c r="M91" s="23">
        <f>+'Demanda Regional'!AA26</f>
        <v>21809796.783846356</v>
      </c>
      <c r="N91" s="23">
        <f>+'Demanda Regional'!AB26</f>
        <v>26247008.250645787</v>
      </c>
      <c r="O91" s="23">
        <f>+'Demanda Regional'!AC26</f>
        <v>26250195.631265782</v>
      </c>
      <c r="P91" s="23">
        <f>+'Demanda Regional'!AD26</f>
        <v>25276817.646811038</v>
      </c>
      <c r="Q91" s="23">
        <f>+'Demanda Regional'!AE26</f>
        <v>27731182.388412282</v>
      </c>
      <c r="R91" s="23">
        <f>+'Demanda Regional'!AF26</f>
        <v>27731182.388412282</v>
      </c>
      <c r="S91" s="23">
        <f>+'Demanda Regional'!AG26</f>
        <v>27731182.388412282</v>
      </c>
      <c r="T91" s="23">
        <f>+'Demanda Regional'!AH26</f>
        <v>27731182.388412282</v>
      </c>
      <c r="U91" s="23">
        <f>+'Demanda Regional'!AI26</f>
        <v>27731182.388412282</v>
      </c>
      <c r="V91" s="23">
        <f>+'Demanda Regional'!AJ26</f>
        <v>27731182.388412282</v>
      </c>
      <c r="W91" s="23">
        <f>+'Demanda Regional'!AK26</f>
        <v>27731182.388412282</v>
      </c>
      <c r="X91" s="23">
        <f>+'Demanda Regional'!AL26</f>
        <v>27731182.388412282</v>
      </c>
      <c r="Y91" s="23">
        <f>+'Demanda Regional'!AM26</f>
        <v>27731182.388412282</v>
      </c>
      <c r="Z91" s="23">
        <f>+'Demanda Regional'!AN26</f>
        <v>27731182.388412282</v>
      </c>
      <c r="AA91" s="23">
        <f>+'Demanda Regional'!AO26</f>
        <v>27731182.388412282</v>
      </c>
    </row>
    <row r="92" spans="2:27" x14ac:dyDescent="0.25">
      <c r="B92" t="s">
        <v>29</v>
      </c>
      <c r="C92" s="5">
        <f>(C91)/(1+$G$2)^C89</f>
        <v>0</v>
      </c>
      <c r="D92" s="5">
        <v>0</v>
      </c>
      <c r="E92" s="5">
        <v>0</v>
      </c>
      <c r="F92" s="5">
        <v>0</v>
      </c>
      <c r="G92" s="5">
        <v>0</v>
      </c>
      <c r="H92" s="5">
        <f t="shared" ref="H92:AA92" si="15">(H91)/(1+$G$2)^H89</f>
        <v>7887582.2891001366</v>
      </c>
      <c r="I92" s="5">
        <f t="shared" si="15"/>
        <v>7867732.3061197773</v>
      </c>
      <c r="J92" s="5">
        <f t="shared" si="15"/>
        <v>7698871.1582411407</v>
      </c>
      <c r="K92" s="5">
        <f t="shared" si="15"/>
        <v>8071436.3536753478</v>
      </c>
      <c r="L92" s="5">
        <f t="shared" si="15"/>
        <v>7466833.0518831946</v>
      </c>
      <c r="M92" s="5">
        <f t="shared" si="15"/>
        <v>6568801.124860635</v>
      </c>
      <c r="N92" s="5">
        <f t="shared" si="15"/>
        <v>7011287.1103384877</v>
      </c>
      <c r="O92" s="5">
        <f t="shared" si="15"/>
        <v>6219191.6151392432</v>
      </c>
      <c r="P92" s="5">
        <f t="shared" si="15"/>
        <v>5311378.3402181985</v>
      </c>
      <c r="Q92" s="5">
        <f t="shared" si="15"/>
        <v>5168168.6761179268</v>
      </c>
      <c r="R92" s="5">
        <f t="shared" si="15"/>
        <v>4583741.6196167879</v>
      </c>
      <c r="S92" s="5">
        <f t="shared" si="15"/>
        <v>4065402.7668441576</v>
      </c>
      <c r="T92" s="5">
        <f t="shared" si="15"/>
        <v>3605678.7289083437</v>
      </c>
      <c r="U92" s="5">
        <f t="shared" si="15"/>
        <v>3197941.2229785752</v>
      </c>
      <c r="V92" s="5">
        <f t="shared" si="15"/>
        <v>2836311.5059676943</v>
      </c>
      <c r="W92" s="5">
        <f t="shared" si="15"/>
        <v>2515575.6150489529</v>
      </c>
      <c r="X92" s="5">
        <f t="shared" si="15"/>
        <v>2231109.1929480736</v>
      </c>
      <c r="Y92" s="5">
        <f t="shared" si="15"/>
        <v>1978810.814144633</v>
      </c>
      <c r="Z92" s="5">
        <f t="shared" si="15"/>
        <v>1755042.8506826016</v>
      </c>
      <c r="AA92" s="5">
        <f t="shared" si="15"/>
        <v>1556579.0249956553</v>
      </c>
    </row>
    <row r="93" spans="2:27" ht="18.75" x14ac:dyDescent="0.3">
      <c r="B93" t="s">
        <v>30</v>
      </c>
      <c r="C93" s="11">
        <f>SUM(C92:AA92)</f>
        <v>97597475.367829576</v>
      </c>
    </row>
    <row r="96" spans="2:27" x14ac:dyDescent="0.25">
      <c r="B96" s="12" t="s">
        <v>41</v>
      </c>
    </row>
    <row r="97" spans="2:3" x14ac:dyDescent="0.25">
      <c r="B97" s="10" t="s">
        <v>31</v>
      </c>
    </row>
    <row r="98" spans="2:3" ht="18.75" x14ac:dyDescent="0.3">
      <c r="B98" s="10" t="s">
        <v>40</v>
      </c>
      <c r="C98" s="116">
        <f>+C85/C93</f>
        <v>0.1297386815284339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showGridLines="0" workbookViewId="0">
      <pane ySplit="2" topLeftCell="A3" activePane="bottomLeft" state="frozen"/>
      <selection pane="bottomLeft" activeCell="H7" sqref="H7"/>
    </sheetView>
  </sheetViews>
  <sheetFormatPr baseColWidth="10" defaultRowHeight="15" x14ac:dyDescent="0.25"/>
  <cols>
    <col min="1" max="1" width="19.42578125" bestFit="1" customWidth="1"/>
    <col min="2" max="2" width="26.140625" bestFit="1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15" t="s">
        <v>123</v>
      </c>
      <c r="C2" s="140" t="str">
        <f>+'%  Planta'!C12</f>
        <v>Magdalena Medio</v>
      </c>
      <c r="D2" s="43">
        <v>0.03</v>
      </c>
      <c r="E2" s="27">
        <v>700</v>
      </c>
      <c r="F2" s="27">
        <v>2024</v>
      </c>
      <c r="G2" s="43">
        <v>0.1275</v>
      </c>
    </row>
    <row r="5" spans="1:27" ht="18.75" x14ac:dyDescent="0.3">
      <c r="A5" s="113" t="s">
        <v>88</v>
      </c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22">
        <f>+E2*'%  Planta'!F4*'%  Planta'!E13</f>
        <v>6.4199356069099267E-2</v>
      </c>
    </row>
    <row r="8" spans="1:27" x14ac:dyDescent="0.25">
      <c r="B8" t="s">
        <v>25</v>
      </c>
      <c r="C8" s="5"/>
      <c r="D8" s="5"/>
      <c r="E8" s="5"/>
      <c r="F8" s="5"/>
      <c r="G8" s="5"/>
      <c r="H8" s="5">
        <f>$H$7*$D$2</f>
        <v>1.9259806820729778E-3</v>
      </c>
      <c r="I8" s="5">
        <f t="shared" ref="I8:AA8" si="0">$H$7*$D$2</f>
        <v>1.9259806820729778E-3</v>
      </c>
      <c r="J8" s="5">
        <f t="shared" si="0"/>
        <v>1.9259806820729778E-3</v>
      </c>
      <c r="K8" s="5">
        <f t="shared" si="0"/>
        <v>1.9259806820729778E-3</v>
      </c>
      <c r="L8" s="5">
        <f t="shared" si="0"/>
        <v>1.9259806820729778E-3</v>
      </c>
      <c r="M8" s="5">
        <f t="shared" si="0"/>
        <v>1.9259806820729778E-3</v>
      </c>
      <c r="N8" s="5">
        <f t="shared" si="0"/>
        <v>1.9259806820729778E-3</v>
      </c>
      <c r="O8" s="5">
        <f t="shared" si="0"/>
        <v>1.9259806820729778E-3</v>
      </c>
      <c r="P8" s="5">
        <f t="shared" si="0"/>
        <v>1.9259806820729778E-3</v>
      </c>
      <c r="Q8" s="5">
        <f t="shared" si="0"/>
        <v>1.9259806820729778E-3</v>
      </c>
      <c r="R8" s="5">
        <f t="shared" si="0"/>
        <v>1.9259806820729778E-3</v>
      </c>
      <c r="S8" s="5">
        <f t="shared" si="0"/>
        <v>1.9259806820729778E-3</v>
      </c>
      <c r="T8" s="5">
        <f t="shared" si="0"/>
        <v>1.9259806820729778E-3</v>
      </c>
      <c r="U8" s="5">
        <f t="shared" si="0"/>
        <v>1.9259806820729778E-3</v>
      </c>
      <c r="V8" s="5">
        <f t="shared" si="0"/>
        <v>1.9259806820729778E-3</v>
      </c>
      <c r="W8" s="5">
        <f t="shared" si="0"/>
        <v>1.9259806820729778E-3</v>
      </c>
      <c r="X8" s="5">
        <f t="shared" si="0"/>
        <v>1.9259806820729778E-3</v>
      </c>
      <c r="Y8" s="5">
        <f t="shared" si="0"/>
        <v>1.9259806820729778E-3</v>
      </c>
      <c r="Z8" s="5">
        <f t="shared" si="0"/>
        <v>1.9259806820729778E-3</v>
      </c>
      <c r="AA8" s="5">
        <f t="shared" si="0"/>
        <v>1.9259806820729778E-3</v>
      </c>
    </row>
    <row r="9" spans="1:27" x14ac:dyDescent="0.25">
      <c r="B9" t="s">
        <v>26</v>
      </c>
      <c r="C9" s="5">
        <f>(C8/(1+$G$2)^C5)+(C7/(1+$G$2)^C5)</f>
        <v>0</v>
      </c>
      <c r="D9" s="5">
        <f t="shared" ref="D9:AA9" si="1">(D8/(1+$G$2)^D5)+(D7/(1+$G$2)^D5)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3.6289847568252771E-2</v>
      </c>
      <c r="I9" s="5">
        <f t="shared" si="1"/>
        <v>9.3745973525721294E-4</v>
      </c>
      <c r="J9" s="5">
        <f t="shared" si="1"/>
        <v>8.314498760596125E-4</v>
      </c>
      <c r="K9" s="5">
        <f t="shared" si="1"/>
        <v>7.3742782799078707E-4</v>
      </c>
      <c r="L9" s="5">
        <f t="shared" si="1"/>
        <v>6.5403798491422364E-4</v>
      </c>
      <c r="M9" s="5">
        <f t="shared" si="1"/>
        <v>5.8007803540064177E-4</v>
      </c>
      <c r="N9" s="5">
        <f t="shared" si="1"/>
        <v>5.1448162784979322E-4</v>
      </c>
      <c r="O9" s="5">
        <f t="shared" si="1"/>
        <v>4.5630299587564802E-4</v>
      </c>
      <c r="P9" s="5">
        <f t="shared" si="1"/>
        <v>4.0470332228438854E-4</v>
      </c>
      <c r="Q9" s="5">
        <f t="shared" si="1"/>
        <v>3.5893864504158628E-4</v>
      </c>
      <c r="R9" s="5">
        <f t="shared" si="1"/>
        <v>3.183491308572828E-4</v>
      </c>
      <c r="S9" s="5">
        <f t="shared" si="1"/>
        <v>2.8234956173594925E-4</v>
      </c>
      <c r="T9" s="5">
        <f t="shared" si="1"/>
        <v>2.5042089732678423E-4</v>
      </c>
      <c r="U9" s="5">
        <f t="shared" si="1"/>
        <v>2.2210279142065122E-4</v>
      </c>
      <c r="V9" s="5">
        <f t="shared" si="1"/>
        <v>1.969869546968082E-4</v>
      </c>
      <c r="W9" s="5">
        <f t="shared" si="1"/>
        <v>1.7471126802377665E-4</v>
      </c>
      <c r="X9" s="5">
        <f t="shared" si="1"/>
        <v>1.5495456144015669E-4</v>
      </c>
      <c r="Y9" s="5">
        <f t="shared" si="1"/>
        <v>1.3743198353894165E-4</v>
      </c>
      <c r="Z9" s="5">
        <f t="shared" si="1"/>
        <v>1.218908944913008E-4</v>
      </c>
      <c r="AA9" s="5">
        <f t="shared" si="1"/>
        <v>1.0810722349561046E-4</v>
      </c>
    </row>
    <row r="10" spans="1:27" ht="18.75" x14ac:dyDescent="0.3">
      <c r="B10" t="s">
        <v>27</v>
      </c>
      <c r="C10" s="11">
        <f>SUM(C9:AA9)*1000000</f>
        <v>43732.032885953922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7" ht="16.5" customHeight="1" x14ac:dyDescent="0.25">
      <c r="C11" s="20"/>
    </row>
    <row r="12" spans="1:27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7" x14ac:dyDescent="0.25"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  <c r="Z14" s="10">
        <v>23</v>
      </c>
      <c r="AA14" s="10">
        <v>24</v>
      </c>
    </row>
    <row r="15" spans="1:27" x14ac:dyDescent="0.25">
      <c r="A15" s="10"/>
      <c r="B15" s="12" t="s">
        <v>28</v>
      </c>
      <c r="C15" s="10">
        <v>2019</v>
      </c>
      <c r="D15" s="10">
        <v>2020</v>
      </c>
      <c r="E15" s="10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  <c r="Z15" s="10">
        <v>2042</v>
      </c>
      <c r="AA15" s="10">
        <v>2043</v>
      </c>
    </row>
    <row r="16" spans="1:27" x14ac:dyDescent="0.25">
      <c r="A16">
        <v>2024</v>
      </c>
      <c r="B16" s="14" t="s">
        <v>103</v>
      </c>
      <c r="C16" s="5"/>
      <c r="D16" s="5"/>
      <c r="E16" s="5"/>
      <c r="F16" s="5"/>
      <c r="G16" s="5"/>
      <c r="H16" s="23">
        <f>+'Demanda Regional'!V9</f>
        <v>4160715.5339418561</v>
      </c>
      <c r="I16" s="23">
        <f>+'Demanda Regional'!W9</f>
        <v>4310022.9268140122</v>
      </c>
      <c r="J16" s="23">
        <f>+'Demanda Regional'!X9</f>
        <v>4449169.4385468252</v>
      </c>
      <c r="K16" s="23">
        <f>+'Demanda Regional'!Y9</f>
        <v>4719740.5452068485</v>
      </c>
      <c r="L16" s="23">
        <f>+'Demanda Regional'!Z9</f>
        <v>4795354.7457136782</v>
      </c>
      <c r="M16" s="23">
        <f>+'Demanda Regional'!AA9</f>
        <v>4780505.879008743</v>
      </c>
      <c r="N16" s="23">
        <f>+'Demanda Regional'!AB9</f>
        <v>5150273.5012420304</v>
      </c>
      <c r="O16" s="23">
        <f>+'Demanda Regional'!AC9</f>
        <v>5150539.1162936939</v>
      </c>
      <c r="P16" s="23">
        <f>+'Demanda Regional'!AD9</f>
        <v>5069424.2842557998</v>
      </c>
      <c r="Q16" s="23">
        <f>+'Demanda Regional'!AE9</f>
        <v>5273954.6793892365</v>
      </c>
      <c r="R16" s="23">
        <f>+'Demanda Regional'!AF9</f>
        <v>5273954.6793892365</v>
      </c>
      <c r="S16" s="23">
        <f>+'Demanda Regional'!AG9</f>
        <v>5273954.6793892365</v>
      </c>
      <c r="T16" s="23">
        <f>+'Demanda Regional'!AH9</f>
        <v>5273954.6793892365</v>
      </c>
      <c r="U16" s="23">
        <f>+'Demanda Regional'!AI9</f>
        <v>5273954.6793892365</v>
      </c>
      <c r="V16" s="23">
        <f>+'Demanda Regional'!AJ9</f>
        <v>5273954.6793892365</v>
      </c>
      <c r="W16" s="23">
        <f>+'Demanda Regional'!AK9</f>
        <v>5273954.6793892365</v>
      </c>
      <c r="X16" s="23">
        <f>+'Demanda Regional'!AL9</f>
        <v>5273954.6793892365</v>
      </c>
      <c r="Y16" s="23">
        <f>+'Demanda Regional'!AM9</f>
        <v>5273954.6793892365</v>
      </c>
      <c r="Z16" s="23">
        <f>+'Demanda Regional'!AN9</f>
        <v>5273954.6793892365</v>
      </c>
      <c r="AA16" s="23">
        <f>+'Demanda Regional'!AO9</f>
        <v>5273954.6793892365</v>
      </c>
    </row>
    <row r="17" spans="1:27" x14ac:dyDescent="0.25">
      <c r="A17">
        <v>2043</v>
      </c>
      <c r="B17" t="s">
        <v>29</v>
      </c>
      <c r="C17" s="5">
        <f>(C16)/(1+$G$2)^C14</f>
        <v>0</v>
      </c>
      <c r="D17" s="5">
        <f t="shared" ref="D17:AA17" si="2">(D16)/(1+$G$2)^D14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2283417.2182712499</v>
      </c>
      <c r="I17" s="5">
        <f t="shared" si="2"/>
        <v>2097878.2339471481</v>
      </c>
      <c r="J17" s="5">
        <f t="shared" si="2"/>
        <v>1920715.7229979963</v>
      </c>
      <c r="K17" s="5">
        <f t="shared" si="2"/>
        <v>1807114.7085368638</v>
      </c>
      <c r="L17" s="5">
        <f t="shared" si="2"/>
        <v>1628440.0897830985</v>
      </c>
      <c r="M17" s="5">
        <f t="shared" si="2"/>
        <v>1439820.4947372025</v>
      </c>
      <c r="N17" s="5">
        <f t="shared" si="2"/>
        <v>1375777.6074569437</v>
      </c>
      <c r="O17" s="5">
        <f t="shared" si="2"/>
        <v>1220264.7986115539</v>
      </c>
      <c r="P17" s="5">
        <f t="shared" si="2"/>
        <v>1065230.2325791151</v>
      </c>
      <c r="Q17" s="5">
        <f t="shared" si="2"/>
        <v>982889.47768323298</v>
      </c>
      <c r="R17" s="5">
        <f t="shared" si="2"/>
        <v>871742.33053945296</v>
      </c>
      <c r="S17" s="5">
        <f t="shared" si="2"/>
        <v>773163.92952501366</v>
      </c>
      <c r="T17" s="5">
        <f t="shared" si="2"/>
        <v>685732.9751884822</v>
      </c>
      <c r="U17" s="5">
        <f t="shared" si="2"/>
        <v>608188.8915197181</v>
      </c>
      <c r="V17" s="5">
        <f t="shared" si="2"/>
        <v>539413.65101527108</v>
      </c>
      <c r="W17" s="5">
        <f t="shared" si="2"/>
        <v>478415.65500245773</v>
      </c>
      <c r="X17" s="5">
        <f t="shared" si="2"/>
        <v>424315.43680927518</v>
      </c>
      <c r="Y17" s="5">
        <f t="shared" si="2"/>
        <v>376332.98164902453</v>
      </c>
      <c r="Z17" s="5">
        <f t="shared" si="2"/>
        <v>333776.48039824801</v>
      </c>
      <c r="AA17" s="5">
        <f t="shared" si="2"/>
        <v>296032.35512039729</v>
      </c>
    </row>
    <row r="18" spans="1:27" ht="18.75" x14ac:dyDescent="0.3">
      <c r="B18" t="s">
        <v>30</v>
      </c>
      <c r="C18" s="11">
        <f>SUM(H17:AA17)</f>
        <v>21208663.271371748</v>
      </c>
    </row>
    <row r="19" spans="1:27" x14ac:dyDescent="0.25">
      <c r="E19" s="10"/>
    </row>
    <row r="20" spans="1:2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B23" s="12" t="s">
        <v>41</v>
      </c>
      <c r="E23" s="10"/>
    </row>
    <row r="24" spans="1:27" x14ac:dyDescent="0.25">
      <c r="B24" s="10" t="s">
        <v>31</v>
      </c>
      <c r="E24" s="10"/>
    </row>
    <row r="25" spans="1:27" ht="18.75" x14ac:dyDescent="0.3">
      <c r="B25" s="10" t="s">
        <v>40</v>
      </c>
      <c r="C25" s="21">
        <f>+C10/C18</f>
        <v>2.0619891186157433E-3</v>
      </c>
      <c r="D25" s="10"/>
      <c r="E25" s="10"/>
    </row>
    <row r="29" spans="1:27" ht="18.75" x14ac:dyDescent="0.3">
      <c r="A29" s="113" t="s">
        <v>87</v>
      </c>
    </row>
    <row r="31" spans="1:27" ht="18.75" x14ac:dyDescent="0.3">
      <c r="A31" s="113"/>
      <c r="C31" s="10">
        <v>0</v>
      </c>
      <c r="D31" s="10">
        <v>1</v>
      </c>
      <c r="E31" s="10">
        <v>2</v>
      </c>
      <c r="F31" s="10">
        <v>3</v>
      </c>
      <c r="G31" s="10">
        <v>4</v>
      </c>
      <c r="H31" s="10">
        <v>5</v>
      </c>
      <c r="I31" s="10">
        <v>6</v>
      </c>
      <c r="J31" s="10">
        <v>7</v>
      </c>
      <c r="K31" s="10">
        <v>8</v>
      </c>
      <c r="L31" s="10">
        <v>9</v>
      </c>
      <c r="M31" s="10">
        <v>10</v>
      </c>
      <c r="N31" s="10">
        <v>11</v>
      </c>
      <c r="O31" s="10">
        <v>12</v>
      </c>
      <c r="P31" s="10">
        <v>13</v>
      </c>
      <c r="Q31" s="10">
        <v>14</v>
      </c>
      <c r="R31" s="10">
        <v>15</v>
      </c>
      <c r="S31" s="10">
        <v>16</v>
      </c>
      <c r="T31" s="10">
        <v>17</v>
      </c>
      <c r="U31" s="10">
        <v>18</v>
      </c>
      <c r="V31" s="10">
        <v>19</v>
      </c>
      <c r="W31" s="10">
        <v>20</v>
      </c>
      <c r="X31" s="10">
        <v>21</v>
      </c>
      <c r="Y31" s="10">
        <v>22</v>
      </c>
      <c r="Z31" s="10">
        <v>23</v>
      </c>
      <c r="AA31" s="10">
        <v>24</v>
      </c>
    </row>
    <row r="32" spans="1:27" x14ac:dyDescent="0.25">
      <c r="B32" s="12" t="s">
        <v>124</v>
      </c>
      <c r="C32" s="10">
        <v>2019</v>
      </c>
      <c r="D32" s="10">
        <v>2020</v>
      </c>
      <c r="E32" s="10">
        <v>2021</v>
      </c>
      <c r="F32" s="10">
        <v>2022</v>
      </c>
      <c r="G32" s="10">
        <v>2023</v>
      </c>
      <c r="H32" s="10">
        <v>2024</v>
      </c>
      <c r="I32" s="10">
        <v>2025</v>
      </c>
      <c r="J32" s="10">
        <v>2026</v>
      </c>
      <c r="K32" s="10">
        <v>2027</v>
      </c>
      <c r="L32" s="10">
        <v>2028</v>
      </c>
      <c r="M32" s="10">
        <v>2029</v>
      </c>
      <c r="N32" s="10">
        <v>2030</v>
      </c>
      <c r="O32" s="10">
        <v>2031</v>
      </c>
      <c r="P32" s="10">
        <v>2032</v>
      </c>
      <c r="Q32" s="10">
        <v>2033</v>
      </c>
      <c r="R32" s="10">
        <v>2034</v>
      </c>
      <c r="S32" s="10">
        <v>2035</v>
      </c>
      <c r="T32" s="10">
        <v>2036</v>
      </c>
      <c r="U32" s="10">
        <v>2037</v>
      </c>
      <c r="V32" s="10">
        <v>2038</v>
      </c>
      <c r="W32" s="10">
        <v>2039</v>
      </c>
      <c r="X32" s="10">
        <v>2040</v>
      </c>
      <c r="Y32" s="10">
        <v>2041</v>
      </c>
      <c r="Z32" s="10">
        <v>2042</v>
      </c>
      <c r="AA32" s="10">
        <v>2043</v>
      </c>
    </row>
    <row r="33" spans="1:27" x14ac:dyDescent="0.25">
      <c r="B33" t="s">
        <v>24</v>
      </c>
      <c r="H33" s="22">
        <f>+E2*'%  Planta'!F3*'%  Planta'!F13</f>
        <v>2.7792899689739147E-2</v>
      </c>
    </row>
    <row r="34" spans="1:27" x14ac:dyDescent="0.25">
      <c r="B34" t="s">
        <v>25</v>
      </c>
      <c r="C34" s="5"/>
      <c r="D34" s="5"/>
      <c r="E34" s="5"/>
      <c r="F34" s="5"/>
      <c r="G34" s="5"/>
      <c r="H34" s="5">
        <f>$H$33*$D$2</f>
        <v>8.3378699069217434E-4</v>
      </c>
      <c r="I34" s="5">
        <f t="shared" ref="I34:AA34" si="3">$H$33*$D$2</f>
        <v>8.3378699069217434E-4</v>
      </c>
      <c r="J34" s="5">
        <f t="shared" si="3"/>
        <v>8.3378699069217434E-4</v>
      </c>
      <c r="K34" s="5">
        <f t="shared" si="3"/>
        <v>8.3378699069217434E-4</v>
      </c>
      <c r="L34" s="5">
        <f t="shared" si="3"/>
        <v>8.3378699069217434E-4</v>
      </c>
      <c r="M34" s="5">
        <f t="shared" si="3"/>
        <v>8.3378699069217434E-4</v>
      </c>
      <c r="N34" s="5">
        <f t="shared" si="3"/>
        <v>8.3378699069217434E-4</v>
      </c>
      <c r="O34" s="5">
        <f t="shared" si="3"/>
        <v>8.3378699069217434E-4</v>
      </c>
      <c r="P34" s="5">
        <f t="shared" si="3"/>
        <v>8.3378699069217434E-4</v>
      </c>
      <c r="Q34" s="5">
        <f t="shared" si="3"/>
        <v>8.3378699069217434E-4</v>
      </c>
      <c r="R34" s="5">
        <f t="shared" si="3"/>
        <v>8.3378699069217434E-4</v>
      </c>
      <c r="S34" s="5">
        <f t="shared" si="3"/>
        <v>8.3378699069217434E-4</v>
      </c>
      <c r="T34" s="5">
        <f t="shared" si="3"/>
        <v>8.3378699069217434E-4</v>
      </c>
      <c r="U34" s="5">
        <f t="shared" si="3"/>
        <v>8.3378699069217434E-4</v>
      </c>
      <c r="V34" s="5">
        <f t="shared" si="3"/>
        <v>8.3378699069217434E-4</v>
      </c>
      <c r="W34" s="5">
        <f t="shared" si="3"/>
        <v>8.3378699069217434E-4</v>
      </c>
      <c r="X34" s="5">
        <f t="shared" si="3"/>
        <v>8.3378699069217434E-4</v>
      </c>
      <c r="Y34" s="5">
        <f t="shared" si="3"/>
        <v>8.3378699069217434E-4</v>
      </c>
      <c r="Z34" s="5">
        <f t="shared" si="3"/>
        <v>8.3378699069217434E-4</v>
      </c>
      <c r="AA34" s="5">
        <f t="shared" si="3"/>
        <v>8.3378699069217434E-4</v>
      </c>
    </row>
    <row r="35" spans="1:27" x14ac:dyDescent="0.25">
      <c r="B35" t="s">
        <v>26</v>
      </c>
      <c r="C35" s="5">
        <f>(C34/(1+$G$2)^C31)+(C33/(1+$G$2)^C31)</f>
        <v>0</v>
      </c>
      <c r="D35" s="5">
        <f t="shared" ref="D35:AA35" si="4">(D34/(1+$G$2)^D31)+(D33/(1+$G$2)^D31)</f>
        <v>0</v>
      </c>
      <c r="E35" s="5">
        <f t="shared" si="4"/>
        <v>0</v>
      </c>
      <c r="F35" s="5">
        <f t="shared" si="4"/>
        <v>0</v>
      </c>
      <c r="G35" s="5">
        <f t="shared" si="4"/>
        <v>0</v>
      </c>
      <c r="H35" s="5">
        <f t="shared" si="4"/>
        <v>1.5710439402768984E-2</v>
      </c>
      <c r="I35" s="5">
        <f t="shared" si="4"/>
        <v>4.0584089904468557E-4</v>
      </c>
      <c r="J35" s="5">
        <f t="shared" si="4"/>
        <v>3.5994758230127328E-4</v>
      </c>
      <c r="K35" s="5">
        <f t="shared" si="4"/>
        <v>3.192439754335018E-4</v>
      </c>
      <c r="L35" s="5">
        <f t="shared" si="4"/>
        <v>2.8314321546208586E-4</v>
      </c>
      <c r="M35" s="5">
        <f t="shared" si="4"/>
        <v>2.5112480307058614E-4</v>
      </c>
      <c r="N35" s="5">
        <f t="shared" si="4"/>
        <v>2.2272709806703871E-4</v>
      </c>
      <c r="O35" s="5">
        <f t="shared" si="4"/>
        <v>1.9754066347409195E-4</v>
      </c>
      <c r="P35" s="5">
        <f t="shared" si="4"/>
        <v>1.7520236228300842E-4</v>
      </c>
      <c r="Q35" s="5">
        <f t="shared" si="4"/>
        <v>1.5539012175876576E-4</v>
      </c>
      <c r="R35" s="5">
        <f t="shared" si="4"/>
        <v>1.3781828980821801E-4</v>
      </c>
      <c r="S35" s="5">
        <f t="shared" si="4"/>
        <v>1.2223351645961685E-4</v>
      </c>
      <c r="T35" s="5">
        <f t="shared" si="4"/>
        <v>1.0841110107283091E-4</v>
      </c>
      <c r="U35" s="5">
        <f t="shared" si="4"/>
        <v>9.615175261448417E-5</v>
      </c>
      <c r="V35" s="5">
        <f t="shared" si="4"/>
        <v>8.5278716287790846E-5</v>
      </c>
      <c r="W35" s="5">
        <f t="shared" si="4"/>
        <v>7.5635225088949748E-5</v>
      </c>
      <c r="X35" s="5">
        <f t="shared" si="4"/>
        <v>6.708223954674036E-5</v>
      </c>
      <c r="Y35" s="5">
        <f t="shared" si="4"/>
        <v>5.9496443056975928E-5</v>
      </c>
      <c r="Z35" s="5">
        <f t="shared" si="4"/>
        <v>5.2768463908626107E-5</v>
      </c>
      <c r="AA35" s="5">
        <f t="shared" si="4"/>
        <v>4.6801298366852419E-5</v>
      </c>
    </row>
    <row r="36" spans="1:27" ht="18.75" x14ac:dyDescent="0.3">
      <c r="B36" t="s">
        <v>27</v>
      </c>
      <c r="C36" s="11">
        <f>SUM(C35:AA35)*1000000</f>
        <v>18932.277169875102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7" ht="16.5" customHeight="1" x14ac:dyDescent="0.25">
      <c r="C37" s="20"/>
    </row>
    <row r="38" spans="1:27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40" spans="1:27" x14ac:dyDescent="0.25">
      <c r="C40" s="10">
        <v>0</v>
      </c>
      <c r="D40" s="10">
        <v>1</v>
      </c>
      <c r="E40" s="10">
        <v>2</v>
      </c>
      <c r="F40" s="10">
        <v>3</v>
      </c>
      <c r="G40" s="10">
        <v>4</v>
      </c>
      <c r="H40" s="13">
        <v>5</v>
      </c>
      <c r="I40" s="10">
        <v>6</v>
      </c>
      <c r="J40" s="10">
        <v>7</v>
      </c>
      <c r="K40" s="10">
        <v>8</v>
      </c>
      <c r="L40" s="10">
        <v>9</v>
      </c>
      <c r="M40" s="10">
        <v>10</v>
      </c>
      <c r="N40" s="10">
        <v>11</v>
      </c>
      <c r="O40" s="10">
        <v>12</v>
      </c>
      <c r="P40" s="10">
        <v>13</v>
      </c>
      <c r="Q40" s="10">
        <v>14</v>
      </c>
      <c r="R40" s="10">
        <v>15</v>
      </c>
      <c r="S40" s="10">
        <v>16</v>
      </c>
      <c r="T40" s="10">
        <v>17</v>
      </c>
      <c r="U40" s="10">
        <v>18</v>
      </c>
      <c r="V40" s="10">
        <v>19</v>
      </c>
      <c r="W40" s="10">
        <v>20</v>
      </c>
      <c r="X40" s="10">
        <v>21</v>
      </c>
      <c r="Y40" s="10">
        <v>22</v>
      </c>
      <c r="Z40" s="10">
        <v>23</v>
      </c>
      <c r="AA40" s="10">
        <v>24</v>
      </c>
    </row>
    <row r="41" spans="1:27" x14ac:dyDescent="0.25">
      <c r="A41" s="10"/>
      <c r="B41" s="12" t="s">
        <v>28</v>
      </c>
      <c r="C41" s="10">
        <v>2019</v>
      </c>
      <c r="D41" s="10">
        <v>2020</v>
      </c>
      <c r="E41" s="10">
        <v>2021</v>
      </c>
      <c r="F41" s="10">
        <v>2022</v>
      </c>
      <c r="G41" s="10">
        <v>2023</v>
      </c>
      <c r="H41" s="13">
        <v>2024</v>
      </c>
      <c r="I41" s="10">
        <v>2025</v>
      </c>
      <c r="J41" s="10">
        <v>2026</v>
      </c>
      <c r="K41" s="10">
        <v>2027</v>
      </c>
      <c r="L41" s="10">
        <v>2028</v>
      </c>
      <c r="M41" s="10">
        <v>2029</v>
      </c>
      <c r="N41" s="10">
        <v>2030</v>
      </c>
      <c r="O41" s="10">
        <v>2031</v>
      </c>
      <c r="P41" s="10">
        <v>2032</v>
      </c>
      <c r="Q41" s="10">
        <v>2033</v>
      </c>
      <c r="R41" s="10">
        <v>2034</v>
      </c>
      <c r="S41" s="10">
        <v>2035</v>
      </c>
      <c r="T41" s="10">
        <v>2036</v>
      </c>
      <c r="U41" s="10">
        <v>2037</v>
      </c>
      <c r="V41" s="10">
        <v>2038</v>
      </c>
      <c r="W41" s="10">
        <v>2039</v>
      </c>
      <c r="X41" s="10">
        <v>2040</v>
      </c>
      <c r="Y41" s="10">
        <v>2041</v>
      </c>
      <c r="Z41" s="10">
        <v>2042</v>
      </c>
      <c r="AA41" s="10">
        <v>2043</v>
      </c>
    </row>
    <row r="42" spans="1:27" x14ac:dyDescent="0.25">
      <c r="A42">
        <v>2024</v>
      </c>
      <c r="B42" s="14" t="s">
        <v>103</v>
      </c>
      <c r="C42" s="5"/>
      <c r="D42" s="5"/>
      <c r="E42" s="5"/>
      <c r="F42" s="5"/>
      <c r="G42" s="5"/>
      <c r="H42" s="23">
        <f>+'Demanda Regional'!V9</f>
        <v>4160715.5339418561</v>
      </c>
      <c r="I42" s="23">
        <f>+'Demanda Regional'!W9</f>
        <v>4310022.9268140122</v>
      </c>
      <c r="J42" s="23">
        <f>+'Demanda Regional'!X9</f>
        <v>4449169.4385468252</v>
      </c>
      <c r="K42" s="23">
        <f>+'Demanda Regional'!Y9</f>
        <v>4719740.5452068485</v>
      </c>
      <c r="L42" s="23">
        <f>+'Demanda Regional'!Z9</f>
        <v>4795354.7457136782</v>
      </c>
      <c r="M42" s="23">
        <f>+'Demanda Regional'!AA9</f>
        <v>4780505.879008743</v>
      </c>
      <c r="N42" s="23">
        <f>+'Demanda Regional'!AB9</f>
        <v>5150273.5012420304</v>
      </c>
      <c r="O42" s="23">
        <f>+'Demanda Regional'!AC9</f>
        <v>5150539.1162936939</v>
      </c>
      <c r="P42" s="23">
        <f>+'Demanda Regional'!AD9</f>
        <v>5069424.2842557998</v>
      </c>
      <c r="Q42" s="23">
        <f>+'Demanda Regional'!AE9</f>
        <v>5273954.6793892365</v>
      </c>
      <c r="R42" s="23">
        <f>+'Demanda Regional'!AF9</f>
        <v>5273954.6793892365</v>
      </c>
      <c r="S42" s="23">
        <f>+'Demanda Regional'!AG9</f>
        <v>5273954.6793892365</v>
      </c>
      <c r="T42" s="23">
        <f>+'Demanda Regional'!AH9</f>
        <v>5273954.6793892365</v>
      </c>
      <c r="U42" s="23">
        <f>+'Demanda Regional'!AI9</f>
        <v>5273954.6793892365</v>
      </c>
      <c r="V42" s="23">
        <f>+'Demanda Regional'!AJ9</f>
        <v>5273954.6793892365</v>
      </c>
      <c r="W42" s="23">
        <f>+'Demanda Regional'!AK9</f>
        <v>5273954.6793892365</v>
      </c>
      <c r="X42" s="23">
        <f>+'Demanda Regional'!AL9</f>
        <v>5273954.6793892365</v>
      </c>
      <c r="Y42" s="23">
        <f>+'Demanda Regional'!AM9</f>
        <v>5273954.6793892365</v>
      </c>
      <c r="Z42" s="23">
        <f>+'Demanda Regional'!AN9</f>
        <v>5273954.6793892365</v>
      </c>
      <c r="AA42" s="23">
        <f>+'Demanda Regional'!AO9</f>
        <v>5273954.6793892365</v>
      </c>
    </row>
    <row r="43" spans="1:27" x14ac:dyDescent="0.25">
      <c r="A43">
        <v>2043</v>
      </c>
      <c r="B43" t="s">
        <v>29</v>
      </c>
      <c r="C43" s="5">
        <f>(C42)/(1+$G$2)^C40</f>
        <v>0</v>
      </c>
      <c r="D43" s="5">
        <f t="shared" ref="D43:AA43" si="5">(D42)/(1+$G$2)^D40</f>
        <v>0</v>
      </c>
      <c r="E43" s="5">
        <f t="shared" si="5"/>
        <v>0</v>
      </c>
      <c r="F43" s="5">
        <f t="shared" si="5"/>
        <v>0</v>
      </c>
      <c r="G43" s="5">
        <f t="shared" si="5"/>
        <v>0</v>
      </c>
      <c r="H43" s="5">
        <f t="shared" si="5"/>
        <v>2283417.2182712499</v>
      </c>
      <c r="I43" s="5">
        <f t="shared" si="5"/>
        <v>2097878.2339471481</v>
      </c>
      <c r="J43" s="5">
        <f t="shared" si="5"/>
        <v>1920715.7229979963</v>
      </c>
      <c r="K43" s="5">
        <f t="shared" si="5"/>
        <v>1807114.7085368638</v>
      </c>
      <c r="L43" s="5">
        <f t="shared" si="5"/>
        <v>1628440.0897830985</v>
      </c>
      <c r="M43" s="5">
        <f t="shared" si="5"/>
        <v>1439820.4947372025</v>
      </c>
      <c r="N43" s="5">
        <f t="shared" si="5"/>
        <v>1375777.6074569437</v>
      </c>
      <c r="O43" s="5">
        <f t="shared" si="5"/>
        <v>1220264.7986115539</v>
      </c>
      <c r="P43" s="5">
        <f t="shared" si="5"/>
        <v>1065230.2325791151</v>
      </c>
      <c r="Q43" s="5">
        <f t="shared" si="5"/>
        <v>982889.47768323298</v>
      </c>
      <c r="R43" s="5">
        <f t="shared" si="5"/>
        <v>871742.33053945296</v>
      </c>
      <c r="S43" s="5">
        <f t="shared" si="5"/>
        <v>773163.92952501366</v>
      </c>
      <c r="T43" s="5">
        <f t="shared" si="5"/>
        <v>685732.9751884822</v>
      </c>
      <c r="U43" s="5">
        <f t="shared" si="5"/>
        <v>608188.8915197181</v>
      </c>
      <c r="V43" s="5">
        <f t="shared" si="5"/>
        <v>539413.65101527108</v>
      </c>
      <c r="W43" s="5">
        <f t="shared" si="5"/>
        <v>478415.65500245773</v>
      </c>
      <c r="X43" s="5">
        <f t="shared" si="5"/>
        <v>424315.43680927518</v>
      </c>
      <c r="Y43" s="5">
        <f t="shared" si="5"/>
        <v>376332.98164902453</v>
      </c>
      <c r="Z43" s="5">
        <f t="shared" si="5"/>
        <v>333776.48039824801</v>
      </c>
      <c r="AA43" s="5">
        <f t="shared" si="5"/>
        <v>296032.35512039729</v>
      </c>
    </row>
    <row r="44" spans="1:27" ht="18.75" x14ac:dyDescent="0.3">
      <c r="B44" t="s">
        <v>30</v>
      </c>
      <c r="C44" s="11">
        <f>SUM(H43:AA43)</f>
        <v>21208663.271371748</v>
      </c>
    </row>
    <row r="45" spans="1:27" x14ac:dyDescent="0.25">
      <c r="E45" s="10"/>
    </row>
    <row r="46" spans="1:27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2:5" x14ac:dyDescent="0.25">
      <c r="B49" s="12" t="s">
        <v>41</v>
      </c>
      <c r="E49" s="10"/>
    </row>
    <row r="50" spans="2:5" x14ac:dyDescent="0.25">
      <c r="B50" s="10" t="s">
        <v>31</v>
      </c>
      <c r="E50" s="10"/>
    </row>
    <row r="51" spans="2:5" ht="18.75" x14ac:dyDescent="0.3">
      <c r="B51" s="10" t="s">
        <v>40</v>
      </c>
      <c r="C51" s="21">
        <f>+C36/C44</f>
        <v>8.9266715811508037E-4</v>
      </c>
      <c r="D51" s="10"/>
      <c r="E51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showGridLines="0" workbookViewId="0">
      <selection activeCell="B6" sqref="B6"/>
    </sheetView>
  </sheetViews>
  <sheetFormatPr baseColWidth="10" defaultRowHeight="15" x14ac:dyDescent="0.25"/>
  <cols>
    <col min="1" max="1" width="19.42578125" bestFit="1" customWidth="1"/>
    <col min="2" max="2" width="26.140625" bestFit="1" customWidth="1"/>
    <col min="3" max="3" width="23.28515625" bestFit="1" customWidth="1"/>
    <col min="4" max="5" width="15.140625" bestFit="1" customWidth="1"/>
    <col min="6" max="6" width="17" bestFit="1" customWidth="1"/>
    <col min="7" max="7" width="15.140625" bestFit="1" customWidth="1"/>
    <col min="8" max="8" width="16.140625" bestFit="1" customWidth="1"/>
    <col min="9" max="24" width="15.140625" bestFit="1" customWidth="1"/>
    <col min="25" max="27" width="16.42578125" customWidth="1"/>
  </cols>
  <sheetData>
    <row r="1" spans="1:27" x14ac:dyDescent="0.25">
      <c r="C1" s="16" t="s">
        <v>20</v>
      </c>
      <c r="D1" s="16" t="s">
        <v>21</v>
      </c>
      <c r="E1" s="16" t="s">
        <v>22</v>
      </c>
      <c r="F1" s="16" t="s">
        <v>126</v>
      </c>
      <c r="G1" s="16" t="s">
        <v>35</v>
      </c>
    </row>
    <row r="2" spans="1:27" ht="45" x14ac:dyDescent="0.25">
      <c r="A2" s="139"/>
      <c r="B2" s="15" t="s">
        <v>123</v>
      </c>
      <c r="C2" s="140" t="str">
        <f>+'%  Planta'!C14</f>
        <v>NorOccidente</v>
      </c>
      <c r="D2" s="43">
        <v>0.03</v>
      </c>
      <c r="E2" s="27">
        <v>700</v>
      </c>
      <c r="F2" s="27">
        <v>2024</v>
      </c>
      <c r="G2" s="43">
        <v>0.1275</v>
      </c>
    </row>
    <row r="5" spans="1:27" ht="18.75" x14ac:dyDescent="0.3">
      <c r="A5" s="113" t="s">
        <v>88</v>
      </c>
      <c r="C5" s="10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</row>
    <row r="6" spans="1:27" x14ac:dyDescent="0.25">
      <c r="B6" s="12" t="s">
        <v>124</v>
      </c>
      <c r="C6" s="10">
        <v>2019</v>
      </c>
      <c r="D6" s="10">
        <v>2020</v>
      </c>
      <c r="E6" s="10">
        <v>2021</v>
      </c>
      <c r="F6" s="10">
        <v>2022</v>
      </c>
      <c r="G6" s="10">
        <v>2023</v>
      </c>
      <c r="H6" s="10">
        <v>2024</v>
      </c>
      <c r="I6" s="10">
        <v>2025</v>
      </c>
      <c r="J6" s="10">
        <v>2026</v>
      </c>
      <c r="K6" s="10">
        <v>2027</v>
      </c>
      <c r="L6" s="10">
        <v>2028</v>
      </c>
      <c r="M6" s="10">
        <v>2029</v>
      </c>
      <c r="N6" s="10">
        <v>2030</v>
      </c>
      <c r="O6" s="10">
        <v>2031</v>
      </c>
      <c r="P6" s="10">
        <v>2032</v>
      </c>
      <c r="Q6" s="10">
        <v>2033</v>
      </c>
      <c r="R6" s="10">
        <v>2034</v>
      </c>
      <c r="S6" s="10">
        <v>2035</v>
      </c>
      <c r="T6" s="10">
        <v>2036</v>
      </c>
      <c r="U6" s="10">
        <v>2037</v>
      </c>
      <c r="V6" s="10">
        <v>2038</v>
      </c>
      <c r="W6" s="10">
        <v>2039</v>
      </c>
      <c r="X6" s="10">
        <v>2040</v>
      </c>
      <c r="Y6" s="10">
        <v>2041</v>
      </c>
      <c r="Z6" s="10">
        <v>2042</v>
      </c>
      <c r="AA6" s="10">
        <v>2043</v>
      </c>
    </row>
    <row r="7" spans="1:27" x14ac:dyDescent="0.25">
      <c r="B7" t="s">
        <v>24</v>
      </c>
      <c r="H7" s="25">
        <f>+E2*'%  Planta'!E14*'%  Planta'!F4</f>
        <v>25.898254758631662</v>
      </c>
    </row>
    <row r="8" spans="1:27" x14ac:dyDescent="0.25">
      <c r="B8" t="s">
        <v>25</v>
      </c>
      <c r="C8" s="5"/>
      <c r="D8" s="5"/>
      <c r="E8" s="5"/>
      <c r="F8" s="5"/>
      <c r="G8" s="5"/>
      <c r="H8" s="5">
        <f t="shared" ref="H8:AA8" si="0">$H$7*$D$2</f>
        <v>0.77694764275894979</v>
      </c>
      <c r="I8" s="5">
        <f t="shared" si="0"/>
        <v>0.77694764275894979</v>
      </c>
      <c r="J8" s="5">
        <f t="shared" si="0"/>
        <v>0.77694764275894979</v>
      </c>
      <c r="K8" s="5">
        <f t="shared" si="0"/>
        <v>0.77694764275894979</v>
      </c>
      <c r="L8" s="5">
        <f t="shared" si="0"/>
        <v>0.77694764275894979</v>
      </c>
      <c r="M8" s="5">
        <f t="shared" si="0"/>
        <v>0.77694764275894979</v>
      </c>
      <c r="N8" s="5">
        <f t="shared" si="0"/>
        <v>0.77694764275894979</v>
      </c>
      <c r="O8" s="5">
        <f t="shared" si="0"/>
        <v>0.77694764275894979</v>
      </c>
      <c r="P8" s="5">
        <f t="shared" si="0"/>
        <v>0.77694764275894979</v>
      </c>
      <c r="Q8" s="5">
        <f t="shared" si="0"/>
        <v>0.77694764275894979</v>
      </c>
      <c r="R8" s="5">
        <f t="shared" si="0"/>
        <v>0.77694764275894979</v>
      </c>
      <c r="S8" s="5">
        <f t="shared" si="0"/>
        <v>0.77694764275894979</v>
      </c>
      <c r="T8" s="5">
        <f t="shared" si="0"/>
        <v>0.77694764275894979</v>
      </c>
      <c r="U8" s="5">
        <f t="shared" si="0"/>
        <v>0.77694764275894979</v>
      </c>
      <c r="V8" s="5">
        <f t="shared" si="0"/>
        <v>0.77694764275894979</v>
      </c>
      <c r="W8" s="5">
        <f t="shared" si="0"/>
        <v>0.77694764275894979</v>
      </c>
      <c r="X8" s="5">
        <f t="shared" si="0"/>
        <v>0.77694764275894979</v>
      </c>
      <c r="Y8" s="5">
        <f t="shared" si="0"/>
        <v>0.77694764275894979</v>
      </c>
      <c r="Z8" s="5">
        <f t="shared" si="0"/>
        <v>0.77694764275894979</v>
      </c>
      <c r="AA8" s="5">
        <f t="shared" si="0"/>
        <v>0.77694764275894979</v>
      </c>
    </row>
    <row r="9" spans="1:27" x14ac:dyDescent="0.25">
      <c r="B9" t="s">
        <v>26</v>
      </c>
      <c r="C9" s="5">
        <f>(C8/(1+$G$2)^C5)+(C7/(1+$G$2)^C5)</f>
        <v>0</v>
      </c>
      <c r="D9" s="5">
        <f t="shared" ref="D9:AA9" si="1">(D8/(1+$G$2)^D5)+(D7/(1+$G$2)^D5)</f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14.639457075908114</v>
      </c>
      <c r="I9" s="5">
        <f t="shared" si="1"/>
        <v>0.37817468174476859</v>
      </c>
      <c r="J9" s="5">
        <f t="shared" si="1"/>
        <v>0.33540991729026043</v>
      </c>
      <c r="K9" s="5">
        <f t="shared" si="1"/>
        <v>0.29748107963659459</v>
      </c>
      <c r="L9" s="5">
        <f t="shared" si="1"/>
        <v>0.26384131231627017</v>
      </c>
      <c r="M9" s="5">
        <f t="shared" si="1"/>
        <v>0.23400559850666977</v>
      </c>
      <c r="N9" s="5">
        <f t="shared" si="1"/>
        <v>0.207543768076869</v>
      </c>
      <c r="O9" s="5">
        <f t="shared" si="1"/>
        <v>0.18407429541185719</v>
      </c>
      <c r="P9" s="5">
        <f t="shared" si="1"/>
        <v>0.16325879859144765</v>
      </c>
      <c r="Q9" s="5">
        <f t="shared" si="1"/>
        <v>0.14479716061325731</v>
      </c>
      <c r="R9" s="5">
        <f t="shared" si="1"/>
        <v>0.12842320231774487</v>
      </c>
      <c r="S9" s="5">
        <f t="shared" si="1"/>
        <v>0.11390084462771163</v>
      </c>
      <c r="T9" s="5">
        <f t="shared" si="1"/>
        <v>0.10102070476958903</v>
      </c>
      <c r="U9" s="5">
        <f t="shared" si="1"/>
        <v>8.9597077400965883E-2</v>
      </c>
      <c r="V9" s="5">
        <f t="shared" si="1"/>
        <v>7.9465257118373295E-2</v>
      </c>
      <c r="W9" s="5">
        <f t="shared" si="1"/>
        <v>7.0479163741351034E-2</v>
      </c>
      <c r="X9" s="5">
        <f t="shared" si="1"/>
        <v>6.2509236134235951E-2</v>
      </c>
      <c r="Y9" s="5">
        <f t="shared" si="1"/>
        <v>5.5440564198878897E-2</v>
      </c>
      <c r="Z9" s="5">
        <f t="shared" si="1"/>
        <v>4.9171232105435836E-2</v>
      </c>
      <c r="AA9" s="5">
        <f t="shared" si="1"/>
        <v>4.3610848874000734E-2</v>
      </c>
    </row>
    <row r="10" spans="1:27" ht="18.75" x14ac:dyDescent="0.3">
      <c r="B10" t="s">
        <v>27</v>
      </c>
      <c r="C10" s="11">
        <f>SUM(C9:AA9)*1000000</f>
        <v>17641661.819384389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7" ht="16.5" customHeight="1" x14ac:dyDescent="0.25">
      <c r="C11" s="20"/>
    </row>
    <row r="12" spans="1:27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4" spans="1:27" x14ac:dyDescent="0.25">
      <c r="C14" s="10">
        <v>0</v>
      </c>
      <c r="D14" s="10">
        <v>1</v>
      </c>
      <c r="E14" s="10">
        <v>2</v>
      </c>
      <c r="F14" s="10">
        <v>3</v>
      </c>
      <c r="G14" s="10">
        <v>4</v>
      </c>
      <c r="H14" s="13">
        <v>5</v>
      </c>
      <c r="I14" s="10">
        <v>6</v>
      </c>
      <c r="J14" s="10">
        <v>7</v>
      </c>
      <c r="K14" s="10">
        <v>8</v>
      </c>
      <c r="L14" s="10">
        <v>9</v>
      </c>
      <c r="M14" s="10">
        <v>10</v>
      </c>
      <c r="N14" s="10">
        <v>11</v>
      </c>
      <c r="O14" s="10">
        <v>12</v>
      </c>
      <c r="P14" s="10">
        <v>13</v>
      </c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  <c r="X14" s="10">
        <v>21</v>
      </c>
      <c r="Y14" s="10">
        <v>22</v>
      </c>
      <c r="Z14" s="10">
        <v>23</v>
      </c>
      <c r="AA14" s="10">
        <v>24</v>
      </c>
    </row>
    <row r="15" spans="1:27" x14ac:dyDescent="0.25">
      <c r="A15" s="10"/>
      <c r="B15" s="12" t="s">
        <v>28</v>
      </c>
      <c r="C15" s="10">
        <v>2019</v>
      </c>
      <c r="D15" s="10">
        <v>2020</v>
      </c>
      <c r="E15" s="10">
        <v>2021</v>
      </c>
      <c r="F15" s="10">
        <v>2022</v>
      </c>
      <c r="G15" s="10">
        <v>2023</v>
      </c>
      <c r="H15" s="13">
        <v>2024</v>
      </c>
      <c r="I15" s="10">
        <v>2025</v>
      </c>
      <c r="J15" s="10">
        <v>2026</v>
      </c>
      <c r="K15" s="10">
        <v>2027</v>
      </c>
      <c r="L15" s="10">
        <v>2028</v>
      </c>
      <c r="M15" s="10">
        <v>2029</v>
      </c>
      <c r="N15" s="10">
        <v>2030</v>
      </c>
      <c r="O15" s="10">
        <v>2031</v>
      </c>
      <c r="P15" s="10">
        <v>2032</v>
      </c>
      <c r="Q15" s="10">
        <v>2033</v>
      </c>
      <c r="R15" s="10">
        <v>2034</v>
      </c>
      <c r="S15" s="10">
        <v>2035</v>
      </c>
      <c r="T15" s="10">
        <v>2036</v>
      </c>
      <c r="U15" s="10">
        <v>2037</v>
      </c>
      <c r="V15" s="10">
        <v>2038</v>
      </c>
      <c r="W15" s="10">
        <v>2039</v>
      </c>
      <c r="X15" s="10">
        <v>2040</v>
      </c>
      <c r="Y15" s="10">
        <v>2041</v>
      </c>
      <c r="Z15" s="10">
        <v>2042</v>
      </c>
      <c r="AA15" s="10">
        <v>2043</v>
      </c>
    </row>
    <row r="16" spans="1:27" x14ac:dyDescent="0.25">
      <c r="A16">
        <v>2024</v>
      </c>
      <c r="B16" s="14" t="s">
        <v>104</v>
      </c>
      <c r="C16" s="5"/>
      <c r="D16" s="5"/>
      <c r="E16" s="5"/>
      <c r="F16" s="5"/>
      <c r="G16" s="5"/>
      <c r="H16" s="23">
        <f>+'Demanda Regional'!V10</f>
        <v>20803577.669709284</v>
      </c>
      <c r="I16" s="23">
        <f>+'Demanda Regional'!W10</f>
        <v>21550114.634070057</v>
      </c>
      <c r="J16" s="23">
        <f>+'Demanda Regional'!X10</f>
        <v>22245847.192734126</v>
      </c>
      <c r="K16" s="23">
        <f>+'Demanda Regional'!Y10</f>
        <v>23598702.726034235</v>
      </c>
      <c r="L16" s="23">
        <f>+'Demanda Regional'!Z10</f>
        <v>23976773.72856839</v>
      </c>
      <c r="M16" s="23">
        <f>+'Demanda Regional'!AA10</f>
        <v>23902529.395043716</v>
      </c>
      <c r="N16" s="23">
        <f>+'Demanda Regional'!AB10</f>
        <v>25751367.506210148</v>
      </c>
      <c r="O16" s="23">
        <f>+'Demanda Regional'!AC10</f>
        <v>25752695.581468474</v>
      </c>
      <c r="P16" s="23">
        <f>+'Demanda Regional'!AD10</f>
        <v>25347121.421279002</v>
      </c>
      <c r="Q16" s="23">
        <f>+'Demanda Regional'!AE10</f>
        <v>26369773.396946192</v>
      </c>
      <c r="R16" s="23">
        <f>+'Demanda Regional'!AF10</f>
        <v>26369773.396946192</v>
      </c>
      <c r="S16" s="23">
        <f>+'Demanda Regional'!AG10</f>
        <v>26369773.396946192</v>
      </c>
      <c r="T16" s="23">
        <f>+'Demanda Regional'!AH10</f>
        <v>26369773.396946192</v>
      </c>
      <c r="U16" s="23">
        <f>+'Demanda Regional'!AI10</f>
        <v>26369773.396946192</v>
      </c>
      <c r="V16" s="23">
        <f>+'Demanda Regional'!AJ10</f>
        <v>26369773.396946192</v>
      </c>
      <c r="W16" s="23">
        <f>+'Demanda Regional'!AK10</f>
        <v>26369773.396946192</v>
      </c>
      <c r="X16" s="23">
        <f>+'Demanda Regional'!AL10</f>
        <v>26369773.396946192</v>
      </c>
      <c r="Y16" s="23">
        <f>+'Demanda Regional'!AM10</f>
        <v>26369773.396946192</v>
      </c>
      <c r="Z16" s="23">
        <f>+'Demanda Regional'!AN10</f>
        <v>26369773.396946192</v>
      </c>
      <c r="AA16" s="23">
        <f>+'Demanda Regional'!AO10</f>
        <v>26369773.396946192</v>
      </c>
    </row>
    <row r="17" spans="1:27" x14ac:dyDescent="0.25">
      <c r="A17">
        <v>2043</v>
      </c>
      <c r="B17" t="s">
        <v>29</v>
      </c>
      <c r="C17" s="5">
        <f>(C16)/(1+$G$2)^C14</f>
        <v>0</v>
      </c>
      <c r="D17" s="5">
        <f t="shared" ref="D17:AA17" si="2">(D16)/(1+$G$2)^D14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11417086.091356251</v>
      </c>
      <c r="I17" s="5">
        <f t="shared" si="2"/>
        <v>10489391.169735737</v>
      </c>
      <c r="J17" s="5">
        <f t="shared" si="2"/>
        <v>9603578.6149899811</v>
      </c>
      <c r="K17" s="5">
        <f t="shared" si="2"/>
        <v>9035573.5426843166</v>
      </c>
      <c r="L17" s="5">
        <f t="shared" si="2"/>
        <v>8142200.4489154918</v>
      </c>
      <c r="M17" s="5">
        <f t="shared" si="2"/>
        <v>7199102.4736860124</v>
      </c>
      <c r="N17" s="5">
        <f t="shared" si="2"/>
        <v>6878888.037284717</v>
      </c>
      <c r="O17" s="5">
        <f t="shared" si="2"/>
        <v>6101323.9930577697</v>
      </c>
      <c r="P17" s="5">
        <f t="shared" si="2"/>
        <v>5326151.1628955761</v>
      </c>
      <c r="Q17" s="5">
        <f t="shared" si="2"/>
        <v>4914447.3884161664</v>
      </c>
      <c r="R17" s="5">
        <f t="shared" si="2"/>
        <v>4358711.6526972661</v>
      </c>
      <c r="S17" s="5">
        <f t="shared" si="2"/>
        <v>3865819.6476250696</v>
      </c>
      <c r="T17" s="5">
        <f t="shared" si="2"/>
        <v>3428664.8759424123</v>
      </c>
      <c r="U17" s="5">
        <f t="shared" si="2"/>
        <v>3040944.4575985917</v>
      </c>
      <c r="V17" s="5">
        <f t="shared" si="2"/>
        <v>2697068.2550763567</v>
      </c>
      <c r="W17" s="5">
        <f t="shared" si="2"/>
        <v>2392078.2750122896</v>
      </c>
      <c r="X17" s="5">
        <f t="shared" si="2"/>
        <v>2121577.1840463765</v>
      </c>
      <c r="Y17" s="5">
        <f t="shared" si="2"/>
        <v>1881664.9082451235</v>
      </c>
      <c r="Z17" s="5">
        <f t="shared" si="2"/>
        <v>1668882.4019912404</v>
      </c>
      <c r="AA17" s="5">
        <f t="shared" si="2"/>
        <v>1480161.775601987</v>
      </c>
    </row>
    <row r="18" spans="1:27" ht="18.75" x14ac:dyDescent="0.3">
      <c r="B18" t="s">
        <v>30</v>
      </c>
      <c r="C18" s="11">
        <f>SUM(H17:AA17)</f>
        <v>106043316.35685872</v>
      </c>
    </row>
    <row r="19" spans="1:27" x14ac:dyDescent="0.25">
      <c r="E19" s="10"/>
    </row>
    <row r="20" spans="1:27" x14ac:dyDescent="0.2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B23" s="12" t="s">
        <v>41</v>
      </c>
      <c r="E23" s="10"/>
    </row>
    <row r="24" spans="1:27" x14ac:dyDescent="0.25">
      <c r="B24" s="10" t="s">
        <v>31</v>
      </c>
      <c r="E24" s="10"/>
    </row>
    <row r="25" spans="1:27" ht="18.75" x14ac:dyDescent="0.3">
      <c r="B25" s="10" t="s">
        <v>40</v>
      </c>
      <c r="C25" s="21">
        <f>+C10/C18</f>
        <v>0.1663627885798703</v>
      </c>
      <c r="D25" s="10"/>
      <c r="E25" s="10"/>
    </row>
    <row r="30" spans="1:27" ht="18.75" x14ac:dyDescent="0.3">
      <c r="A30" s="113" t="s">
        <v>87</v>
      </c>
    </row>
    <row r="31" spans="1:27" ht="18.75" x14ac:dyDescent="0.3">
      <c r="A31" s="113"/>
      <c r="C31" s="10">
        <v>0</v>
      </c>
      <c r="D31" s="10">
        <v>1</v>
      </c>
      <c r="E31" s="10">
        <v>2</v>
      </c>
      <c r="F31" s="10">
        <v>3</v>
      </c>
      <c r="G31" s="10">
        <v>4</v>
      </c>
      <c r="H31" s="10">
        <v>5</v>
      </c>
      <c r="I31" s="10">
        <v>6</v>
      </c>
      <c r="J31" s="10">
        <v>7</v>
      </c>
      <c r="K31" s="10">
        <v>8</v>
      </c>
      <c r="L31" s="10">
        <v>9</v>
      </c>
      <c r="M31" s="10">
        <v>10</v>
      </c>
      <c r="N31" s="10">
        <v>11</v>
      </c>
      <c r="O31" s="10">
        <v>12</v>
      </c>
      <c r="P31" s="10">
        <v>13</v>
      </c>
      <c r="Q31" s="10">
        <v>14</v>
      </c>
      <c r="R31" s="10">
        <v>15</v>
      </c>
      <c r="S31" s="10">
        <v>16</v>
      </c>
      <c r="T31" s="10">
        <v>17</v>
      </c>
      <c r="U31" s="10">
        <v>18</v>
      </c>
      <c r="V31" s="10">
        <v>19</v>
      </c>
      <c r="W31" s="10">
        <v>20</v>
      </c>
      <c r="X31" s="10">
        <v>21</v>
      </c>
      <c r="Y31" s="10">
        <v>22</v>
      </c>
      <c r="Z31" s="10">
        <v>23</v>
      </c>
      <c r="AA31" s="10">
        <v>24</v>
      </c>
    </row>
    <row r="32" spans="1:27" x14ac:dyDescent="0.25">
      <c r="B32" s="12" t="s">
        <v>124</v>
      </c>
      <c r="C32" s="10">
        <v>2019</v>
      </c>
      <c r="D32" s="10">
        <v>2020</v>
      </c>
      <c r="E32" s="10">
        <v>2021</v>
      </c>
      <c r="F32" s="10">
        <v>2022</v>
      </c>
      <c r="G32" s="10">
        <v>2023</v>
      </c>
      <c r="H32" s="10">
        <v>2024</v>
      </c>
      <c r="I32" s="10">
        <v>2025</v>
      </c>
      <c r="J32" s="10">
        <v>2026</v>
      </c>
      <c r="K32" s="10">
        <v>2027</v>
      </c>
      <c r="L32" s="10">
        <v>2028</v>
      </c>
      <c r="M32" s="10">
        <v>2029</v>
      </c>
      <c r="N32" s="10">
        <v>2030</v>
      </c>
      <c r="O32" s="10">
        <v>2031</v>
      </c>
      <c r="P32" s="10">
        <v>2032</v>
      </c>
      <c r="Q32" s="10">
        <v>2033</v>
      </c>
      <c r="R32" s="10">
        <v>2034</v>
      </c>
      <c r="S32" s="10">
        <v>2035</v>
      </c>
      <c r="T32" s="10">
        <v>2036</v>
      </c>
      <c r="U32" s="10">
        <v>2037</v>
      </c>
      <c r="V32" s="10">
        <v>2038</v>
      </c>
      <c r="W32" s="10">
        <v>2039</v>
      </c>
      <c r="X32" s="10">
        <v>2040</v>
      </c>
      <c r="Y32" s="10">
        <v>2041</v>
      </c>
      <c r="Z32" s="10">
        <v>2042</v>
      </c>
      <c r="AA32" s="10">
        <v>2043</v>
      </c>
    </row>
    <row r="33" spans="1:27" x14ac:dyDescent="0.25">
      <c r="B33" t="s">
        <v>24</v>
      </c>
      <c r="H33" s="25">
        <f>+E2*'%  Planta'!F14*'%  Planta'!F3</f>
        <v>4.2500346955405286</v>
      </c>
    </row>
    <row r="34" spans="1:27" x14ac:dyDescent="0.25">
      <c r="B34" t="s">
        <v>25</v>
      </c>
      <c r="C34" s="5"/>
      <c r="D34" s="5"/>
      <c r="E34" s="5"/>
      <c r="F34" s="5"/>
      <c r="G34" s="5"/>
      <c r="H34" s="5">
        <f>$H$33*$D$2</f>
        <v>0.12750104086621586</v>
      </c>
      <c r="I34" s="5">
        <f t="shared" ref="I34:AA34" si="3">$H$33*$D$2</f>
        <v>0.12750104086621586</v>
      </c>
      <c r="J34" s="5">
        <f t="shared" si="3"/>
        <v>0.12750104086621586</v>
      </c>
      <c r="K34" s="5">
        <f t="shared" si="3"/>
        <v>0.12750104086621586</v>
      </c>
      <c r="L34" s="5">
        <f t="shared" si="3"/>
        <v>0.12750104086621586</v>
      </c>
      <c r="M34" s="5">
        <f t="shared" si="3"/>
        <v>0.12750104086621586</v>
      </c>
      <c r="N34" s="5">
        <f t="shared" si="3"/>
        <v>0.12750104086621586</v>
      </c>
      <c r="O34" s="5">
        <f t="shared" si="3"/>
        <v>0.12750104086621586</v>
      </c>
      <c r="P34" s="5">
        <f t="shared" si="3"/>
        <v>0.12750104086621586</v>
      </c>
      <c r="Q34" s="5">
        <f t="shared" si="3"/>
        <v>0.12750104086621586</v>
      </c>
      <c r="R34" s="5">
        <f t="shared" si="3"/>
        <v>0.12750104086621586</v>
      </c>
      <c r="S34" s="5">
        <f t="shared" si="3"/>
        <v>0.12750104086621586</v>
      </c>
      <c r="T34" s="5">
        <f t="shared" si="3"/>
        <v>0.12750104086621586</v>
      </c>
      <c r="U34" s="5">
        <f t="shared" si="3"/>
        <v>0.12750104086621586</v>
      </c>
      <c r="V34" s="5">
        <f t="shared" si="3"/>
        <v>0.12750104086621586</v>
      </c>
      <c r="W34" s="5">
        <f t="shared" si="3"/>
        <v>0.12750104086621586</v>
      </c>
      <c r="X34" s="5">
        <f t="shared" si="3"/>
        <v>0.12750104086621586</v>
      </c>
      <c r="Y34" s="5">
        <f t="shared" si="3"/>
        <v>0.12750104086621586</v>
      </c>
      <c r="Z34" s="5">
        <f t="shared" si="3"/>
        <v>0.12750104086621586</v>
      </c>
      <c r="AA34" s="5">
        <f t="shared" si="3"/>
        <v>0.12750104086621586</v>
      </c>
    </row>
    <row r="35" spans="1:27" x14ac:dyDescent="0.25">
      <c r="B35" t="s">
        <v>26</v>
      </c>
      <c r="C35" s="5">
        <f>(C34/(1+$G$2)^C31)+(C33/(1+$G$2)^C31)</f>
        <v>0</v>
      </c>
      <c r="D35" s="5">
        <f t="shared" ref="D35:AA35" si="4">(D34/(1+$G$2)^D31)+(D33/(1+$G$2)^D31)</f>
        <v>0</v>
      </c>
      <c r="E35" s="5">
        <f t="shared" si="4"/>
        <v>0</v>
      </c>
      <c r="F35" s="5">
        <f t="shared" si="4"/>
        <v>0</v>
      </c>
      <c r="G35" s="5">
        <f t="shared" si="4"/>
        <v>0</v>
      </c>
      <c r="H35" s="5">
        <f t="shared" si="4"/>
        <v>2.4024090069524471</v>
      </c>
      <c r="I35" s="5">
        <f t="shared" si="4"/>
        <v>6.2060379487717407E-2</v>
      </c>
      <c r="J35" s="5">
        <f t="shared" si="4"/>
        <v>5.5042465177576418E-2</v>
      </c>
      <c r="K35" s="5">
        <f t="shared" si="4"/>
        <v>4.881815093354893E-2</v>
      </c>
      <c r="L35" s="5">
        <f t="shared" si="4"/>
        <v>4.3297694841285081E-2</v>
      </c>
      <c r="M35" s="5">
        <f t="shared" si="4"/>
        <v>3.840150318517524E-2</v>
      </c>
      <c r="N35" s="5">
        <f t="shared" si="4"/>
        <v>3.4058982869335029E-2</v>
      </c>
      <c r="O35" s="5">
        <f t="shared" si="4"/>
        <v>3.0207523609166318E-2</v>
      </c>
      <c r="P35" s="5">
        <f t="shared" si="4"/>
        <v>2.6791595218772793E-2</v>
      </c>
      <c r="Q35" s="5">
        <f t="shared" si="4"/>
        <v>2.3761946978955908E-2</v>
      </c>
      <c r="R35" s="5">
        <f t="shared" si="4"/>
        <v>2.1074897542311233E-2</v>
      </c>
      <c r="S35" s="5">
        <f t="shared" si="4"/>
        <v>1.8691705137304861E-2</v>
      </c>
      <c r="T35" s="5">
        <f t="shared" si="4"/>
        <v>1.6578008990957748E-2</v>
      </c>
      <c r="U35" s="5">
        <f t="shared" si="4"/>
        <v>1.4703333916592239E-2</v>
      </c>
      <c r="V35" s="5">
        <f t="shared" si="4"/>
        <v>1.3040650923806863E-2</v>
      </c>
      <c r="W35" s="5">
        <f t="shared" si="4"/>
        <v>1.1565987515571497E-2</v>
      </c>
      <c r="X35" s="5">
        <f t="shared" si="4"/>
        <v>1.025808205372195E-2</v>
      </c>
      <c r="Y35" s="5">
        <f t="shared" si="4"/>
        <v>9.0980772095094909E-3</v>
      </c>
      <c r="Z35" s="5">
        <f t="shared" si="4"/>
        <v>8.0692480793875757E-3</v>
      </c>
      <c r="AA35" s="5">
        <f t="shared" si="4"/>
        <v>7.1567610460200222E-3</v>
      </c>
    </row>
    <row r="36" spans="1:27" ht="18.75" x14ac:dyDescent="0.3">
      <c r="B36" t="s">
        <v>27</v>
      </c>
      <c r="C36" s="11">
        <f>SUM(C35:AA35)*1000000</f>
        <v>2895086.0016691634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7" ht="16.5" customHeight="1" x14ac:dyDescent="0.25">
      <c r="C37" s="20"/>
    </row>
    <row r="38" spans="1:27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40" spans="1:27" x14ac:dyDescent="0.25">
      <c r="C40" s="10">
        <v>0</v>
      </c>
      <c r="D40" s="10">
        <v>1</v>
      </c>
      <c r="E40" s="10">
        <v>2</v>
      </c>
      <c r="F40" s="10">
        <v>3</v>
      </c>
      <c r="G40" s="10">
        <v>4</v>
      </c>
      <c r="H40" s="13">
        <v>5</v>
      </c>
      <c r="I40" s="10">
        <v>6</v>
      </c>
      <c r="J40" s="10">
        <v>7</v>
      </c>
      <c r="K40" s="10">
        <v>8</v>
      </c>
      <c r="L40" s="10">
        <v>9</v>
      </c>
      <c r="M40" s="10">
        <v>10</v>
      </c>
      <c r="N40" s="10">
        <v>11</v>
      </c>
      <c r="O40" s="10">
        <v>12</v>
      </c>
      <c r="P40" s="10">
        <v>13</v>
      </c>
      <c r="Q40" s="10">
        <v>14</v>
      </c>
      <c r="R40" s="10">
        <v>15</v>
      </c>
      <c r="S40" s="10">
        <v>16</v>
      </c>
      <c r="T40" s="10">
        <v>17</v>
      </c>
      <c r="U40" s="10">
        <v>18</v>
      </c>
      <c r="V40" s="10">
        <v>19</v>
      </c>
      <c r="W40" s="10">
        <v>20</v>
      </c>
      <c r="X40" s="10">
        <v>21</v>
      </c>
      <c r="Y40" s="10">
        <v>22</v>
      </c>
      <c r="Z40" s="10">
        <v>23</v>
      </c>
      <c r="AA40" s="10">
        <v>24</v>
      </c>
    </row>
    <row r="41" spans="1:27" x14ac:dyDescent="0.25">
      <c r="A41" s="10"/>
      <c r="B41" s="12" t="s">
        <v>28</v>
      </c>
      <c r="C41" s="10">
        <v>2019</v>
      </c>
      <c r="D41" s="10">
        <v>2020</v>
      </c>
      <c r="E41" s="10">
        <v>2021</v>
      </c>
      <c r="F41" s="10">
        <v>2022</v>
      </c>
      <c r="G41" s="10">
        <v>2023</v>
      </c>
      <c r="H41" s="13">
        <v>2024</v>
      </c>
      <c r="I41" s="10">
        <v>2025</v>
      </c>
      <c r="J41" s="10">
        <v>2026</v>
      </c>
      <c r="K41" s="10">
        <v>2027</v>
      </c>
      <c r="L41" s="10">
        <v>2028</v>
      </c>
      <c r="M41" s="10">
        <v>2029</v>
      </c>
      <c r="N41" s="10">
        <v>2030</v>
      </c>
      <c r="O41" s="10">
        <v>2031</v>
      </c>
      <c r="P41" s="10">
        <v>2032</v>
      </c>
      <c r="Q41" s="10">
        <v>2033</v>
      </c>
      <c r="R41" s="10">
        <v>2034</v>
      </c>
      <c r="S41" s="10">
        <v>2035</v>
      </c>
      <c r="T41" s="10">
        <v>2036</v>
      </c>
      <c r="U41" s="10">
        <v>2037</v>
      </c>
      <c r="V41" s="10">
        <v>2038</v>
      </c>
      <c r="W41" s="10">
        <v>2039</v>
      </c>
      <c r="X41" s="10">
        <v>2040</v>
      </c>
      <c r="Y41" s="10">
        <v>2041</v>
      </c>
      <c r="Z41" s="10">
        <v>2042</v>
      </c>
      <c r="AA41" s="10">
        <v>2043</v>
      </c>
    </row>
    <row r="42" spans="1:27" x14ac:dyDescent="0.25">
      <c r="A42">
        <v>2024</v>
      </c>
      <c r="B42" s="14" t="s">
        <v>104</v>
      </c>
      <c r="C42" s="5"/>
      <c r="D42" s="5"/>
      <c r="E42" s="5"/>
      <c r="F42" s="5"/>
      <c r="G42" s="5"/>
      <c r="H42" s="23">
        <f>+'Demanda Regional'!V10</f>
        <v>20803577.669709284</v>
      </c>
      <c r="I42" s="23">
        <f>+'Demanda Regional'!W10</f>
        <v>21550114.634070057</v>
      </c>
      <c r="J42" s="23">
        <f>+'Demanda Regional'!X10</f>
        <v>22245847.192734126</v>
      </c>
      <c r="K42" s="23">
        <f>+'Demanda Regional'!Y10</f>
        <v>23598702.726034235</v>
      </c>
      <c r="L42" s="23">
        <f>+'Demanda Regional'!Z10</f>
        <v>23976773.72856839</v>
      </c>
      <c r="M42" s="23">
        <f>+'Demanda Regional'!AA10</f>
        <v>23902529.395043716</v>
      </c>
      <c r="N42" s="23">
        <f>+'Demanda Regional'!AB10</f>
        <v>25751367.506210148</v>
      </c>
      <c r="O42" s="23">
        <f>+'Demanda Regional'!AC10</f>
        <v>25752695.581468474</v>
      </c>
      <c r="P42" s="23">
        <f>+'Demanda Regional'!AD10</f>
        <v>25347121.421279002</v>
      </c>
      <c r="Q42" s="23">
        <f>+'Demanda Regional'!AE10</f>
        <v>26369773.396946192</v>
      </c>
      <c r="R42" s="23">
        <f>+'Demanda Regional'!AF10</f>
        <v>26369773.396946192</v>
      </c>
      <c r="S42" s="23">
        <f>+'Demanda Regional'!AG10</f>
        <v>26369773.396946192</v>
      </c>
      <c r="T42" s="23">
        <f>+'Demanda Regional'!AH10</f>
        <v>26369773.396946192</v>
      </c>
      <c r="U42" s="23">
        <f>+'Demanda Regional'!AI10</f>
        <v>26369773.396946192</v>
      </c>
      <c r="V42" s="23">
        <f>+'Demanda Regional'!AJ10</f>
        <v>26369773.396946192</v>
      </c>
      <c r="W42" s="23">
        <f>+'Demanda Regional'!AK10</f>
        <v>26369773.396946192</v>
      </c>
      <c r="X42" s="23">
        <f>+'Demanda Regional'!AL10</f>
        <v>26369773.396946192</v>
      </c>
      <c r="Y42" s="23">
        <f>+'Demanda Regional'!AM10</f>
        <v>26369773.396946192</v>
      </c>
      <c r="Z42" s="23">
        <f>+'Demanda Regional'!AN10</f>
        <v>26369773.396946192</v>
      </c>
      <c r="AA42" s="23">
        <f>+'Demanda Regional'!AO10</f>
        <v>26369773.396946192</v>
      </c>
    </row>
    <row r="43" spans="1:27" x14ac:dyDescent="0.25">
      <c r="A43">
        <v>2043</v>
      </c>
      <c r="B43" t="s">
        <v>29</v>
      </c>
      <c r="C43" s="5">
        <f>(C42)/(1+$G$2)^C40</f>
        <v>0</v>
      </c>
      <c r="D43" s="5">
        <f t="shared" ref="D43:AA43" si="5">(D42)/(1+$G$2)^D40</f>
        <v>0</v>
      </c>
      <c r="E43" s="5">
        <f t="shared" si="5"/>
        <v>0</v>
      </c>
      <c r="F43" s="5">
        <f t="shared" si="5"/>
        <v>0</v>
      </c>
      <c r="G43" s="5">
        <f t="shared" si="5"/>
        <v>0</v>
      </c>
      <c r="H43" s="5">
        <f t="shared" si="5"/>
        <v>11417086.091356251</v>
      </c>
      <c r="I43" s="5">
        <f t="shared" si="5"/>
        <v>10489391.169735737</v>
      </c>
      <c r="J43" s="5">
        <f t="shared" si="5"/>
        <v>9603578.6149899811</v>
      </c>
      <c r="K43" s="5">
        <f t="shared" si="5"/>
        <v>9035573.5426843166</v>
      </c>
      <c r="L43" s="5">
        <f t="shared" si="5"/>
        <v>8142200.4489154918</v>
      </c>
      <c r="M43" s="5">
        <f t="shared" si="5"/>
        <v>7199102.4736860124</v>
      </c>
      <c r="N43" s="5">
        <f t="shared" si="5"/>
        <v>6878888.037284717</v>
      </c>
      <c r="O43" s="5">
        <f t="shared" si="5"/>
        <v>6101323.9930577697</v>
      </c>
      <c r="P43" s="5">
        <f t="shared" si="5"/>
        <v>5326151.1628955761</v>
      </c>
      <c r="Q43" s="5">
        <f t="shared" si="5"/>
        <v>4914447.3884161664</v>
      </c>
      <c r="R43" s="5">
        <f t="shared" si="5"/>
        <v>4358711.6526972661</v>
      </c>
      <c r="S43" s="5">
        <f t="shared" si="5"/>
        <v>3865819.6476250696</v>
      </c>
      <c r="T43" s="5">
        <f t="shared" si="5"/>
        <v>3428664.8759424123</v>
      </c>
      <c r="U43" s="5">
        <f t="shared" si="5"/>
        <v>3040944.4575985917</v>
      </c>
      <c r="V43" s="5">
        <f t="shared" si="5"/>
        <v>2697068.2550763567</v>
      </c>
      <c r="W43" s="5">
        <f t="shared" si="5"/>
        <v>2392078.2750122896</v>
      </c>
      <c r="X43" s="5">
        <f t="shared" si="5"/>
        <v>2121577.1840463765</v>
      </c>
      <c r="Y43" s="5">
        <f t="shared" si="5"/>
        <v>1881664.9082451235</v>
      </c>
      <c r="Z43" s="5">
        <f t="shared" si="5"/>
        <v>1668882.4019912404</v>
      </c>
      <c r="AA43" s="5">
        <f t="shared" si="5"/>
        <v>1480161.775601987</v>
      </c>
    </row>
    <row r="44" spans="1:27" ht="18.75" x14ac:dyDescent="0.3">
      <c r="B44" t="s">
        <v>30</v>
      </c>
      <c r="C44" s="11">
        <f>SUM(H43:AA43)</f>
        <v>106043316.35685872</v>
      </c>
    </row>
    <row r="45" spans="1:27" x14ac:dyDescent="0.25">
      <c r="E45" s="10"/>
    </row>
    <row r="46" spans="1:27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2:5" x14ac:dyDescent="0.25">
      <c r="B49" s="12" t="s">
        <v>41</v>
      </c>
      <c r="E49" s="10"/>
    </row>
    <row r="50" spans="2:5" x14ac:dyDescent="0.25">
      <c r="B50" s="10" t="s">
        <v>31</v>
      </c>
      <c r="E50" s="10"/>
    </row>
    <row r="51" spans="2:5" ht="18.75" x14ac:dyDescent="0.3">
      <c r="B51" s="10" t="s">
        <v>40</v>
      </c>
      <c r="C51" s="21">
        <f>+C36/C44</f>
        <v>2.730097568739337E-2</v>
      </c>
      <c r="D51" s="10"/>
      <c r="E51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42729923DD3E41ABE998432493E3D1" ma:contentTypeVersion="2" ma:contentTypeDescription="Crear nuevo documento." ma:contentTypeScope="" ma:versionID="28d0085fb3ff3ba2637e27c597caf0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753DB6-BF91-48F1-9D50-1A25400356FF}"/>
</file>

<file path=customXml/itemProps2.xml><?xml version="1.0" encoding="utf-8"?>
<ds:datastoreItem xmlns:ds="http://schemas.openxmlformats.org/officeDocument/2006/customXml" ds:itemID="{7A1E9771-9D78-49EA-AE10-02E50A61243D}"/>
</file>

<file path=customXml/itemProps3.xml><?xml version="1.0" encoding="utf-8"?>
<ds:datastoreItem xmlns:ds="http://schemas.openxmlformats.org/officeDocument/2006/customXml" ds:itemID="{FEEF7041-5282-4A88-A0D6-03F44D1CE4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Demanda Regional</vt:lpstr>
      <vt:lpstr>%  Planta</vt:lpstr>
      <vt:lpstr>Bogotá</vt:lpstr>
      <vt:lpstr>Barranquilla</vt:lpstr>
      <vt:lpstr>Valledupar</vt:lpstr>
      <vt:lpstr>Manizales</vt:lpstr>
      <vt:lpstr>CIB</vt:lpstr>
      <vt:lpstr>Bucaramanga</vt:lpstr>
      <vt:lpstr>Medellin</vt:lpstr>
      <vt:lpstr>Cali</vt:lpstr>
      <vt:lpstr>Ibague</vt:lpstr>
      <vt:lpstr>Nacional</vt:lpstr>
      <vt:lpstr>Bid. Ballena - barranca</vt:lpstr>
      <vt:lpstr>Bid. Cartagena-ballena</vt:lpstr>
      <vt:lpstr>Amp. Transporte Jamundi</vt:lpstr>
      <vt:lpstr>Amp. Mariquita Gualanday</vt:lpstr>
      <vt:lpstr>Interconexión Costa-Interior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Popayan</dc:creator>
  <cp:lastModifiedBy>Andres Popayan</cp:lastModifiedBy>
  <dcterms:created xsi:type="dcterms:W3CDTF">2019-09-23T13:40:44Z</dcterms:created>
  <dcterms:modified xsi:type="dcterms:W3CDTF">2020-01-28T15:47:00Z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0x0101008942729923DD3E41ABE998432493E3D1</vt:lpwstr>
  </property>
</Properties>
</file>